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lt998/Dropbox (GloriamGroup)/GPCRdb_Projects/GPCRDB_Project_Alignments_and_Similarities/"/>
    </mc:Choice>
  </mc:AlternateContent>
  <bookViews>
    <workbookView xWindow="80" yWindow="460" windowWidth="38400" windowHeight="21140" tabRatio="500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eqs" sheetId="9" r:id="rId9"/>
    <sheet name="Xtal_Templ" sheetId="10" r:id="rId10"/>
    <sheet name="Classification" sheetId="11" r:id="rId11"/>
    <sheet name="Orig" sheetId="12" r:id="rId12"/>
    <sheet name="Templates_ICL3" sheetId="13" r:id="rId13"/>
    <sheet name="SegLen" sheetId="14" r:id="rId14"/>
  </sheets>
  <definedNames>
    <definedName name="_xlnm._FilterDatabase" localSheetId="6" hidden="1">'NonXtal_Bulges_Constr_GPCRdb#'!$A$1:$Z$406</definedName>
    <definedName name="_xlnm._FilterDatabase" localSheetId="11" hidden="1">Orig!$A$1:$Z$1105</definedName>
    <definedName name="_xlnm._FilterDatabase" localSheetId="5" hidden="1">'Xtal_Bulges_Constr_GPCRdb#'!$C$1:$P$39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closestHomologues_9" localSheetId="9">Xtal_Templ!$A$2:$B$406</definedName>
    <definedName name="GPCRdb_alignment" localSheetId="8">Seqs!$A$408:$B$409</definedName>
    <definedName name="human_GPCR_fasta.fas" localSheetId="8">Seqs!$A$8:$B$406</definedName>
    <definedName name="Z_3E3401AF_8459_8641_BD70_AD04F80E86ED_.wvu.Cols" localSheetId="11" hidden="1">Orig!$D:$F</definedName>
    <definedName name="Z_3E3401AF_8459_8641_BD70_AD04F80E86ED_.wvu.FilterData" localSheetId="6" hidden="1">'NonXtal_Bulges_Constr_GPCRdb#'!$A$1:$Z$406</definedName>
    <definedName name="Z_3E3401AF_8459_8641_BD70_AD04F80E86ED_.wvu.FilterData" localSheetId="11" hidden="1">Orig!$A$1:$Z$1105</definedName>
    <definedName name="Z_3E3401AF_8459_8641_BD70_AD04F80E86ED_.wvu.FilterData" localSheetId="5" hidden="1">'Xtal_Bulges_Constr_GPCRdb#'!$C$1:$P$39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2" i="3" l="1"/>
  <c r="G32" i="3"/>
  <c r="H32" i="3"/>
  <c r="Q29" i="6"/>
  <c r="R29" i="6"/>
  <c r="S29" i="6"/>
  <c r="T29" i="6"/>
  <c r="U29" i="6"/>
  <c r="Q30" i="6"/>
  <c r="R30" i="6"/>
  <c r="S30" i="6"/>
  <c r="T30" i="6"/>
  <c r="U30" i="6"/>
  <c r="Q31" i="6"/>
  <c r="R31" i="6"/>
  <c r="S31" i="6"/>
  <c r="T31" i="6"/>
  <c r="U31" i="6"/>
  <c r="B29" i="6"/>
  <c r="A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T2" i="4" a="1"/>
  <c r="T2" i="4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E35" i="2"/>
  <c r="F35" i="2"/>
  <c r="L35" i="2"/>
  <c r="M35" i="2"/>
  <c r="N35" i="2"/>
  <c r="O35" i="2"/>
  <c r="P35" i="2"/>
  <c r="Q35" i="2"/>
  <c r="R35" i="2"/>
  <c r="X35" i="2"/>
  <c r="Y35" i="2"/>
  <c r="AC164" i="5"/>
  <c r="AF4" i="4"/>
  <c r="F33" i="3"/>
  <c r="F34" i="3"/>
  <c r="F35" i="3"/>
  <c r="A3" i="3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H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1" i="4"/>
  <c r="U231" i="4" a="1"/>
  <c r="U231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33" i="3"/>
  <c r="G34" i="3"/>
  <c r="G35" i="3"/>
  <c r="G24" i="3"/>
  <c r="G25" i="3"/>
  <c r="G26" i="3"/>
  <c r="G27" i="3"/>
  <c r="G28" i="3"/>
  <c r="G29" i="3"/>
  <c r="G30" i="3"/>
  <c r="G31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1" i="4" a="1"/>
  <c r="T231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B18" i="3"/>
  <c r="C18" i="3"/>
  <c r="S36" i="2"/>
  <c r="B148" i="4"/>
  <c r="S148" i="4"/>
  <c r="AA180" i="5"/>
  <c r="AD180" i="5"/>
  <c r="AC180" i="5"/>
  <c r="E18" i="3"/>
  <c r="AZ104" i="1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AZ101" i="1"/>
  <c r="AZ102" i="1"/>
  <c r="AZ103" i="1"/>
  <c r="AZ105" i="1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H39" i="2"/>
  <c r="B376" i="4"/>
  <c r="H376" i="4"/>
  <c r="K398" i="5"/>
  <c r="J39" i="2"/>
  <c r="J376" i="4"/>
  <c r="N398" i="5"/>
  <c r="L39" i="2"/>
  <c r="L376" i="4"/>
  <c r="Q398" i="5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B33" i="4"/>
  <c r="L33" i="4"/>
  <c r="Q165" i="5"/>
  <c r="T165" i="5"/>
  <c r="P33" i="4"/>
  <c r="W165" i="5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26" i="2"/>
  <c r="P127" i="4"/>
  <c r="L26" i="2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B231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9" i="2"/>
  <c r="D366" i="4"/>
  <c r="D367" i="4"/>
  <c r="D368" i="4"/>
  <c r="D369" i="4"/>
  <c r="D370" i="4"/>
  <c r="D371" i="4"/>
  <c r="D372" i="4"/>
  <c r="D373" i="4"/>
  <c r="D374" i="4"/>
  <c r="D375" i="4"/>
  <c r="D376" i="4"/>
  <c r="C2" i="14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9" i="2"/>
  <c r="I366" i="4"/>
  <c r="I367" i="4"/>
  <c r="I368" i="4"/>
  <c r="I369" i="4"/>
  <c r="I370" i="4"/>
  <c r="I371" i="4"/>
  <c r="I372" i="4"/>
  <c r="I373" i="4"/>
  <c r="I374" i="4"/>
  <c r="I375" i="4"/>
  <c r="I376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9" i="2"/>
  <c r="K366" i="4"/>
  <c r="K367" i="4"/>
  <c r="K368" i="4"/>
  <c r="K369" i="4"/>
  <c r="K370" i="4"/>
  <c r="K371" i="4"/>
  <c r="K372" i="4"/>
  <c r="K373" i="4"/>
  <c r="K374" i="4"/>
  <c r="K375" i="4"/>
  <c r="K376" i="4"/>
  <c r="J2" i="14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9" i="2"/>
  <c r="M366" i="4"/>
  <c r="M367" i="4"/>
  <c r="M368" i="4"/>
  <c r="M369" i="4"/>
  <c r="M370" i="4"/>
  <c r="M371" i="4"/>
  <c r="M372" i="4"/>
  <c r="M373" i="4"/>
  <c r="M374" i="4"/>
  <c r="M375" i="4"/>
  <c r="M376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B3" i="7"/>
  <c r="AC3" i="7"/>
  <c r="AB4" i="7"/>
  <c r="AC4" i="7"/>
  <c r="AB5" i="7"/>
  <c r="AC5" i="7"/>
  <c r="AB6" i="7"/>
  <c r="AC6" i="7"/>
  <c r="AB7" i="7"/>
  <c r="AC7" i="7"/>
  <c r="AB8" i="7"/>
  <c r="AC8" i="7"/>
  <c r="AB9" i="7"/>
  <c r="AC9" i="7"/>
  <c r="AB10" i="7"/>
  <c r="AC10" i="7"/>
  <c r="AB11" i="7"/>
  <c r="AC11" i="7"/>
  <c r="AB12" i="7"/>
  <c r="AC12" i="7"/>
  <c r="AB13" i="7"/>
  <c r="AC13" i="7"/>
  <c r="AB14" i="7"/>
  <c r="AC14" i="7"/>
  <c r="AB15" i="7"/>
  <c r="AC15" i="7"/>
  <c r="AB16" i="7"/>
  <c r="AC16" i="7"/>
  <c r="AB17" i="7"/>
  <c r="AC17" i="7"/>
  <c r="AB18" i="7"/>
  <c r="AC18" i="7"/>
  <c r="AB19" i="7"/>
  <c r="AC19" i="7"/>
  <c r="AB20" i="7"/>
  <c r="AC20" i="7"/>
  <c r="AB21" i="7"/>
  <c r="AC21" i="7"/>
  <c r="AB22" i="7"/>
  <c r="AC22" i="7"/>
  <c r="AB23" i="7"/>
  <c r="AC23" i="7"/>
  <c r="AB24" i="7"/>
  <c r="AC24" i="7"/>
  <c r="AB25" i="7"/>
  <c r="AC25" i="7"/>
  <c r="AB26" i="7"/>
  <c r="AC26" i="7"/>
  <c r="AB27" i="7"/>
  <c r="AC27" i="7"/>
  <c r="W378" i="5"/>
  <c r="Z378" i="5"/>
  <c r="AB28" i="7"/>
  <c r="AC28" i="7"/>
  <c r="AB29" i="7"/>
  <c r="AC29" i="7"/>
  <c r="AB30" i="7"/>
  <c r="AC30" i="7"/>
  <c r="AB31" i="7"/>
  <c r="AC31" i="7"/>
  <c r="AB32" i="7"/>
  <c r="AC32" i="7"/>
  <c r="AB33" i="7"/>
  <c r="AC33" i="7"/>
  <c r="AB34" i="7"/>
  <c r="AC34" i="7"/>
  <c r="AB35" i="7"/>
  <c r="AC35" i="7"/>
  <c r="AB36" i="7"/>
  <c r="AC36" i="7"/>
  <c r="AB37" i="7"/>
  <c r="AC37" i="7"/>
  <c r="AB38" i="7"/>
  <c r="AC38" i="7"/>
  <c r="AB39" i="7"/>
  <c r="AC39" i="7"/>
  <c r="AB40" i="7"/>
  <c r="AC40" i="7"/>
  <c r="AB41" i="7"/>
  <c r="AC41" i="7"/>
  <c r="AB42" i="7"/>
  <c r="AC42" i="7"/>
  <c r="AB43" i="7"/>
  <c r="AC43" i="7"/>
  <c r="AB44" i="7"/>
  <c r="AC44" i="7"/>
  <c r="AB45" i="7"/>
  <c r="AC45" i="7"/>
  <c r="AB46" i="7"/>
  <c r="AC46" i="7"/>
  <c r="AB47" i="7"/>
  <c r="AC47" i="7"/>
  <c r="AB48" i="7"/>
  <c r="AC48" i="7"/>
  <c r="AB49" i="7"/>
  <c r="AC49" i="7"/>
  <c r="AB50" i="7"/>
  <c r="AC50" i="7"/>
  <c r="AB51" i="7"/>
  <c r="AC51" i="7"/>
  <c r="AB52" i="7"/>
  <c r="AC52" i="7"/>
  <c r="AB53" i="7"/>
  <c r="AC53" i="7"/>
  <c r="AB54" i="7"/>
  <c r="AC54" i="7"/>
  <c r="AB55" i="7"/>
  <c r="AC55" i="7"/>
  <c r="AB56" i="7"/>
  <c r="AC56" i="7"/>
  <c r="AB57" i="7"/>
  <c r="AC57" i="7"/>
  <c r="AB58" i="7"/>
  <c r="AC58" i="7"/>
  <c r="AB59" i="7"/>
  <c r="AC59" i="7"/>
  <c r="AB60" i="7"/>
  <c r="AC60" i="7"/>
  <c r="AB61" i="7"/>
  <c r="AC61" i="7"/>
  <c r="AB62" i="7"/>
  <c r="AC62" i="7"/>
  <c r="W226" i="5"/>
  <c r="Z226" i="5"/>
  <c r="AB63" i="7"/>
  <c r="AC63" i="7"/>
  <c r="W227" i="5"/>
  <c r="Z227" i="5"/>
  <c r="AB64" i="7"/>
  <c r="AC64" i="7"/>
  <c r="AB65" i="7"/>
  <c r="AC65" i="7"/>
  <c r="AB66" i="7"/>
  <c r="AC66" i="7"/>
  <c r="AB67" i="7"/>
  <c r="AC67" i="7"/>
  <c r="AB68" i="7"/>
  <c r="AC68" i="7"/>
  <c r="AB69" i="7"/>
  <c r="AC69" i="7"/>
  <c r="AB70" i="7"/>
  <c r="AC70" i="7"/>
  <c r="AB71" i="7"/>
  <c r="AC71" i="7"/>
  <c r="AB72" i="7"/>
  <c r="AC72" i="7"/>
  <c r="AB73" i="7"/>
  <c r="AC73" i="7"/>
  <c r="AB74" i="7"/>
  <c r="AC74" i="7"/>
  <c r="AB75" i="7"/>
  <c r="AC75" i="7"/>
  <c r="AB76" i="7"/>
  <c r="AC76" i="7"/>
  <c r="AB77" i="7"/>
  <c r="AC77" i="7"/>
  <c r="AB78" i="7"/>
  <c r="AC78" i="7"/>
  <c r="AB79" i="7"/>
  <c r="AC79" i="7"/>
  <c r="AB80" i="7"/>
  <c r="AC80" i="7"/>
  <c r="AB81" i="7"/>
  <c r="AC81" i="7"/>
  <c r="AB82" i="7"/>
  <c r="AC82" i="7"/>
  <c r="AB83" i="7"/>
  <c r="AC83" i="7"/>
  <c r="AB84" i="7"/>
  <c r="AC84" i="7"/>
  <c r="AB85" i="7"/>
  <c r="AC85" i="7"/>
  <c r="AB86" i="7"/>
  <c r="AC86" i="7"/>
  <c r="AB87" i="7"/>
  <c r="AC87" i="7"/>
  <c r="AB88" i="7"/>
  <c r="AC88" i="7"/>
  <c r="AB89" i="7"/>
  <c r="AC89" i="7"/>
  <c r="AB90" i="7"/>
  <c r="AC90" i="7"/>
  <c r="AB91" i="7"/>
  <c r="AC91" i="7"/>
  <c r="AB92" i="7"/>
  <c r="AC92" i="7"/>
  <c r="AB93" i="7"/>
  <c r="AC93" i="7"/>
  <c r="AB94" i="7"/>
  <c r="AC94" i="7"/>
  <c r="AB95" i="7"/>
  <c r="AC95" i="7"/>
  <c r="AB96" i="7"/>
  <c r="AC96" i="7"/>
  <c r="AB97" i="7"/>
  <c r="AC97" i="7"/>
  <c r="Q232" i="5"/>
  <c r="T232" i="5"/>
  <c r="W232" i="5"/>
  <c r="Z232" i="5"/>
  <c r="AB98" i="7"/>
  <c r="AC98" i="7"/>
  <c r="AB99" i="7"/>
  <c r="AC99" i="7"/>
  <c r="K267" i="5"/>
  <c r="N267" i="5"/>
  <c r="Q267" i="5"/>
  <c r="T267" i="5"/>
  <c r="W267" i="5"/>
  <c r="Z267" i="5"/>
  <c r="AB100" i="7"/>
  <c r="AC100" i="7"/>
  <c r="Q222" i="5"/>
  <c r="T222" i="5"/>
  <c r="W222" i="5"/>
  <c r="Z222" i="5"/>
  <c r="AB101" i="7"/>
  <c r="AC101" i="7"/>
  <c r="Q2" i="5"/>
  <c r="T2" i="5"/>
  <c r="W2" i="5"/>
  <c r="Z2" i="5"/>
  <c r="AB102" i="7"/>
  <c r="AC102" i="7"/>
  <c r="W404" i="5"/>
  <c r="Z404" i="5"/>
  <c r="AB103" i="7"/>
  <c r="AC103" i="7"/>
  <c r="AB104" i="7"/>
  <c r="AC104" i="7"/>
  <c r="AB105" i="7"/>
  <c r="AC105" i="7"/>
  <c r="AB106" i="7"/>
  <c r="AC106" i="7"/>
  <c r="AB107" i="7"/>
  <c r="AC107" i="7"/>
  <c r="AB108" i="7"/>
  <c r="AC108" i="7"/>
  <c r="AB109" i="7"/>
  <c r="AC109" i="7"/>
  <c r="AB110" i="7"/>
  <c r="AC110" i="7"/>
  <c r="AB111" i="7"/>
  <c r="AC111" i="7"/>
  <c r="AB112" i="7"/>
  <c r="AC112" i="7"/>
  <c r="AB113" i="7"/>
  <c r="AC113" i="7"/>
  <c r="AB114" i="7"/>
  <c r="AC114" i="7"/>
  <c r="AB115" i="7"/>
  <c r="AC115" i="7"/>
  <c r="AB116" i="7"/>
  <c r="AC116" i="7"/>
  <c r="AB117" i="7"/>
  <c r="AC117" i="7"/>
  <c r="AB118" i="7"/>
  <c r="AC118" i="7"/>
  <c r="AB119" i="7"/>
  <c r="AC119" i="7"/>
  <c r="W380" i="5"/>
  <c r="Z380" i="5"/>
  <c r="AB120" i="7"/>
  <c r="AC120" i="7"/>
  <c r="AB121" i="7"/>
  <c r="AC121" i="7"/>
  <c r="AB122" i="7"/>
  <c r="AC122" i="7"/>
  <c r="AB123" i="7"/>
  <c r="AC123" i="7"/>
  <c r="AB124" i="7"/>
  <c r="AC124" i="7"/>
  <c r="K367" i="5"/>
  <c r="N367" i="5"/>
  <c r="Q367" i="5"/>
  <c r="T367" i="5"/>
  <c r="W367" i="5"/>
  <c r="Z367" i="5"/>
  <c r="AB125" i="7"/>
  <c r="AC125" i="7"/>
  <c r="AB126" i="7"/>
  <c r="AC126" i="7"/>
  <c r="AB127" i="7"/>
  <c r="AC127" i="7"/>
  <c r="AB128" i="7"/>
  <c r="AC128" i="7"/>
  <c r="AB129" i="7"/>
  <c r="AC129" i="7"/>
  <c r="AB130" i="7"/>
  <c r="AC130" i="7"/>
  <c r="W228" i="5"/>
  <c r="Z228" i="5"/>
  <c r="AB131" i="7"/>
  <c r="AC131" i="7"/>
  <c r="AB132" i="7"/>
  <c r="AC132" i="7"/>
  <c r="AB133" i="7"/>
  <c r="AC133" i="7"/>
  <c r="AB134" i="7"/>
  <c r="AC134" i="7"/>
  <c r="AB135" i="7"/>
  <c r="AC135" i="7"/>
  <c r="AB136" i="7"/>
  <c r="AC136" i="7"/>
  <c r="AB137" i="7"/>
  <c r="AC137" i="7"/>
  <c r="AB138" i="7"/>
  <c r="AC138" i="7"/>
  <c r="AB139" i="7"/>
  <c r="AC139" i="7"/>
  <c r="AB140" i="7"/>
  <c r="AC140" i="7"/>
  <c r="AB141" i="7"/>
  <c r="AC141" i="7"/>
  <c r="AB142" i="7"/>
  <c r="AC142" i="7"/>
  <c r="AB143" i="7"/>
  <c r="AC143" i="7"/>
  <c r="W381" i="5"/>
  <c r="Z381" i="5"/>
  <c r="AB144" i="7"/>
  <c r="AC144" i="7"/>
  <c r="AB145" i="7"/>
  <c r="AC145" i="7"/>
  <c r="AB146" i="7"/>
  <c r="AC146" i="7"/>
  <c r="AB147" i="7"/>
  <c r="AC147" i="7"/>
  <c r="AB148" i="7"/>
  <c r="AC148" i="7"/>
  <c r="AB149" i="7"/>
  <c r="AC149" i="7"/>
  <c r="Q243" i="5"/>
  <c r="T243" i="5"/>
  <c r="W243" i="5"/>
  <c r="Z243" i="5"/>
  <c r="AB150" i="7"/>
  <c r="AC150" i="7"/>
  <c r="AB151" i="7"/>
  <c r="AC151" i="7"/>
  <c r="AB152" i="7"/>
  <c r="AC152" i="7"/>
  <c r="AB153" i="7"/>
  <c r="AC153" i="7"/>
  <c r="AB154" i="7"/>
  <c r="AC154" i="7"/>
  <c r="K169" i="5"/>
  <c r="N169" i="5"/>
  <c r="Q169" i="5"/>
  <c r="T169" i="5"/>
  <c r="W169" i="5"/>
  <c r="Z169" i="5"/>
  <c r="AB155" i="7"/>
  <c r="AC155" i="7"/>
  <c r="AB156" i="7"/>
  <c r="AC156" i="7"/>
  <c r="AB157" i="7"/>
  <c r="AC157" i="7"/>
  <c r="AB158" i="7"/>
  <c r="AC158" i="7"/>
  <c r="AB159" i="7"/>
  <c r="AC159" i="7"/>
  <c r="AB160" i="7"/>
  <c r="AC160" i="7"/>
  <c r="AB161" i="7"/>
  <c r="AC161" i="7"/>
  <c r="AB162" i="7"/>
  <c r="AC162" i="7"/>
  <c r="AB163" i="7"/>
  <c r="AC163" i="7"/>
  <c r="AB164" i="7"/>
  <c r="AC164" i="7"/>
  <c r="AB165" i="7"/>
  <c r="AC165" i="7"/>
  <c r="AB166" i="7"/>
  <c r="AC166" i="7"/>
  <c r="AB167" i="7"/>
  <c r="AC167" i="7"/>
  <c r="AB168" i="7"/>
  <c r="AC168" i="7"/>
  <c r="Q230" i="5"/>
  <c r="T230" i="5"/>
  <c r="W230" i="5"/>
  <c r="Z230" i="5"/>
  <c r="AB169" i="7"/>
  <c r="AC169" i="7"/>
  <c r="Q231" i="5"/>
  <c r="T231" i="5"/>
  <c r="W231" i="5"/>
  <c r="Z231" i="5"/>
  <c r="AB170" i="7"/>
  <c r="AC170" i="7"/>
  <c r="AB171" i="7"/>
  <c r="AC171" i="7"/>
  <c r="AB172" i="7"/>
  <c r="AC172" i="7"/>
  <c r="AB173" i="7"/>
  <c r="AC173" i="7"/>
  <c r="AB174" i="7"/>
  <c r="AC174" i="7"/>
  <c r="AB175" i="7"/>
  <c r="AC175" i="7"/>
  <c r="AB176" i="7"/>
  <c r="AC176" i="7"/>
  <c r="Q326" i="5"/>
  <c r="T326" i="5"/>
  <c r="W326" i="5"/>
  <c r="Z326" i="5"/>
  <c r="AB177" i="7"/>
  <c r="AC177" i="7"/>
  <c r="K327" i="5"/>
  <c r="N327" i="5"/>
  <c r="Q327" i="5"/>
  <c r="T327" i="5"/>
  <c r="W327" i="5"/>
  <c r="Z327" i="5"/>
  <c r="AB178" i="7"/>
  <c r="AC178" i="7"/>
  <c r="W382" i="5"/>
  <c r="Z382" i="5"/>
  <c r="AB179" i="7"/>
  <c r="AC179" i="7"/>
  <c r="W383" i="5"/>
  <c r="Z383" i="5"/>
  <c r="AB180" i="7"/>
  <c r="AC180" i="7"/>
  <c r="K29" i="5"/>
  <c r="N29" i="5"/>
  <c r="Q29" i="5"/>
  <c r="T29" i="5"/>
  <c r="W29" i="5"/>
  <c r="Z29" i="5"/>
  <c r="AB181" i="7"/>
  <c r="AC181" i="7"/>
  <c r="AB182" i="7"/>
  <c r="AC182" i="7"/>
  <c r="AB183" i="7"/>
  <c r="AC183" i="7"/>
  <c r="K328" i="5"/>
  <c r="N328" i="5"/>
  <c r="Q328" i="5"/>
  <c r="T328" i="5"/>
  <c r="W328" i="5"/>
  <c r="Z328" i="5"/>
  <c r="AB184" i="7"/>
  <c r="AC184" i="7"/>
  <c r="K368" i="5"/>
  <c r="N368" i="5"/>
  <c r="Q368" i="5"/>
  <c r="T368" i="5"/>
  <c r="W368" i="5"/>
  <c r="Z368" i="5"/>
  <c r="AB185" i="7"/>
  <c r="AC185" i="7"/>
  <c r="K329" i="5"/>
  <c r="N329" i="5"/>
  <c r="Q329" i="5"/>
  <c r="T329" i="5"/>
  <c r="W329" i="5"/>
  <c r="Z329" i="5"/>
  <c r="AB186" i="7"/>
  <c r="AC186" i="7"/>
  <c r="K68" i="5"/>
  <c r="N68" i="5"/>
  <c r="Q68" i="5"/>
  <c r="T68" i="5"/>
  <c r="W68" i="5"/>
  <c r="Z68" i="5"/>
  <c r="AB187" i="7"/>
  <c r="AC187" i="7"/>
  <c r="K330" i="5"/>
  <c r="N330" i="5"/>
  <c r="Q330" i="5"/>
  <c r="T330" i="5"/>
  <c r="W330" i="5"/>
  <c r="Z330" i="5"/>
  <c r="AB188" i="7"/>
  <c r="AC188" i="7"/>
  <c r="K69" i="5"/>
  <c r="N69" i="5"/>
  <c r="Q69" i="5"/>
  <c r="T69" i="5"/>
  <c r="W69" i="5"/>
  <c r="Z69" i="5"/>
  <c r="AB189" i="7"/>
  <c r="AC189" i="7"/>
  <c r="K355" i="5"/>
  <c r="N355" i="5"/>
  <c r="Q355" i="5"/>
  <c r="T355" i="5"/>
  <c r="W355" i="5"/>
  <c r="Z355" i="5"/>
  <c r="AB190" i="7"/>
  <c r="AC190" i="7"/>
  <c r="K250" i="5"/>
  <c r="N250" i="5"/>
  <c r="Q250" i="5"/>
  <c r="T250" i="5"/>
  <c r="W250" i="5"/>
  <c r="Z250" i="5"/>
  <c r="AB191" i="7"/>
  <c r="AC191" i="7"/>
  <c r="W384" i="5"/>
  <c r="Z384" i="5"/>
  <c r="AB192" i="7"/>
  <c r="AC192" i="7"/>
  <c r="AB193" i="7"/>
  <c r="AC193" i="7"/>
  <c r="AB194" i="7"/>
  <c r="AC194" i="7"/>
  <c r="AB195" i="7"/>
  <c r="AC195" i="7"/>
  <c r="AB196" i="7"/>
  <c r="AC196" i="7"/>
  <c r="AB197" i="7"/>
  <c r="AC197" i="7"/>
  <c r="AB198" i="7"/>
  <c r="AC198" i="7"/>
  <c r="AB199" i="7"/>
  <c r="AC199" i="7"/>
  <c r="AB200" i="7"/>
  <c r="AC200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07" i="7"/>
  <c r="AC207" i="7"/>
  <c r="AB208" i="7"/>
  <c r="AC208" i="7"/>
  <c r="AB209" i="7"/>
  <c r="AC209" i="7"/>
  <c r="AB210" i="7"/>
  <c r="AC210" i="7"/>
  <c r="AB211" i="7"/>
  <c r="AC211" i="7"/>
  <c r="Q299" i="5"/>
  <c r="T299" i="5"/>
  <c r="W299" i="5"/>
  <c r="Z299" i="5"/>
  <c r="AB212" i="7"/>
  <c r="AC212" i="7"/>
  <c r="AB213" i="7"/>
  <c r="AC213" i="7"/>
  <c r="AB214" i="7"/>
  <c r="AC214" i="7"/>
  <c r="AB215" i="7"/>
  <c r="AC215" i="7"/>
  <c r="AB216" i="7"/>
  <c r="AC216" i="7"/>
  <c r="AB217" i="7"/>
  <c r="AC217" i="7"/>
  <c r="AB218" i="7"/>
  <c r="AC218" i="7"/>
  <c r="AB219" i="7"/>
  <c r="AC219" i="7"/>
  <c r="AB220" i="7"/>
  <c r="AC220" i="7"/>
  <c r="AB221" i="7"/>
  <c r="AC221" i="7"/>
  <c r="AB222" i="7"/>
  <c r="AC222" i="7"/>
  <c r="AB223" i="7"/>
  <c r="AC223" i="7"/>
  <c r="AB224" i="7"/>
  <c r="AC224" i="7"/>
  <c r="AB225" i="7"/>
  <c r="AC225" i="7"/>
  <c r="AB226" i="7"/>
  <c r="AC226" i="7"/>
  <c r="AB227" i="7"/>
  <c r="AC227" i="7"/>
  <c r="AB228" i="7"/>
  <c r="AC228" i="7"/>
  <c r="AB229" i="7"/>
  <c r="AC229" i="7"/>
  <c r="AB230" i="7"/>
  <c r="AC230" i="7"/>
  <c r="AB231" i="7"/>
  <c r="AC231" i="7"/>
  <c r="AB232" i="7"/>
  <c r="AC232" i="7"/>
  <c r="AB233" i="7"/>
  <c r="AC233" i="7"/>
  <c r="AB234" i="7"/>
  <c r="AC234" i="7"/>
  <c r="AB235" i="7"/>
  <c r="AC235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246" i="7"/>
  <c r="AC246" i="7"/>
  <c r="AB247" i="7"/>
  <c r="AC247" i="7"/>
  <c r="AB248" i="7"/>
  <c r="AC248" i="7"/>
  <c r="AB249" i="7"/>
  <c r="AC249" i="7"/>
  <c r="AB250" i="7"/>
  <c r="AC250" i="7"/>
  <c r="AB251" i="7"/>
  <c r="AC251" i="7"/>
  <c r="AB252" i="7"/>
  <c r="AC252" i="7"/>
  <c r="AB253" i="7"/>
  <c r="AC253" i="7"/>
  <c r="AB254" i="7"/>
  <c r="AC254" i="7"/>
  <c r="AB255" i="7"/>
  <c r="AC255" i="7"/>
  <c r="K356" i="5"/>
  <c r="N356" i="5"/>
  <c r="Q356" i="5"/>
  <c r="T356" i="5"/>
  <c r="W356" i="5"/>
  <c r="Z356" i="5"/>
  <c r="AB256" i="7"/>
  <c r="AC256" i="7"/>
  <c r="AB257" i="7"/>
  <c r="AC257" i="7"/>
  <c r="AB258" i="7"/>
  <c r="AC258" i="7"/>
  <c r="AB259" i="7"/>
  <c r="AC259" i="7"/>
  <c r="AB260" i="7"/>
  <c r="AC260" i="7"/>
  <c r="AB261" i="7"/>
  <c r="AC261" i="7"/>
  <c r="AB262" i="7"/>
  <c r="AC262" i="7"/>
  <c r="AB263" i="7"/>
  <c r="AC263" i="7"/>
  <c r="AB264" i="7"/>
  <c r="AC264" i="7"/>
  <c r="AB265" i="7"/>
  <c r="AC265" i="7"/>
  <c r="AB266" i="7"/>
  <c r="AC266" i="7"/>
  <c r="AB267" i="7"/>
  <c r="AC267" i="7"/>
  <c r="AB268" i="7"/>
  <c r="AC268" i="7"/>
  <c r="AB269" i="7"/>
  <c r="AC269" i="7"/>
  <c r="Q387" i="5"/>
  <c r="T387" i="5"/>
  <c r="W387" i="5"/>
  <c r="Z387" i="5"/>
  <c r="AB270" i="7"/>
  <c r="AC270" i="7"/>
  <c r="Q388" i="5"/>
  <c r="T388" i="5"/>
  <c r="W388" i="5"/>
  <c r="Z388" i="5"/>
  <c r="AB271" i="7"/>
  <c r="AC271" i="7"/>
  <c r="Q389" i="5"/>
  <c r="T389" i="5"/>
  <c r="W389" i="5"/>
  <c r="Z389" i="5"/>
  <c r="AB272" i="7"/>
  <c r="AC272" i="7"/>
  <c r="Q390" i="5"/>
  <c r="T390" i="5"/>
  <c r="W390" i="5"/>
  <c r="Z390" i="5"/>
  <c r="AB273" i="7"/>
  <c r="AC273" i="7"/>
  <c r="AB274" i="7"/>
  <c r="AC274" i="7"/>
  <c r="AB275" i="7"/>
  <c r="AC275" i="7"/>
  <c r="AB276" i="7"/>
  <c r="AC276" i="7"/>
  <c r="AB277" i="7"/>
  <c r="AC277" i="7"/>
  <c r="AB278" i="7"/>
  <c r="AC278" i="7"/>
  <c r="AB279" i="7"/>
  <c r="AC279" i="7"/>
  <c r="AB280" i="7"/>
  <c r="AC280" i="7"/>
  <c r="AB281" i="7"/>
  <c r="AC281" i="7"/>
  <c r="AB282" i="7"/>
  <c r="AC282" i="7"/>
  <c r="AB283" i="7"/>
  <c r="AC283" i="7"/>
  <c r="AB284" i="7"/>
  <c r="AC284" i="7"/>
  <c r="AB285" i="7"/>
  <c r="AC285" i="7"/>
  <c r="AB286" i="7"/>
  <c r="AC286" i="7"/>
  <c r="AB287" i="7"/>
  <c r="AC287" i="7"/>
  <c r="AB288" i="7"/>
  <c r="AC288" i="7"/>
  <c r="AB289" i="7"/>
  <c r="AC289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AB296" i="7"/>
  <c r="AC296" i="7"/>
  <c r="AB297" i="7"/>
  <c r="AC297" i="7"/>
  <c r="AB298" i="7"/>
  <c r="AC298" i="7"/>
  <c r="AB299" i="7"/>
  <c r="AC299" i="7"/>
  <c r="AB300" i="7"/>
  <c r="AC300" i="7"/>
  <c r="AB301" i="7"/>
  <c r="AC301" i="7"/>
  <c r="AB302" i="7"/>
  <c r="AC302" i="7"/>
  <c r="AB303" i="7"/>
  <c r="AC303" i="7"/>
  <c r="AB304" i="7"/>
  <c r="AC304" i="7"/>
  <c r="AB305" i="7"/>
  <c r="AC305" i="7"/>
  <c r="AB306" i="7"/>
  <c r="AC306" i="7"/>
  <c r="AB307" i="7"/>
  <c r="AC307" i="7"/>
  <c r="AB308" i="7"/>
  <c r="AC308" i="7"/>
  <c r="AB309" i="7"/>
  <c r="AC309" i="7"/>
  <c r="AB310" i="7"/>
  <c r="AC310" i="7"/>
  <c r="AB311" i="7"/>
  <c r="AC311" i="7"/>
  <c r="AB312" i="7"/>
  <c r="AC312" i="7"/>
  <c r="AB313" i="7"/>
  <c r="AC313" i="7"/>
  <c r="AB314" i="7"/>
  <c r="AC314" i="7"/>
  <c r="AB315" i="7"/>
  <c r="AC315" i="7"/>
  <c r="AB316" i="7"/>
  <c r="AC316" i="7"/>
  <c r="AB317" i="7"/>
  <c r="AC317" i="7"/>
  <c r="AB318" i="7"/>
  <c r="AC318" i="7"/>
  <c r="AB319" i="7"/>
  <c r="AC319" i="7"/>
  <c r="AB320" i="7"/>
  <c r="AC320" i="7"/>
  <c r="AB321" i="7"/>
  <c r="AC321" i="7"/>
  <c r="AB322" i="7"/>
  <c r="AC322" i="7"/>
  <c r="AB323" i="7"/>
  <c r="AC323" i="7"/>
  <c r="AB324" i="7"/>
  <c r="AC324" i="7"/>
  <c r="AB325" i="7"/>
  <c r="AC325" i="7"/>
  <c r="AB326" i="7"/>
  <c r="AC326" i="7"/>
  <c r="AB327" i="7"/>
  <c r="AC327" i="7"/>
  <c r="AB328" i="7"/>
  <c r="AC328" i="7"/>
  <c r="AB329" i="7"/>
  <c r="AC329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42" i="7"/>
  <c r="AC342" i="7"/>
  <c r="AB343" i="7"/>
  <c r="AC343" i="7"/>
  <c r="AB344" i="7"/>
  <c r="AC344" i="7"/>
  <c r="AB345" i="7"/>
  <c r="AC345" i="7"/>
  <c r="AB346" i="7"/>
  <c r="AC346" i="7"/>
  <c r="K199" i="5"/>
  <c r="N199" i="5"/>
  <c r="Q199" i="5"/>
  <c r="T199" i="5"/>
  <c r="W199" i="5"/>
  <c r="Z199" i="5"/>
  <c r="AB347" i="7"/>
  <c r="AC347" i="7"/>
  <c r="AB348" i="7"/>
  <c r="AC348" i="7"/>
  <c r="AB349" i="7"/>
  <c r="AC349" i="7"/>
  <c r="AB350" i="7"/>
  <c r="AC350" i="7"/>
  <c r="AB351" i="7"/>
  <c r="AC351" i="7"/>
  <c r="K200" i="5"/>
  <c r="N200" i="5"/>
  <c r="Q200" i="5"/>
  <c r="T200" i="5"/>
  <c r="W200" i="5"/>
  <c r="Z200" i="5"/>
  <c r="AB352" i="7"/>
  <c r="AC352" i="7"/>
  <c r="AB353" i="7"/>
  <c r="AC353" i="7"/>
  <c r="AB354" i="7"/>
  <c r="AC354" i="7"/>
  <c r="AB355" i="7"/>
  <c r="AC355" i="7"/>
  <c r="AB356" i="7"/>
  <c r="AC356" i="7"/>
  <c r="AB357" i="7"/>
  <c r="AC357" i="7"/>
  <c r="AB358" i="7"/>
  <c r="AC358" i="7"/>
  <c r="AB359" i="7"/>
  <c r="AC359" i="7"/>
  <c r="AB360" i="7"/>
  <c r="AC360" i="7"/>
  <c r="AB361" i="7"/>
  <c r="AC361" i="7"/>
  <c r="K201" i="5"/>
  <c r="N201" i="5"/>
  <c r="Q201" i="5"/>
  <c r="T201" i="5"/>
  <c r="W201" i="5"/>
  <c r="Z201" i="5"/>
  <c r="AB362" i="7"/>
  <c r="AC362" i="7"/>
  <c r="AB363" i="7"/>
  <c r="AC363" i="7"/>
  <c r="AB364" i="7"/>
  <c r="AC364" i="7"/>
  <c r="AB365" i="7"/>
  <c r="AC365" i="7"/>
  <c r="AB366" i="7"/>
  <c r="AC366" i="7"/>
  <c r="AB367" i="7"/>
  <c r="AC367" i="7"/>
  <c r="AB368" i="7"/>
  <c r="AC368" i="7"/>
  <c r="AB369" i="7"/>
  <c r="AC369" i="7"/>
  <c r="AB370" i="7"/>
  <c r="AC370" i="7"/>
  <c r="AB371" i="7"/>
  <c r="AC371" i="7"/>
  <c r="AB372" i="7"/>
  <c r="AC372" i="7"/>
  <c r="AB373" i="7"/>
  <c r="AC373" i="7"/>
  <c r="AB374" i="7"/>
  <c r="AC374" i="7"/>
  <c r="AB375" i="7"/>
  <c r="AC375" i="7"/>
  <c r="AB376" i="7"/>
  <c r="AC376" i="7"/>
  <c r="K159" i="5"/>
  <c r="N159" i="5"/>
  <c r="Q159" i="5"/>
  <c r="T159" i="5"/>
  <c r="W159" i="5"/>
  <c r="Z159" i="5"/>
  <c r="AB377" i="7"/>
  <c r="AC377" i="7"/>
  <c r="K357" i="5"/>
  <c r="N357" i="5"/>
  <c r="Q357" i="5"/>
  <c r="T357" i="5"/>
  <c r="W357" i="5"/>
  <c r="Z357" i="5"/>
  <c r="AB378" i="7"/>
  <c r="AC378" i="7"/>
  <c r="K70" i="5"/>
  <c r="N70" i="5"/>
  <c r="Q70" i="5"/>
  <c r="T70" i="5"/>
  <c r="W70" i="5"/>
  <c r="Z70" i="5"/>
  <c r="AB379" i="7"/>
  <c r="AC379" i="7"/>
  <c r="K202" i="5"/>
  <c r="N202" i="5"/>
  <c r="Q202" i="5"/>
  <c r="T202" i="5"/>
  <c r="W202" i="5"/>
  <c r="Z202" i="5"/>
  <c r="AB380" i="7"/>
  <c r="AC380" i="7"/>
  <c r="K160" i="5"/>
  <c r="N160" i="5"/>
  <c r="Q160" i="5"/>
  <c r="T160" i="5"/>
  <c r="W160" i="5"/>
  <c r="Z160" i="5"/>
  <c r="AB381" i="7"/>
  <c r="AC381" i="7"/>
  <c r="W392" i="5"/>
  <c r="Z392" i="5"/>
  <c r="AB382" i="7"/>
  <c r="AC382" i="7"/>
  <c r="W22" i="5"/>
  <c r="Z22" i="5"/>
  <c r="AB383" i="7"/>
  <c r="AC383" i="7"/>
  <c r="W331" i="5"/>
  <c r="Z331" i="5"/>
  <c r="AB384" i="7"/>
  <c r="AC384" i="7"/>
  <c r="W300" i="5"/>
  <c r="Z300" i="5"/>
  <c r="AB385" i="7"/>
  <c r="AC385" i="7"/>
  <c r="W71" i="5"/>
  <c r="Z71" i="5"/>
  <c r="AB386" i="7"/>
  <c r="AC386" i="7"/>
  <c r="W72" i="5"/>
  <c r="Z72" i="5"/>
  <c r="AB387" i="7"/>
  <c r="AC387" i="7"/>
  <c r="W73" i="5"/>
  <c r="Z73" i="5"/>
  <c r="AB388" i="7"/>
  <c r="AC388" i="7"/>
  <c r="W74" i="5"/>
  <c r="Z74" i="5"/>
  <c r="AB389" i="7"/>
  <c r="AC389" i="7"/>
  <c r="W75" i="5"/>
  <c r="Z75" i="5"/>
  <c r="AB390" i="7"/>
  <c r="AC390" i="7"/>
  <c r="W44" i="5"/>
  <c r="Z44" i="5"/>
  <c r="AB391" i="7"/>
  <c r="AC391" i="7"/>
  <c r="W256" i="5"/>
  <c r="Z256" i="5"/>
  <c r="AB392" i="7"/>
  <c r="AC392" i="7"/>
  <c r="W76" i="5"/>
  <c r="Z76" i="5"/>
  <c r="AB393" i="7"/>
  <c r="AC393" i="7"/>
  <c r="W77" i="5"/>
  <c r="Z77" i="5"/>
  <c r="AB394" i="7"/>
  <c r="AC394" i="7"/>
  <c r="W78" i="5"/>
  <c r="Z78" i="5"/>
  <c r="AB395" i="7"/>
  <c r="AC395" i="7"/>
  <c r="W79" i="5"/>
  <c r="Z79" i="5"/>
  <c r="AB396" i="7"/>
  <c r="AC396" i="7"/>
  <c r="W80" i="5"/>
  <c r="Z80" i="5"/>
  <c r="AB397" i="7"/>
  <c r="AC397" i="7"/>
  <c r="W81" i="5"/>
  <c r="Z81" i="5"/>
  <c r="AB398" i="7"/>
  <c r="AC398" i="7"/>
  <c r="W3" i="5"/>
  <c r="Z3" i="5"/>
  <c r="AB399" i="7"/>
  <c r="AC399" i="7"/>
  <c r="W282" i="5"/>
  <c r="Z282" i="5"/>
  <c r="AB400" i="7"/>
  <c r="AC400" i="7"/>
  <c r="W82" i="5"/>
  <c r="Z82" i="5"/>
  <c r="AB401" i="7"/>
  <c r="AC401" i="7"/>
  <c r="W42" i="5"/>
  <c r="Z42" i="5"/>
  <c r="AB402" i="7"/>
  <c r="AC402" i="7"/>
  <c r="W405" i="5"/>
  <c r="Z405" i="5"/>
  <c r="AB403" i="7"/>
  <c r="AC403" i="7"/>
  <c r="W83" i="5"/>
  <c r="Z83" i="5"/>
  <c r="AB404" i="7"/>
  <c r="AC404" i="7"/>
  <c r="W84" i="5"/>
  <c r="Z84" i="5"/>
  <c r="AB405" i="7"/>
  <c r="AC405" i="7"/>
  <c r="W85" i="5"/>
  <c r="Z85" i="5"/>
  <c r="AB406" i="7"/>
  <c r="AC406" i="7"/>
  <c r="AC2" i="7"/>
  <c r="AB2" i="7"/>
  <c r="AA3" i="7"/>
  <c r="Q15" i="5"/>
  <c r="T15" i="5"/>
  <c r="AA4" i="7"/>
  <c r="Q20" i="5"/>
  <c r="T20" i="5"/>
  <c r="AA5" i="7"/>
  <c r="Q21" i="5"/>
  <c r="T21" i="5"/>
  <c r="AA6" i="7"/>
  <c r="Q23" i="5"/>
  <c r="T23" i="5"/>
  <c r="AA7" i="7"/>
  <c r="AA8" i="7"/>
  <c r="Q25" i="5"/>
  <c r="T25" i="5"/>
  <c r="AA9" i="7"/>
  <c r="Q59" i="5"/>
  <c r="T59" i="5"/>
  <c r="AA10" i="7"/>
  <c r="Q9" i="5"/>
  <c r="T9" i="5"/>
  <c r="AA11" i="7"/>
  <c r="Q63" i="5"/>
  <c r="T63" i="5"/>
  <c r="AA12" i="7"/>
  <c r="Q4" i="5"/>
  <c r="T4" i="5"/>
  <c r="AA13" i="7"/>
  <c r="Q36" i="5"/>
  <c r="T36" i="5"/>
  <c r="AA14" i="7"/>
  <c r="AA15" i="7"/>
  <c r="Q35" i="5"/>
  <c r="T35" i="5"/>
  <c r="AA16" i="7"/>
  <c r="Q38" i="5"/>
  <c r="T38" i="5"/>
  <c r="AA17" i="7"/>
  <c r="K109" i="5"/>
  <c r="N109" i="5"/>
  <c r="Q109" i="5"/>
  <c r="T109" i="5"/>
  <c r="AA18" i="7"/>
  <c r="K110" i="5"/>
  <c r="N110" i="5"/>
  <c r="Q110" i="5"/>
  <c r="T110" i="5"/>
  <c r="AA19" i="7"/>
  <c r="K91" i="5"/>
  <c r="N91" i="5"/>
  <c r="Q91" i="5"/>
  <c r="T91" i="5"/>
  <c r="AA20" i="7"/>
  <c r="K115" i="5"/>
  <c r="N115" i="5"/>
  <c r="Q115" i="5"/>
  <c r="T115" i="5"/>
  <c r="AA21" i="7"/>
  <c r="AA22" i="7"/>
  <c r="AA23" i="7"/>
  <c r="Q45" i="5"/>
  <c r="T45" i="5"/>
  <c r="AA24" i="7"/>
  <c r="AA25" i="7"/>
  <c r="AA26" i="7"/>
  <c r="Q47" i="5"/>
  <c r="T47" i="5"/>
  <c r="AA27" i="7"/>
  <c r="AA28" i="7"/>
  <c r="Q19" i="5"/>
  <c r="T19" i="5"/>
  <c r="AA29" i="7"/>
  <c r="Q57" i="5"/>
  <c r="T57" i="5"/>
  <c r="AA30" i="7"/>
  <c r="Q52" i="5"/>
  <c r="T52" i="5"/>
  <c r="AA31" i="7"/>
  <c r="Q16" i="5"/>
  <c r="T16" i="5"/>
  <c r="AA32" i="7"/>
  <c r="Q176" i="5"/>
  <c r="T176" i="5"/>
  <c r="AA33" i="7"/>
  <c r="Q6" i="5"/>
  <c r="T6" i="5"/>
  <c r="AA34" i="7"/>
  <c r="Q54" i="5"/>
  <c r="T54" i="5"/>
  <c r="AA35" i="7"/>
  <c r="AA36" i="7"/>
  <c r="AA37" i="7"/>
  <c r="Q56" i="5"/>
  <c r="T56" i="5"/>
  <c r="AA38" i="7"/>
  <c r="AA39" i="7"/>
  <c r="Q92" i="5"/>
  <c r="T92" i="5"/>
  <c r="AA40" i="7"/>
  <c r="Q100" i="5"/>
  <c r="T100" i="5"/>
  <c r="AA41" i="7"/>
  <c r="Q95" i="5"/>
  <c r="T95" i="5"/>
  <c r="AA42" i="7"/>
  <c r="Q88" i="5"/>
  <c r="T88" i="5"/>
  <c r="AA43" i="7"/>
  <c r="Q309" i="5"/>
  <c r="T309" i="5"/>
  <c r="AA44" i="7"/>
  <c r="Q255" i="5"/>
  <c r="T255" i="5"/>
  <c r="AA45" i="7"/>
  <c r="Q97" i="5"/>
  <c r="T97" i="5"/>
  <c r="AA46" i="7"/>
  <c r="Q164" i="5"/>
  <c r="T164" i="5"/>
  <c r="AA47" i="7"/>
  <c r="Q316" i="5"/>
  <c r="T316" i="5"/>
  <c r="AA48" i="7"/>
  <c r="Q116" i="5"/>
  <c r="T116" i="5"/>
  <c r="AA49" i="7"/>
  <c r="Q111" i="5"/>
  <c r="T111" i="5"/>
  <c r="AA50" i="7"/>
  <c r="Q112" i="5"/>
  <c r="T112" i="5"/>
  <c r="AA51" i="7"/>
  <c r="Q117" i="5"/>
  <c r="T117" i="5"/>
  <c r="AA52" i="7"/>
  <c r="Q113" i="5"/>
  <c r="T113" i="5"/>
  <c r="AA53" i="7"/>
  <c r="AA54" i="7"/>
  <c r="Q107" i="5"/>
  <c r="T107" i="5"/>
  <c r="AA55" i="7"/>
  <c r="Q105" i="5"/>
  <c r="T105" i="5"/>
  <c r="AA56" i="7"/>
  <c r="Q118" i="5"/>
  <c r="T118" i="5"/>
  <c r="AA57" i="7"/>
  <c r="Q106" i="5"/>
  <c r="T106" i="5"/>
  <c r="AA58" i="7"/>
  <c r="K119" i="5"/>
  <c r="N119" i="5"/>
  <c r="Q119" i="5"/>
  <c r="T119" i="5"/>
  <c r="AA59" i="7"/>
  <c r="Q346" i="5"/>
  <c r="T346" i="5"/>
  <c r="AA60" i="7"/>
  <c r="Q336" i="5"/>
  <c r="T336" i="5"/>
  <c r="AA61" i="7"/>
  <c r="Q96" i="5"/>
  <c r="T96" i="5"/>
  <c r="AA62" i="7"/>
  <c r="AA63" i="7"/>
  <c r="AA64" i="7"/>
  <c r="K122" i="5"/>
  <c r="N122" i="5"/>
  <c r="Q122" i="5"/>
  <c r="T122" i="5"/>
  <c r="AA65" i="7"/>
  <c r="Q114" i="5"/>
  <c r="T114" i="5"/>
  <c r="AA66" i="7"/>
  <c r="Q108" i="5"/>
  <c r="T108" i="5"/>
  <c r="AA67" i="7"/>
  <c r="Q161" i="5"/>
  <c r="T161" i="5"/>
  <c r="AA68" i="7"/>
  <c r="AA69" i="7"/>
  <c r="Q162" i="5"/>
  <c r="T162" i="5"/>
  <c r="AA70" i="7"/>
  <c r="Q120" i="5"/>
  <c r="T120" i="5"/>
  <c r="AA71" i="7"/>
  <c r="Q58" i="5"/>
  <c r="T58" i="5"/>
  <c r="AA72" i="7"/>
  <c r="Q173" i="5"/>
  <c r="T173" i="5"/>
  <c r="AA73" i="7"/>
  <c r="AA74" i="7"/>
  <c r="Q172" i="5"/>
  <c r="T172" i="5"/>
  <c r="AA75" i="7"/>
  <c r="Q53" i="5"/>
  <c r="T53" i="5"/>
  <c r="AA76" i="7"/>
  <c r="Q181" i="5"/>
  <c r="T181" i="5"/>
  <c r="AA77" i="7"/>
  <c r="AA78" i="7"/>
  <c r="K179" i="5"/>
  <c r="N179" i="5"/>
  <c r="Q179" i="5"/>
  <c r="T179" i="5"/>
  <c r="AA79" i="7"/>
  <c r="AA80" i="7"/>
  <c r="Q185" i="5"/>
  <c r="T185" i="5"/>
  <c r="AA81" i="7"/>
  <c r="Q374" i="5"/>
  <c r="T374" i="5"/>
  <c r="AA82" i="7"/>
  <c r="Q253" i="5"/>
  <c r="T253" i="5"/>
  <c r="AA83" i="7"/>
  <c r="Q166" i="5"/>
  <c r="T166" i="5"/>
  <c r="AA84" i="7"/>
  <c r="Q167" i="5"/>
  <c r="T167" i="5"/>
  <c r="AA85" i="7"/>
  <c r="Q168" i="5"/>
  <c r="T168" i="5"/>
  <c r="AA86" i="7"/>
  <c r="Q32" i="5"/>
  <c r="T32" i="5"/>
  <c r="AA87" i="7"/>
  <c r="Q263" i="5"/>
  <c r="T263" i="5"/>
  <c r="AA88" i="7"/>
  <c r="Q265" i="5"/>
  <c r="T265" i="5"/>
  <c r="AA89" i="7"/>
  <c r="Q266" i="5"/>
  <c r="T266" i="5"/>
  <c r="AA90" i="7"/>
  <c r="Q308" i="5"/>
  <c r="T308" i="5"/>
  <c r="AA91" i="7"/>
  <c r="Q239" i="5"/>
  <c r="T239" i="5"/>
  <c r="AA92" i="7"/>
  <c r="Q261" i="5"/>
  <c r="T261" i="5"/>
  <c r="AA93" i="7"/>
  <c r="Q60" i="5"/>
  <c r="T60" i="5"/>
  <c r="AA94" i="7"/>
  <c r="K379" i="5"/>
  <c r="N379" i="5"/>
  <c r="Q379" i="5"/>
  <c r="T379" i="5"/>
  <c r="AA95" i="7"/>
  <c r="Q337" i="5"/>
  <c r="T337" i="5"/>
  <c r="AA96" i="7"/>
  <c r="K290" i="5"/>
  <c r="N290" i="5"/>
  <c r="Q290" i="5"/>
  <c r="T290" i="5"/>
  <c r="AA97" i="7"/>
  <c r="AA98" i="7"/>
  <c r="Q277" i="5"/>
  <c r="T277" i="5"/>
  <c r="AA99" i="7"/>
  <c r="AA100" i="7"/>
  <c r="AA101" i="7"/>
  <c r="AA102" i="7"/>
  <c r="AA103" i="7"/>
  <c r="K291" i="5"/>
  <c r="N291" i="5"/>
  <c r="Q291" i="5"/>
  <c r="T291" i="5"/>
  <c r="AA104" i="7"/>
  <c r="Q319" i="5"/>
  <c r="T319" i="5"/>
  <c r="AA105" i="7"/>
  <c r="Q242" i="5"/>
  <c r="T242" i="5"/>
  <c r="AA106" i="7"/>
  <c r="Q324" i="5"/>
  <c r="T324" i="5"/>
  <c r="AA107" i="7"/>
  <c r="K225" i="5"/>
  <c r="N225" i="5"/>
  <c r="Q225" i="5"/>
  <c r="T225" i="5"/>
  <c r="AA108" i="7"/>
  <c r="Q18" i="5"/>
  <c r="T18" i="5"/>
  <c r="AA109" i="7"/>
  <c r="Q50" i="5"/>
  <c r="T50" i="5"/>
  <c r="AA110" i="7"/>
  <c r="K366" i="5"/>
  <c r="N366" i="5"/>
  <c r="Q366" i="5"/>
  <c r="T366" i="5"/>
  <c r="AA111" i="7"/>
  <c r="Q26" i="5"/>
  <c r="T26" i="5"/>
  <c r="AA112" i="7"/>
  <c r="Q350" i="5"/>
  <c r="T350" i="5"/>
  <c r="AA113" i="7"/>
  <c r="Q294" i="5"/>
  <c r="T294" i="5"/>
  <c r="AA114" i="7"/>
  <c r="Q90" i="5"/>
  <c r="T90" i="5"/>
  <c r="AA115" i="7"/>
  <c r="Q362" i="5"/>
  <c r="T362" i="5"/>
  <c r="AA116" i="7"/>
  <c r="K41" i="5"/>
  <c r="N41" i="5"/>
  <c r="Q41" i="5"/>
  <c r="T41" i="5"/>
  <c r="AA117" i="7"/>
  <c r="Q89" i="5"/>
  <c r="T89" i="5"/>
  <c r="AA118" i="7"/>
  <c r="Q98" i="5"/>
  <c r="T98" i="5"/>
  <c r="AA119" i="7"/>
  <c r="AA120" i="7"/>
  <c r="Q99" i="5"/>
  <c r="T99" i="5"/>
  <c r="AA121" i="7"/>
  <c r="Q332" i="5"/>
  <c r="T332" i="5"/>
  <c r="AA122" i="7"/>
  <c r="Q347" i="5"/>
  <c r="T347" i="5"/>
  <c r="AA123" i="7"/>
  <c r="Q305" i="5"/>
  <c r="T305" i="5"/>
  <c r="AA124" i="7"/>
  <c r="AA125" i="7"/>
  <c r="K321" i="5"/>
  <c r="N321" i="5"/>
  <c r="Q321" i="5"/>
  <c r="T321" i="5"/>
  <c r="AA126" i="7"/>
  <c r="K223" i="5"/>
  <c r="N223" i="5"/>
  <c r="Q223" i="5"/>
  <c r="T223" i="5"/>
  <c r="AA127" i="7"/>
  <c r="Q93" i="5"/>
  <c r="T93" i="5"/>
  <c r="AA128" i="7"/>
  <c r="K325" i="5"/>
  <c r="N325" i="5"/>
  <c r="Q325" i="5"/>
  <c r="T325" i="5"/>
  <c r="AA129" i="7"/>
  <c r="K28" i="5"/>
  <c r="N28" i="5"/>
  <c r="Q28" i="5"/>
  <c r="T28" i="5"/>
  <c r="AA130" i="7"/>
  <c r="AA131" i="7"/>
  <c r="Q354" i="5"/>
  <c r="T354" i="5"/>
  <c r="AA132" i="7"/>
  <c r="Q254" i="5"/>
  <c r="T254" i="5"/>
  <c r="AA133" i="7"/>
  <c r="Q102" i="5"/>
  <c r="T102" i="5"/>
  <c r="AA134" i="7"/>
  <c r="Q358" i="5"/>
  <c r="T358" i="5"/>
  <c r="AA135" i="7"/>
  <c r="K377" i="5"/>
  <c r="N377" i="5"/>
  <c r="Q377" i="5"/>
  <c r="T377" i="5"/>
  <c r="AA136" i="7"/>
  <c r="Q178" i="5"/>
  <c r="T178" i="5"/>
  <c r="AA137" i="7"/>
  <c r="K237" i="5"/>
  <c r="N237" i="5"/>
  <c r="Q237" i="5"/>
  <c r="T237" i="5"/>
  <c r="AA138" i="7"/>
  <c r="Q351" i="5"/>
  <c r="T351" i="5"/>
  <c r="AA139" i="7"/>
  <c r="Q375" i="5"/>
  <c r="T375" i="5"/>
  <c r="AA140" i="7"/>
  <c r="Q61" i="5"/>
  <c r="T61" i="5"/>
  <c r="AA141" i="7"/>
  <c r="K317" i="5"/>
  <c r="N317" i="5"/>
  <c r="Q317" i="5"/>
  <c r="T317" i="5"/>
  <c r="AA142" i="7"/>
  <c r="K376" i="5"/>
  <c r="N376" i="5"/>
  <c r="Q376" i="5"/>
  <c r="T376" i="5"/>
  <c r="AA143" i="7"/>
  <c r="AA144" i="7"/>
  <c r="Q170" i="5"/>
  <c r="T170" i="5"/>
  <c r="AA145" i="7"/>
  <c r="K177" i="5"/>
  <c r="N177" i="5"/>
  <c r="Q177" i="5"/>
  <c r="T177" i="5"/>
  <c r="AA146" i="7"/>
  <c r="Q5" i="5"/>
  <c r="T5" i="5"/>
  <c r="AA147" i="7"/>
  <c r="K171" i="5"/>
  <c r="N171" i="5"/>
  <c r="Q171" i="5"/>
  <c r="T171" i="5"/>
  <c r="AA148" i="7"/>
  <c r="K298" i="5"/>
  <c r="N298" i="5"/>
  <c r="Q298" i="5"/>
  <c r="T298" i="5"/>
  <c r="AA149" i="7"/>
  <c r="AA150" i="7"/>
  <c r="Q302" i="5"/>
  <c r="T302" i="5"/>
  <c r="AA151" i="7"/>
  <c r="K297" i="5"/>
  <c r="N297" i="5"/>
  <c r="Q297" i="5"/>
  <c r="T297" i="5"/>
  <c r="AA152" i="7"/>
  <c r="Q27" i="5"/>
  <c r="T27" i="5"/>
  <c r="AA153" i="7"/>
  <c r="Q360" i="5"/>
  <c r="T360" i="5"/>
  <c r="AA154" i="7"/>
  <c r="AA155" i="7"/>
  <c r="Q183" i="5"/>
  <c r="T183" i="5"/>
  <c r="AA156" i="7"/>
  <c r="Q353" i="5"/>
  <c r="T353" i="5"/>
  <c r="AA157" i="7"/>
  <c r="Q342" i="5"/>
  <c r="T342" i="5"/>
  <c r="AA158" i="7"/>
  <c r="Q343" i="5"/>
  <c r="T343" i="5"/>
  <c r="AA159" i="7"/>
  <c r="AA160" i="7"/>
  <c r="Q65" i="5"/>
  <c r="T65" i="5"/>
  <c r="AA161" i="7"/>
  <c r="Q39" i="5"/>
  <c r="T39" i="5"/>
  <c r="AA162" i="7"/>
  <c r="Q48" i="5"/>
  <c r="T48" i="5"/>
  <c r="AA163" i="7"/>
  <c r="Q272" i="5"/>
  <c r="T272" i="5"/>
  <c r="AA164" i="7"/>
  <c r="K86" i="5"/>
  <c r="N86" i="5"/>
  <c r="Q86" i="5"/>
  <c r="T86" i="5"/>
  <c r="AA165" i="7"/>
  <c r="K30" i="5"/>
  <c r="N30" i="5"/>
  <c r="Q30" i="5"/>
  <c r="T30" i="5"/>
  <c r="AA166" i="7"/>
  <c r="K283" i="5"/>
  <c r="N283" i="5"/>
  <c r="Q283" i="5"/>
  <c r="T283" i="5"/>
  <c r="AA167" i="7"/>
  <c r="AA168" i="7"/>
  <c r="AA169" i="7"/>
  <c r="AA170" i="7"/>
  <c r="Q335" i="5"/>
  <c r="T335" i="5"/>
  <c r="AA171" i="7"/>
  <c r="Q345" i="5"/>
  <c r="T345" i="5"/>
  <c r="AA172" i="7"/>
  <c r="Q352" i="5"/>
  <c r="T352" i="5"/>
  <c r="AA173" i="7"/>
  <c r="Q33" i="5"/>
  <c r="T33" i="5"/>
  <c r="AA174" i="7"/>
  <c r="Q104" i="5"/>
  <c r="T104" i="5"/>
  <c r="AA175" i="7"/>
  <c r="Q163" i="5"/>
  <c r="T163" i="5"/>
  <c r="AA176" i="7"/>
  <c r="AA177" i="7"/>
  <c r="AA178" i="7"/>
  <c r="AA179" i="7"/>
  <c r="AA180" i="7"/>
  <c r="AA181" i="7"/>
  <c r="Q268" i="5"/>
  <c r="T268" i="5"/>
  <c r="AA182" i="7"/>
  <c r="Q248" i="5"/>
  <c r="T248" i="5"/>
  <c r="AA183" i="7"/>
  <c r="AA184" i="7"/>
  <c r="AA185" i="7"/>
  <c r="AA186" i="7"/>
  <c r="AA187" i="7"/>
  <c r="AA188" i="7"/>
  <c r="AA189" i="7"/>
  <c r="AA190" i="7"/>
  <c r="AA191" i="7"/>
  <c r="AA192" i="7"/>
  <c r="Q233" i="5"/>
  <c r="T233" i="5"/>
  <c r="AA193" i="7"/>
  <c r="Q64" i="5"/>
  <c r="T64" i="5"/>
  <c r="AA194" i="7"/>
  <c r="Q318" i="5"/>
  <c r="T318" i="5"/>
  <c r="AA195" i="7"/>
  <c r="Q323" i="5"/>
  <c r="T323" i="5"/>
  <c r="AA196" i="7"/>
  <c r="Q322" i="5"/>
  <c r="T322" i="5"/>
  <c r="AA197" i="7"/>
  <c r="Q296" i="5"/>
  <c r="T296" i="5"/>
  <c r="AA198" i="7"/>
  <c r="Q301" i="5"/>
  <c r="T301" i="5"/>
  <c r="AA199" i="7"/>
  <c r="Q182" i="5"/>
  <c r="T182" i="5"/>
  <c r="AA200" i="7"/>
  <c r="Q236" i="5"/>
  <c r="T236" i="5"/>
  <c r="AA201" i="7"/>
  <c r="Q238" i="5"/>
  <c r="T238" i="5"/>
  <c r="AA202" i="7"/>
  <c r="Q274" i="5"/>
  <c r="T274" i="5"/>
  <c r="AA203" i="7"/>
  <c r="Q247" i="5"/>
  <c r="T247" i="5"/>
  <c r="AA204" i="7"/>
  <c r="Q310" i="5"/>
  <c r="T310" i="5"/>
  <c r="AA205" i="7"/>
  <c r="Q289" i="5"/>
  <c r="T289" i="5"/>
  <c r="AA206" i="7"/>
  <c r="Q315" i="5"/>
  <c r="T315" i="5"/>
  <c r="AA207" i="7"/>
  <c r="Q313" i="5"/>
  <c r="T313" i="5"/>
  <c r="AA208" i="7"/>
  <c r="Q292" i="5"/>
  <c r="T292" i="5"/>
  <c r="AA209" i="7"/>
  <c r="Q311" i="5"/>
  <c r="T311" i="5"/>
  <c r="AA210" i="7"/>
  <c r="Q314" i="5"/>
  <c r="T314" i="5"/>
  <c r="AA211" i="7"/>
  <c r="AA212" i="7"/>
  <c r="Q235" i="5"/>
  <c r="T235" i="5"/>
  <c r="AA213" i="7"/>
  <c r="AA214" i="7"/>
  <c r="Q240" i="5"/>
  <c r="T240" i="5"/>
  <c r="AA215" i="7"/>
  <c r="Q103" i="5"/>
  <c r="T103" i="5"/>
  <c r="AA216" i="7"/>
  <c r="Q279" i="5"/>
  <c r="T279" i="5"/>
  <c r="AA217" i="7"/>
  <c r="Q278" i="5"/>
  <c r="T278" i="5"/>
  <c r="AA218" i="7"/>
  <c r="Q281" i="5"/>
  <c r="T281" i="5"/>
  <c r="AA219" i="7"/>
  <c r="AA220" i="7"/>
  <c r="AA221" i="7"/>
  <c r="AA222" i="7"/>
  <c r="Q257" i="5"/>
  <c r="T257" i="5"/>
  <c r="AA223" i="7"/>
  <c r="AA224" i="7"/>
  <c r="AA225" i="7"/>
  <c r="Q287" i="5"/>
  <c r="T287" i="5"/>
  <c r="AA226" i="7"/>
  <c r="AA227" i="7"/>
  <c r="AA228" i="7"/>
  <c r="AA229" i="7"/>
  <c r="Q284" i="5"/>
  <c r="T284" i="5"/>
  <c r="AA230" i="7"/>
  <c r="Q285" i="5"/>
  <c r="T285" i="5"/>
  <c r="AA231" i="7"/>
  <c r="AA232" i="7"/>
  <c r="AA233" i="7"/>
  <c r="Q251" i="5"/>
  <c r="T251" i="5"/>
  <c r="AA234" i="7"/>
  <c r="Q339" i="5"/>
  <c r="T339" i="5"/>
  <c r="AA235" i="7"/>
  <c r="Q295" i="5"/>
  <c r="T295" i="5"/>
  <c r="AA236" i="7"/>
  <c r="AA237" i="7"/>
  <c r="Q340" i="5"/>
  <c r="T340" i="5"/>
  <c r="AA238" i="7"/>
  <c r="Q338" i="5"/>
  <c r="T338" i="5"/>
  <c r="AA239" i="7"/>
  <c r="Q344" i="5"/>
  <c r="T344" i="5"/>
  <c r="AA240" i="7"/>
  <c r="Q373" i="5"/>
  <c r="T373" i="5"/>
  <c r="AA241" i="7"/>
  <c r="Q341" i="5"/>
  <c r="T341" i="5"/>
  <c r="AA242" i="7"/>
  <c r="Q334" i="5"/>
  <c r="T334" i="5"/>
  <c r="AA243" i="7"/>
  <c r="AA244" i="7"/>
  <c r="Q359" i="5"/>
  <c r="T359" i="5"/>
  <c r="AA245" i="7"/>
  <c r="K365" i="5"/>
  <c r="N365" i="5"/>
  <c r="Q365" i="5"/>
  <c r="T365" i="5"/>
  <c r="AA246" i="7"/>
  <c r="AA247" i="7"/>
  <c r="Q372" i="5"/>
  <c r="T372" i="5"/>
  <c r="AA248" i="7"/>
  <c r="Q370" i="5"/>
  <c r="T370" i="5"/>
  <c r="AA249" i="7"/>
  <c r="Q371" i="5"/>
  <c r="T371" i="5"/>
  <c r="AA250" i="7"/>
  <c r="K320" i="5"/>
  <c r="N320" i="5"/>
  <c r="Q320" i="5"/>
  <c r="T320" i="5"/>
  <c r="AA251" i="7"/>
  <c r="Q249" i="5"/>
  <c r="T249" i="5"/>
  <c r="AA252" i="7"/>
  <c r="Q34" i="5"/>
  <c r="T34" i="5"/>
  <c r="AA253" i="7"/>
  <c r="K241" i="5"/>
  <c r="N241" i="5"/>
  <c r="Q241" i="5"/>
  <c r="T241" i="5"/>
  <c r="AA254" i="7"/>
  <c r="Q385" i="5"/>
  <c r="T385" i="5"/>
  <c r="AA255" i="7"/>
  <c r="AA256" i="7"/>
  <c r="Q361" i="5"/>
  <c r="T361" i="5"/>
  <c r="AA257" i="7"/>
  <c r="K175" i="5"/>
  <c r="N175" i="5"/>
  <c r="Q175" i="5"/>
  <c r="T175" i="5"/>
  <c r="AA258" i="7"/>
  <c r="Q303" i="5"/>
  <c r="T303" i="5"/>
  <c r="AA259" i="7"/>
  <c r="Q307" i="5"/>
  <c r="T307" i="5"/>
  <c r="AA260" i="7"/>
  <c r="Q304" i="5"/>
  <c r="T304" i="5"/>
  <c r="AA261" i="7"/>
  <c r="Q349" i="5"/>
  <c r="T349" i="5"/>
  <c r="AA262" i="7"/>
  <c r="Q364" i="5"/>
  <c r="T364" i="5"/>
  <c r="AA263" i="7"/>
  <c r="Q312" i="5"/>
  <c r="T312" i="5"/>
  <c r="AA264" i="7"/>
  <c r="Q87" i="5"/>
  <c r="T87" i="5"/>
  <c r="AA265" i="7"/>
  <c r="Q94" i="5"/>
  <c r="T94" i="5"/>
  <c r="AA266" i="7"/>
  <c r="K66" i="5"/>
  <c r="N66" i="5"/>
  <c r="Q66" i="5"/>
  <c r="T66" i="5"/>
  <c r="AA267" i="7"/>
  <c r="Q51" i="5"/>
  <c r="T51" i="5"/>
  <c r="AA268" i="7"/>
  <c r="AA269" i="7"/>
  <c r="AA270" i="7"/>
  <c r="AA271" i="7"/>
  <c r="AA272" i="7"/>
  <c r="AA273" i="7"/>
  <c r="Q259" i="5"/>
  <c r="T259" i="5"/>
  <c r="AA274" i="7"/>
  <c r="Q262" i="5"/>
  <c r="T262" i="5"/>
  <c r="AA275" i="7"/>
  <c r="Q273" i="5"/>
  <c r="T273" i="5"/>
  <c r="AA276" i="7"/>
  <c r="Q246" i="5"/>
  <c r="T246" i="5"/>
  <c r="AA277" i="7"/>
  <c r="Q264" i="5"/>
  <c r="T264" i="5"/>
  <c r="AA278" i="7"/>
  <c r="Q348" i="5"/>
  <c r="T348" i="5"/>
  <c r="AA279" i="7"/>
  <c r="Q391" i="5"/>
  <c r="T391" i="5"/>
  <c r="AA280" i="7"/>
  <c r="Q62" i="5"/>
  <c r="T62" i="5"/>
  <c r="AA281" i="7"/>
  <c r="Q7" i="5"/>
  <c r="T7" i="5"/>
  <c r="AA282" i="7"/>
  <c r="Q13" i="5"/>
  <c r="T13" i="5"/>
  <c r="AA283" i="7"/>
  <c r="Q10" i="5"/>
  <c r="T10" i="5"/>
  <c r="AA284" i="7"/>
  <c r="Q11" i="5"/>
  <c r="T11" i="5"/>
  <c r="AA285" i="7"/>
  <c r="Q14" i="5"/>
  <c r="T14" i="5"/>
  <c r="AA286" i="7"/>
  <c r="Q12" i="5"/>
  <c r="T12" i="5"/>
  <c r="AA287" i="7"/>
  <c r="Q276" i="5"/>
  <c r="T276" i="5"/>
  <c r="AA288" i="7"/>
  <c r="Q31" i="5"/>
  <c r="T31" i="5"/>
  <c r="AA289" i="7"/>
  <c r="Q270" i="5"/>
  <c r="T270" i="5"/>
  <c r="AA290" i="7"/>
  <c r="AA291" i="7"/>
  <c r="Q260" i="5"/>
  <c r="T260" i="5"/>
  <c r="AA292" i="7"/>
  <c r="Q275" i="5"/>
  <c r="T275" i="5"/>
  <c r="AA293" i="7"/>
  <c r="Q271" i="5"/>
  <c r="T271" i="5"/>
  <c r="AA294" i="7"/>
  <c r="Q123" i="5"/>
  <c r="T123" i="5"/>
  <c r="AA295" i="7"/>
  <c r="K154" i="5"/>
  <c r="N154" i="5"/>
  <c r="Q154" i="5"/>
  <c r="T154" i="5"/>
  <c r="AA296" i="7"/>
  <c r="K155" i="5"/>
  <c r="N155" i="5"/>
  <c r="Q155" i="5"/>
  <c r="T155" i="5"/>
  <c r="AA297" i="7"/>
  <c r="AA298" i="7"/>
  <c r="K157" i="5"/>
  <c r="N157" i="5"/>
  <c r="Q157" i="5"/>
  <c r="T157" i="5"/>
  <c r="AA299" i="7"/>
  <c r="K197" i="5"/>
  <c r="N197" i="5"/>
  <c r="Q197" i="5"/>
  <c r="T197" i="5"/>
  <c r="AA300" i="7"/>
  <c r="K194" i="5"/>
  <c r="N194" i="5"/>
  <c r="Q194" i="5"/>
  <c r="T194" i="5"/>
  <c r="AA301" i="7"/>
  <c r="K191" i="5"/>
  <c r="N191" i="5"/>
  <c r="Q191" i="5"/>
  <c r="T191" i="5"/>
  <c r="AA302" i="7"/>
  <c r="K189" i="5"/>
  <c r="N189" i="5"/>
  <c r="Q189" i="5"/>
  <c r="T189" i="5"/>
  <c r="AA303" i="7"/>
  <c r="AA304" i="7"/>
  <c r="K192" i="5"/>
  <c r="N192" i="5"/>
  <c r="Q192" i="5"/>
  <c r="T192" i="5"/>
  <c r="AA305" i="7"/>
  <c r="K188" i="5"/>
  <c r="N188" i="5"/>
  <c r="Q188" i="5"/>
  <c r="T188" i="5"/>
  <c r="AA306" i="7"/>
  <c r="K190" i="5"/>
  <c r="N190" i="5"/>
  <c r="Q190" i="5"/>
  <c r="T190" i="5"/>
  <c r="AA307" i="7"/>
  <c r="K195" i="5"/>
  <c r="N195" i="5"/>
  <c r="Q195" i="5"/>
  <c r="T195" i="5"/>
  <c r="AA308" i="7"/>
  <c r="K196" i="5"/>
  <c r="N196" i="5"/>
  <c r="Q196" i="5"/>
  <c r="T196" i="5"/>
  <c r="AA309" i="7"/>
  <c r="K198" i="5"/>
  <c r="N198" i="5"/>
  <c r="Q198" i="5"/>
  <c r="T198" i="5"/>
  <c r="AA310" i="7"/>
  <c r="K158" i="5"/>
  <c r="N158" i="5"/>
  <c r="Q158" i="5"/>
  <c r="T158" i="5"/>
  <c r="AA311" i="7"/>
  <c r="K136" i="5"/>
  <c r="N136" i="5"/>
  <c r="Q136" i="5"/>
  <c r="T136" i="5"/>
  <c r="AA312" i="7"/>
  <c r="K138" i="5"/>
  <c r="N138" i="5"/>
  <c r="Q138" i="5"/>
  <c r="T138" i="5"/>
  <c r="AA313" i="7"/>
  <c r="K130" i="5"/>
  <c r="N130" i="5"/>
  <c r="Q130" i="5"/>
  <c r="T130" i="5"/>
  <c r="AA314" i="7"/>
  <c r="K131" i="5"/>
  <c r="N131" i="5"/>
  <c r="Q131" i="5"/>
  <c r="T131" i="5"/>
  <c r="AA315" i="7"/>
  <c r="K143" i="5"/>
  <c r="N143" i="5"/>
  <c r="Q143" i="5"/>
  <c r="T143" i="5"/>
  <c r="AA316" i="7"/>
  <c r="K139" i="5"/>
  <c r="N139" i="5"/>
  <c r="Q139" i="5"/>
  <c r="T139" i="5"/>
  <c r="AA317" i="7"/>
  <c r="K141" i="5"/>
  <c r="N141" i="5"/>
  <c r="Q141" i="5"/>
  <c r="T141" i="5"/>
  <c r="AA318" i="7"/>
  <c r="K144" i="5"/>
  <c r="N144" i="5"/>
  <c r="Q144" i="5"/>
  <c r="T144" i="5"/>
  <c r="AA319" i="7"/>
  <c r="K150" i="5"/>
  <c r="N150" i="5"/>
  <c r="Q150" i="5"/>
  <c r="T150" i="5"/>
  <c r="AA320" i="7"/>
  <c r="K153" i="5"/>
  <c r="N153" i="5"/>
  <c r="Q153" i="5"/>
  <c r="T153" i="5"/>
  <c r="AA321" i="7"/>
  <c r="K142" i="5"/>
  <c r="N142" i="5"/>
  <c r="Q142" i="5"/>
  <c r="T142" i="5"/>
  <c r="AA322" i="7"/>
  <c r="K146" i="5"/>
  <c r="N146" i="5"/>
  <c r="Q146" i="5"/>
  <c r="T146" i="5"/>
  <c r="AA323" i="7"/>
  <c r="K137" i="5"/>
  <c r="N137" i="5"/>
  <c r="Q137" i="5"/>
  <c r="T137" i="5"/>
  <c r="AA324" i="7"/>
  <c r="K149" i="5"/>
  <c r="N149" i="5"/>
  <c r="Q149" i="5"/>
  <c r="T149" i="5"/>
  <c r="AA325" i="7"/>
  <c r="K128" i="5"/>
  <c r="N128" i="5"/>
  <c r="Q128" i="5"/>
  <c r="T128" i="5"/>
  <c r="AA326" i="7"/>
  <c r="K147" i="5"/>
  <c r="N147" i="5"/>
  <c r="Q147" i="5"/>
  <c r="T147" i="5"/>
  <c r="AA327" i="7"/>
  <c r="K140" i="5"/>
  <c r="N140" i="5"/>
  <c r="Q140" i="5"/>
  <c r="T140" i="5"/>
  <c r="AA328" i="7"/>
  <c r="K151" i="5"/>
  <c r="N151" i="5"/>
  <c r="Q151" i="5"/>
  <c r="T151" i="5"/>
  <c r="AA329" i="7"/>
  <c r="K125" i="5"/>
  <c r="N125" i="5"/>
  <c r="Q125" i="5"/>
  <c r="T125" i="5"/>
  <c r="AA330" i="7"/>
  <c r="K152" i="5"/>
  <c r="N152" i="5"/>
  <c r="Q152" i="5"/>
  <c r="T152" i="5"/>
  <c r="AA331" i="7"/>
  <c r="K145" i="5"/>
  <c r="N145" i="5"/>
  <c r="Q145" i="5"/>
  <c r="T145" i="5"/>
  <c r="AA332" i="7"/>
  <c r="K134" i="5"/>
  <c r="N134" i="5"/>
  <c r="Q134" i="5"/>
  <c r="T134" i="5"/>
  <c r="AA333" i="7"/>
  <c r="K135" i="5"/>
  <c r="N135" i="5"/>
  <c r="Q135" i="5"/>
  <c r="T135" i="5"/>
  <c r="AA334" i="7"/>
  <c r="K133" i="5"/>
  <c r="N133" i="5"/>
  <c r="Q133" i="5"/>
  <c r="T133" i="5"/>
  <c r="AA335" i="7"/>
  <c r="K148" i="5"/>
  <c r="N148" i="5"/>
  <c r="Q148" i="5"/>
  <c r="T148" i="5"/>
  <c r="AA336" i="7"/>
  <c r="K129" i="5"/>
  <c r="N129" i="5"/>
  <c r="Q129" i="5"/>
  <c r="T129" i="5"/>
  <c r="AA337" i="7"/>
  <c r="K187" i="5"/>
  <c r="N187" i="5"/>
  <c r="Q187" i="5"/>
  <c r="T187" i="5"/>
  <c r="AA338" i="7"/>
  <c r="K126" i="5"/>
  <c r="N126" i="5"/>
  <c r="Q126" i="5"/>
  <c r="T126" i="5"/>
  <c r="AA339" i="7"/>
  <c r="K127" i="5"/>
  <c r="N127" i="5"/>
  <c r="Q127" i="5"/>
  <c r="T127" i="5"/>
  <c r="AA340" i="7"/>
  <c r="K186" i="5"/>
  <c r="N186" i="5"/>
  <c r="Q186" i="5"/>
  <c r="T186" i="5"/>
  <c r="AA341" i="7"/>
  <c r="K132" i="5"/>
  <c r="N132" i="5"/>
  <c r="Q132" i="5"/>
  <c r="T132" i="5"/>
  <c r="AA342" i="7"/>
  <c r="K124" i="5"/>
  <c r="N124" i="5"/>
  <c r="Q124" i="5"/>
  <c r="T124" i="5"/>
  <c r="AA343" i="7"/>
  <c r="K213" i="5"/>
  <c r="N213" i="5"/>
  <c r="Q213" i="5"/>
  <c r="T213" i="5"/>
  <c r="AA344" i="7"/>
  <c r="K203" i="5"/>
  <c r="N203" i="5"/>
  <c r="Q203" i="5"/>
  <c r="T203" i="5"/>
  <c r="AA345" i="7"/>
  <c r="K221" i="5"/>
  <c r="N221" i="5"/>
  <c r="Q221" i="5"/>
  <c r="T221" i="5"/>
  <c r="AA346" i="7"/>
  <c r="AA347" i="7"/>
  <c r="K209" i="5"/>
  <c r="N209" i="5"/>
  <c r="Q209" i="5"/>
  <c r="T209" i="5"/>
  <c r="AA348" i="7"/>
  <c r="K210" i="5"/>
  <c r="N210" i="5"/>
  <c r="Q210" i="5"/>
  <c r="T210" i="5"/>
  <c r="AA349" i="7"/>
  <c r="K212" i="5"/>
  <c r="N212" i="5"/>
  <c r="Q212" i="5"/>
  <c r="T212" i="5"/>
  <c r="AA350" i="7"/>
  <c r="K211" i="5"/>
  <c r="N211" i="5"/>
  <c r="Q211" i="5"/>
  <c r="T211" i="5"/>
  <c r="AA351" i="7"/>
  <c r="AA352" i="7"/>
  <c r="K205" i="5"/>
  <c r="N205" i="5"/>
  <c r="Q205" i="5"/>
  <c r="T205" i="5"/>
  <c r="AA353" i="7"/>
  <c r="AA354" i="7"/>
  <c r="K220" i="5"/>
  <c r="N220" i="5"/>
  <c r="Q220" i="5"/>
  <c r="T220" i="5"/>
  <c r="AA355" i="7"/>
  <c r="K219" i="5"/>
  <c r="N219" i="5"/>
  <c r="Q219" i="5"/>
  <c r="T219" i="5"/>
  <c r="AA356" i="7"/>
  <c r="K215" i="5"/>
  <c r="N215" i="5"/>
  <c r="Q215" i="5"/>
  <c r="T215" i="5"/>
  <c r="AA357" i="7"/>
  <c r="AA358" i="7"/>
  <c r="K216" i="5"/>
  <c r="N216" i="5"/>
  <c r="Q216" i="5"/>
  <c r="T216" i="5"/>
  <c r="AA359" i="7"/>
  <c r="K214" i="5"/>
  <c r="N214" i="5"/>
  <c r="Q214" i="5"/>
  <c r="T214" i="5"/>
  <c r="AA360" i="7"/>
  <c r="K217" i="5"/>
  <c r="N217" i="5"/>
  <c r="Q217" i="5"/>
  <c r="T217" i="5"/>
  <c r="AA361" i="7"/>
  <c r="AA362" i="7"/>
  <c r="K207" i="5"/>
  <c r="N207" i="5"/>
  <c r="Q207" i="5"/>
  <c r="T207" i="5"/>
  <c r="AA363" i="7"/>
  <c r="K208" i="5"/>
  <c r="N208" i="5"/>
  <c r="Q208" i="5"/>
  <c r="T208" i="5"/>
  <c r="AA364" i="7"/>
  <c r="K206" i="5"/>
  <c r="N206" i="5"/>
  <c r="Q206" i="5"/>
  <c r="T206" i="5"/>
  <c r="AA365" i="7"/>
  <c r="K393" i="5"/>
  <c r="N393" i="5"/>
  <c r="Q393" i="5"/>
  <c r="T393" i="5"/>
  <c r="AA366" i="7"/>
  <c r="K400" i="5"/>
  <c r="N400" i="5"/>
  <c r="Q400" i="5"/>
  <c r="T400" i="5"/>
  <c r="AA367" i="7"/>
  <c r="K396" i="5"/>
  <c r="N396" i="5"/>
  <c r="Q396" i="5"/>
  <c r="T396" i="5"/>
  <c r="AA368" i="7"/>
  <c r="K402" i="5"/>
  <c r="N402" i="5"/>
  <c r="Q402" i="5"/>
  <c r="T402" i="5"/>
  <c r="AA369" i="7"/>
  <c r="K401" i="5"/>
  <c r="N401" i="5"/>
  <c r="Q401" i="5"/>
  <c r="T401" i="5"/>
  <c r="AA370" i="7"/>
  <c r="K397" i="5"/>
  <c r="N397" i="5"/>
  <c r="Q397" i="5"/>
  <c r="T397" i="5"/>
  <c r="AA371" i="7"/>
  <c r="K403" i="5"/>
  <c r="N403" i="5"/>
  <c r="Q403" i="5"/>
  <c r="T403" i="5"/>
  <c r="AA372" i="7"/>
  <c r="K395" i="5"/>
  <c r="N395" i="5"/>
  <c r="Q395" i="5"/>
  <c r="T395" i="5"/>
  <c r="AA373" i="7"/>
  <c r="K394" i="5"/>
  <c r="N394" i="5"/>
  <c r="Q394" i="5"/>
  <c r="T394" i="5"/>
  <c r="AA374" i="7"/>
  <c r="K399" i="5"/>
  <c r="N399" i="5"/>
  <c r="Q399" i="5"/>
  <c r="T399" i="5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Q17" i="5"/>
  <c r="T17" i="5"/>
  <c r="AA2" i="7"/>
  <c r="W3" i="7"/>
  <c r="X3" i="7"/>
  <c r="Y3" i="7"/>
  <c r="Z3" i="7"/>
  <c r="W4" i="7"/>
  <c r="X4" i="7"/>
  <c r="Y4" i="7"/>
  <c r="Z4" i="7"/>
  <c r="W5" i="7"/>
  <c r="X5" i="7"/>
  <c r="Y5" i="7"/>
  <c r="Z5" i="7"/>
  <c r="W6" i="7"/>
  <c r="X6" i="7"/>
  <c r="Y6" i="7"/>
  <c r="Z6" i="7"/>
  <c r="W7" i="7"/>
  <c r="X7" i="7"/>
  <c r="Y7" i="7"/>
  <c r="Z7" i="7"/>
  <c r="W8" i="7"/>
  <c r="X8" i="7"/>
  <c r="Y8" i="7"/>
  <c r="Z8" i="7"/>
  <c r="W9" i="7"/>
  <c r="X9" i="7"/>
  <c r="Y9" i="7"/>
  <c r="Z9" i="7"/>
  <c r="W10" i="7"/>
  <c r="X10" i="7"/>
  <c r="Y10" i="7"/>
  <c r="Z10" i="7"/>
  <c r="W11" i="7"/>
  <c r="X11" i="7"/>
  <c r="Y11" i="7"/>
  <c r="Z11" i="7"/>
  <c r="W12" i="7"/>
  <c r="X12" i="7"/>
  <c r="Y12" i="7"/>
  <c r="Z12" i="7"/>
  <c r="W13" i="7"/>
  <c r="X13" i="7"/>
  <c r="Y13" i="7"/>
  <c r="Z13" i="7"/>
  <c r="W14" i="7"/>
  <c r="X14" i="7"/>
  <c r="Y14" i="7"/>
  <c r="Z14" i="7"/>
  <c r="W15" i="7"/>
  <c r="X15" i="7"/>
  <c r="Y15" i="7"/>
  <c r="Z15" i="7"/>
  <c r="W16" i="7"/>
  <c r="X16" i="7"/>
  <c r="Y16" i="7"/>
  <c r="Z16" i="7"/>
  <c r="W17" i="7"/>
  <c r="X17" i="7"/>
  <c r="Y17" i="7"/>
  <c r="Z17" i="7"/>
  <c r="W18" i="7"/>
  <c r="X18" i="7"/>
  <c r="Y18" i="7"/>
  <c r="Z18" i="7"/>
  <c r="W19" i="7"/>
  <c r="X19" i="7"/>
  <c r="Y19" i="7"/>
  <c r="Z19" i="7"/>
  <c r="W20" i="7"/>
  <c r="X20" i="7"/>
  <c r="Y20" i="7"/>
  <c r="Z20" i="7"/>
  <c r="W21" i="7"/>
  <c r="X21" i="7"/>
  <c r="Y21" i="7"/>
  <c r="Z21" i="7"/>
  <c r="W22" i="7"/>
  <c r="X22" i="7"/>
  <c r="Y22" i="7"/>
  <c r="Z22" i="7"/>
  <c r="W23" i="7"/>
  <c r="X23" i="7"/>
  <c r="Y23" i="7"/>
  <c r="Z23" i="7"/>
  <c r="W24" i="7"/>
  <c r="X24" i="7"/>
  <c r="Y24" i="7"/>
  <c r="Z24" i="7"/>
  <c r="W25" i="7"/>
  <c r="X25" i="7"/>
  <c r="Y25" i="7"/>
  <c r="Z25" i="7"/>
  <c r="W26" i="7"/>
  <c r="X26" i="7"/>
  <c r="Y26" i="7"/>
  <c r="Z26" i="7"/>
  <c r="W27" i="7"/>
  <c r="X27" i="7"/>
  <c r="Y27" i="7"/>
  <c r="Z27" i="7"/>
  <c r="W28" i="7"/>
  <c r="X28" i="7"/>
  <c r="Y28" i="7"/>
  <c r="Z28" i="7"/>
  <c r="W29" i="7"/>
  <c r="X29" i="7"/>
  <c r="Y29" i="7"/>
  <c r="Z29" i="7"/>
  <c r="W30" i="7"/>
  <c r="X30" i="7"/>
  <c r="Y30" i="7"/>
  <c r="Z30" i="7"/>
  <c r="W31" i="7"/>
  <c r="X31" i="7"/>
  <c r="Y31" i="7"/>
  <c r="Z31" i="7"/>
  <c r="W32" i="7"/>
  <c r="X32" i="7"/>
  <c r="Y32" i="7"/>
  <c r="Z32" i="7"/>
  <c r="W33" i="7"/>
  <c r="X33" i="7"/>
  <c r="Y33" i="7"/>
  <c r="Z33" i="7"/>
  <c r="W34" i="7"/>
  <c r="X34" i="7"/>
  <c r="Y34" i="7"/>
  <c r="Z34" i="7"/>
  <c r="W35" i="7"/>
  <c r="X35" i="7"/>
  <c r="Y35" i="7"/>
  <c r="Z35" i="7"/>
  <c r="W36" i="7"/>
  <c r="X36" i="7"/>
  <c r="Y36" i="7"/>
  <c r="Z36" i="7"/>
  <c r="W37" i="7"/>
  <c r="X37" i="7"/>
  <c r="Y37" i="7"/>
  <c r="Z37" i="7"/>
  <c r="W38" i="7"/>
  <c r="X38" i="7"/>
  <c r="Y38" i="7"/>
  <c r="Z38" i="7"/>
  <c r="W39" i="7"/>
  <c r="X39" i="7"/>
  <c r="Y39" i="7"/>
  <c r="Z39" i="7"/>
  <c r="W40" i="7"/>
  <c r="X40" i="7"/>
  <c r="Y40" i="7"/>
  <c r="Z40" i="7"/>
  <c r="W41" i="7"/>
  <c r="X41" i="7"/>
  <c r="Y41" i="7"/>
  <c r="Z41" i="7"/>
  <c r="W42" i="7"/>
  <c r="X42" i="7"/>
  <c r="Y42" i="7"/>
  <c r="Z42" i="7"/>
  <c r="W43" i="7"/>
  <c r="X43" i="7"/>
  <c r="Y43" i="7"/>
  <c r="Z43" i="7"/>
  <c r="W44" i="7"/>
  <c r="X44" i="7"/>
  <c r="Y44" i="7"/>
  <c r="Z44" i="7"/>
  <c r="W45" i="7"/>
  <c r="X45" i="7"/>
  <c r="Y45" i="7"/>
  <c r="Z45" i="7"/>
  <c r="W46" i="7"/>
  <c r="X46" i="7"/>
  <c r="Y46" i="7"/>
  <c r="Z46" i="7"/>
  <c r="W47" i="7"/>
  <c r="X47" i="7"/>
  <c r="Y47" i="7"/>
  <c r="Z47" i="7"/>
  <c r="W48" i="7"/>
  <c r="X48" i="7"/>
  <c r="Y48" i="7"/>
  <c r="Z48" i="7"/>
  <c r="W49" i="7"/>
  <c r="X49" i="7"/>
  <c r="Y49" i="7"/>
  <c r="Z49" i="7"/>
  <c r="W50" i="7"/>
  <c r="X50" i="7"/>
  <c r="Y50" i="7"/>
  <c r="Z50" i="7"/>
  <c r="W51" i="7"/>
  <c r="X51" i="7"/>
  <c r="Y51" i="7"/>
  <c r="Z51" i="7"/>
  <c r="W52" i="7"/>
  <c r="X52" i="7"/>
  <c r="Y52" i="7"/>
  <c r="Z52" i="7"/>
  <c r="W53" i="7"/>
  <c r="X53" i="7"/>
  <c r="Y53" i="7"/>
  <c r="Z53" i="7"/>
  <c r="W54" i="7"/>
  <c r="X54" i="7"/>
  <c r="Y54" i="7"/>
  <c r="Z54" i="7"/>
  <c r="W55" i="7"/>
  <c r="X55" i="7"/>
  <c r="Y55" i="7"/>
  <c r="Z55" i="7"/>
  <c r="W56" i="7"/>
  <c r="X56" i="7"/>
  <c r="Y56" i="7"/>
  <c r="Z56" i="7"/>
  <c r="W57" i="7"/>
  <c r="X57" i="7"/>
  <c r="Y57" i="7"/>
  <c r="Z57" i="7"/>
  <c r="W58" i="7"/>
  <c r="X58" i="7"/>
  <c r="Y58" i="7"/>
  <c r="Z58" i="7"/>
  <c r="W59" i="7"/>
  <c r="X59" i="7"/>
  <c r="Y59" i="7"/>
  <c r="Z59" i="7"/>
  <c r="W60" i="7"/>
  <c r="X60" i="7"/>
  <c r="Y60" i="7"/>
  <c r="Z60" i="7"/>
  <c r="W61" i="7"/>
  <c r="X61" i="7"/>
  <c r="Y61" i="7"/>
  <c r="Z61" i="7"/>
  <c r="W62" i="7"/>
  <c r="X62" i="7"/>
  <c r="Y62" i="7"/>
  <c r="Z62" i="7"/>
  <c r="W63" i="7"/>
  <c r="X63" i="7"/>
  <c r="Y63" i="7"/>
  <c r="Z63" i="7"/>
  <c r="W64" i="7"/>
  <c r="X64" i="7"/>
  <c r="Y64" i="7"/>
  <c r="Z64" i="7"/>
  <c r="W65" i="7"/>
  <c r="X65" i="7"/>
  <c r="Y65" i="7"/>
  <c r="Z65" i="7"/>
  <c r="W66" i="7"/>
  <c r="X66" i="7"/>
  <c r="Y66" i="7"/>
  <c r="Z66" i="7"/>
  <c r="W67" i="7"/>
  <c r="X67" i="7"/>
  <c r="Y67" i="7"/>
  <c r="Z67" i="7"/>
  <c r="W68" i="7"/>
  <c r="X68" i="7"/>
  <c r="Y68" i="7"/>
  <c r="Z68" i="7"/>
  <c r="W69" i="7"/>
  <c r="X69" i="7"/>
  <c r="Y69" i="7"/>
  <c r="Z69" i="7"/>
  <c r="W70" i="7"/>
  <c r="X70" i="7"/>
  <c r="Y70" i="7"/>
  <c r="Z70" i="7"/>
  <c r="W71" i="7"/>
  <c r="X71" i="7"/>
  <c r="Y71" i="7"/>
  <c r="Z71" i="7"/>
  <c r="W72" i="7"/>
  <c r="X72" i="7"/>
  <c r="Y72" i="7"/>
  <c r="Z72" i="7"/>
  <c r="W73" i="7"/>
  <c r="X73" i="7"/>
  <c r="Y73" i="7"/>
  <c r="Z73" i="7"/>
  <c r="W74" i="7"/>
  <c r="X74" i="7"/>
  <c r="Y74" i="7"/>
  <c r="Z74" i="7"/>
  <c r="W75" i="7"/>
  <c r="X75" i="7"/>
  <c r="Y75" i="7"/>
  <c r="Z75" i="7"/>
  <c r="W76" i="7"/>
  <c r="X76" i="7"/>
  <c r="Y76" i="7"/>
  <c r="Z76" i="7"/>
  <c r="W77" i="7"/>
  <c r="X77" i="7"/>
  <c r="Y77" i="7"/>
  <c r="Z77" i="7"/>
  <c r="W78" i="7"/>
  <c r="X78" i="7"/>
  <c r="Y78" i="7"/>
  <c r="Z78" i="7"/>
  <c r="W79" i="7"/>
  <c r="X79" i="7"/>
  <c r="Y79" i="7"/>
  <c r="Z79" i="7"/>
  <c r="W80" i="7"/>
  <c r="X80" i="7"/>
  <c r="Y80" i="7"/>
  <c r="Z80" i="7"/>
  <c r="W81" i="7"/>
  <c r="X81" i="7"/>
  <c r="Y81" i="7"/>
  <c r="Z81" i="7"/>
  <c r="W82" i="7"/>
  <c r="X82" i="7"/>
  <c r="Y82" i="7"/>
  <c r="Z82" i="7"/>
  <c r="W83" i="7"/>
  <c r="X83" i="7"/>
  <c r="Y83" i="7"/>
  <c r="Z83" i="7"/>
  <c r="W84" i="7"/>
  <c r="X84" i="7"/>
  <c r="Y84" i="7"/>
  <c r="Z84" i="7"/>
  <c r="W85" i="7"/>
  <c r="X85" i="7"/>
  <c r="Y85" i="7"/>
  <c r="Z85" i="7"/>
  <c r="W86" i="7"/>
  <c r="X86" i="7"/>
  <c r="Y86" i="7"/>
  <c r="Z86" i="7"/>
  <c r="W87" i="7"/>
  <c r="X87" i="7"/>
  <c r="Y87" i="7"/>
  <c r="Z87" i="7"/>
  <c r="W88" i="7"/>
  <c r="X88" i="7"/>
  <c r="Y88" i="7"/>
  <c r="Z88" i="7"/>
  <c r="W89" i="7"/>
  <c r="X89" i="7"/>
  <c r="Y89" i="7"/>
  <c r="Z89" i="7"/>
  <c r="W90" i="7"/>
  <c r="X90" i="7"/>
  <c r="Y90" i="7"/>
  <c r="Z90" i="7"/>
  <c r="W91" i="7"/>
  <c r="X91" i="7"/>
  <c r="Y91" i="7"/>
  <c r="Z91" i="7"/>
  <c r="W92" i="7"/>
  <c r="X92" i="7"/>
  <c r="Y92" i="7"/>
  <c r="Z92" i="7"/>
  <c r="W93" i="7"/>
  <c r="X93" i="7"/>
  <c r="Y93" i="7"/>
  <c r="Z93" i="7"/>
  <c r="W94" i="7"/>
  <c r="X94" i="7"/>
  <c r="Y94" i="7"/>
  <c r="Z94" i="7"/>
  <c r="W95" i="7"/>
  <c r="X95" i="7"/>
  <c r="Y95" i="7"/>
  <c r="Z95" i="7"/>
  <c r="W96" i="7"/>
  <c r="X96" i="7"/>
  <c r="Y96" i="7"/>
  <c r="Z96" i="7"/>
  <c r="W97" i="7"/>
  <c r="X97" i="7"/>
  <c r="Y97" i="7"/>
  <c r="Z97" i="7"/>
  <c r="W98" i="7"/>
  <c r="X98" i="7"/>
  <c r="Y98" i="7"/>
  <c r="Z98" i="7"/>
  <c r="W99" i="7"/>
  <c r="X99" i="7"/>
  <c r="Y99" i="7"/>
  <c r="Z99" i="7"/>
  <c r="W100" i="7"/>
  <c r="X100" i="7"/>
  <c r="Y100" i="7"/>
  <c r="Z100" i="7"/>
  <c r="W101" i="7"/>
  <c r="X101" i="7"/>
  <c r="Y101" i="7"/>
  <c r="Z101" i="7"/>
  <c r="W102" i="7"/>
  <c r="X102" i="7"/>
  <c r="Y102" i="7"/>
  <c r="Z102" i="7"/>
  <c r="W103" i="7"/>
  <c r="X103" i="7"/>
  <c r="Y103" i="7"/>
  <c r="Z103" i="7"/>
  <c r="W104" i="7"/>
  <c r="X104" i="7"/>
  <c r="Y104" i="7"/>
  <c r="Z104" i="7"/>
  <c r="W105" i="7"/>
  <c r="X105" i="7"/>
  <c r="Y105" i="7"/>
  <c r="Z105" i="7"/>
  <c r="W106" i="7"/>
  <c r="X106" i="7"/>
  <c r="Y106" i="7"/>
  <c r="Z106" i="7"/>
  <c r="W107" i="7"/>
  <c r="X107" i="7"/>
  <c r="Y107" i="7"/>
  <c r="Z107" i="7"/>
  <c r="W108" i="7"/>
  <c r="X108" i="7"/>
  <c r="Y108" i="7"/>
  <c r="Z108" i="7"/>
  <c r="W109" i="7"/>
  <c r="X109" i="7"/>
  <c r="Y109" i="7"/>
  <c r="Z109" i="7"/>
  <c r="W110" i="7"/>
  <c r="X110" i="7"/>
  <c r="Y110" i="7"/>
  <c r="Z110" i="7"/>
  <c r="W111" i="7"/>
  <c r="X111" i="7"/>
  <c r="Y111" i="7"/>
  <c r="Z111" i="7"/>
  <c r="W112" i="7"/>
  <c r="X112" i="7"/>
  <c r="Y112" i="7"/>
  <c r="Z112" i="7"/>
  <c r="W113" i="7"/>
  <c r="X113" i="7"/>
  <c r="Y113" i="7"/>
  <c r="Z113" i="7"/>
  <c r="W114" i="7"/>
  <c r="X114" i="7"/>
  <c r="Y114" i="7"/>
  <c r="Z114" i="7"/>
  <c r="W115" i="7"/>
  <c r="X115" i="7"/>
  <c r="Y115" i="7"/>
  <c r="Z115" i="7"/>
  <c r="W116" i="7"/>
  <c r="X116" i="7"/>
  <c r="Y116" i="7"/>
  <c r="Z116" i="7"/>
  <c r="W117" i="7"/>
  <c r="X117" i="7"/>
  <c r="Y117" i="7"/>
  <c r="Z117" i="7"/>
  <c r="W118" i="7"/>
  <c r="X118" i="7"/>
  <c r="Y118" i="7"/>
  <c r="Z118" i="7"/>
  <c r="W119" i="7"/>
  <c r="X119" i="7"/>
  <c r="Y119" i="7"/>
  <c r="Z119" i="7"/>
  <c r="W120" i="7"/>
  <c r="X120" i="7"/>
  <c r="Y120" i="7"/>
  <c r="Z120" i="7"/>
  <c r="W121" i="7"/>
  <c r="X121" i="7"/>
  <c r="Y121" i="7"/>
  <c r="Z121" i="7"/>
  <c r="W122" i="7"/>
  <c r="X122" i="7"/>
  <c r="Y122" i="7"/>
  <c r="Z122" i="7"/>
  <c r="W123" i="7"/>
  <c r="X123" i="7"/>
  <c r="Y123" i="7"/>
  <c r="Z123" i="7"/>
  <c r="W124" i="7"/>
  <c r="X124" i="7"/>
  <c r="Y124" i="7"/>
  <c r="Z124" i="7"/>
  <c r="W125" i="7"/>
  <c r="X125" i="7"/>
  <c r="Y125" i="7"/>
  <c r="Z125" i="7"/>
  <c r="W126" i="7"/>
  <c r="X126" i="7"/>
  <c r="Y126" i="7"/>
  <c r="Z126" i="7"/>
  <c r="W127" i="7"/>
  <c r="X127" i="7"/>
  <c r="Y127" i="7"/>
  <c r="Z127" i="7"/>
  <c r="W128" i="7"/>
  <c r="X128" i="7"/>
  <c r="Y128" i="7"/>
  <c r="Z128" i="7"/>
  <c r="W129" i="7"/>
  <c r="X129" i="7"/>
  <c r="Y129" i="7"/>
  <c r="Z129" i="7"/>
  <c r="W130" i="7"/>
  <c r="X130" i="7"/>
  <c r="Y130" i="7"/>
  <c r="Z130" i="7"/>
  <c r="W131" i="7"/>
  <c r="X131" i="7"/>
  <c r="Y131" i="7"/>
  <c r="Z131" i="7"/>
  <c r="W132" i="7"/>
  <c r="X132" i="7"/>
  <c r="Y132" i="7"/>
  <c r="Z132" i="7"/>
  <c r="W133" i="7"/>
  <c r="X133" i="7"/>
  <c r="Y133" i="7"/>
  <c r="Z133" i="7"/>
  <c r="W134" i="7"/>
  <c r="X134" i="7"/>
  <c r="Y134" i="7"/>
  <c r="Z134" i="7"/>
  <c r="W135" i="7"/>
  <c r="X135" i="7"/>
  <c r="Y135" i="7"/>
  <c r="Z135" i="7"/>
  <c r="W136" i="7"/>
  <c r="X136" i="7"/>
  <c r="Y136" i="7"/>
  <c r="Z136" i="7"/>
  <c r="W137" i="7"/>
  <c r="X137" i="7"/>
  <c r="Y137" i="7"/>
  <c r="Z137" i="7"/>
  <c r="W138" i="7"/>
  <c r="X138" i="7"/>
  <c r="Y138" i="7"/>
  <c r="Z138" i="7"/>
  <c r="W139" i="7"/>
  <c r="X139" i="7"/>
  <c r="Y139" i="7"/>
  <c r="Z139" i="7"/>
  <c r="W140" i="7"/>
  <c r="X140" i="7"/>
  <c r="Y140" i="7"/>
  <c r="Z140" i="7"/>
  <c r="W141" i="7"/>
  <c r="X141" i="7"/>
  <c r="Y141" i="7"/>
  <c r="Z141" i="7"/>
  <c r="W142" i="7"/>
  <c r="X142" i="7"/>
  <c r="Y142" i="7"/>
  <c r="Z142" i="7"/>
  <c r="W143" i="7"/>
  <c r="X143" i="7"/>
  <c r="Y143" i="7"/>
  <c r="Z143" i="7"/>
  <c r="W144" i="7"/>
  <c r="X144" i="7"/>
  <c r="Y144" i="7"/>
  <c r="Z144" i="7"/>
  <c r="W145" i="7"/>
  <c r="X145" i="7"/>
  <c r="Y145" i="7"/>
  <c r="Z145" i="7"/>
  <c r="W146" i="7"/>
  <c r="X146" i="7"/>
  <c r="Y146" i="7"/>
  <c r="Z146" i="7"/>
  <c r="W147" i="7"/>
  <c r="X147" i="7"/>
  <c r="Y147" i="7"/>
  <c r="Z147" i="7"/>
  <c r="W148" i="7"/>
  <c r="X148" i="7"/>
  <c r="Y148" i="7"/>
  <c r="Z148" i="7"/>
  <c r="W149" i="7"/>
  <c r="X149" i="7"/>
  <c r="Y149" i="7"/>
  <c r="Z149" i="7"/>
  <c r="W150" i="7"/>
  <c r="X150" i="7"/>
  <c r="Y150" i="7"/>
  <c r="Z150" i="7"/>
  <c r="W151" i="7"/>
  <c r="X151" i="7"/>
  <c r="Y151" i="7"/>
  <c r="Z151" i="7"/>
  <c r="W152" i="7"/>
  <c r="X152" i="7"/>
  <c r="Y152" i="7"/>
  <c r="Z152" i="7"/>
  <c r="W153" i="7"/>
  <c r="X153" i="7"/>
  <c r="Y153" i="7"/>
  <c r="Z153" i="7"/>
  <c r="W154" i="7"/>
  <c r="X154" i="7"/>
  <c r="Y154" i="7"/>
  <c r="Z154" i="7"/>
  <c r="W155" i="7"/>
  <c r="X155" i="7"/>
  <c r="Y155" i="7"/>
  <c r="Z155" i="7"/>
  <c r="W156" i="7"/>
  <c r="X156" i="7"/>
  <c r="Y156" i="7"/>
  <c r="Z156" i="7"/>
  <c r="W157" i="7"/>
  <c r="X157" i="7"/>
  <c r="Y157" i="7"/>
  <c r="Z157" i="7"/>
  <c r="W158" i="7"/>
  <c r="X158" i="7"/>
  <c r="Y158" i="7"/>
  <c r="Z158" i="7"/>
  <c r="W159" i="7"/>
  <c r="X159" i="7"/>
  <c r="Y159" i="7"/>
  <c r="Z159" i="7"/>
  <c r="W160" i="7"/>
  <c r="X160" i="7"/>
  <c r="Y160" i="7"/>
  <c r="Z160" i="7"/>
  <c r="W161" i="7"/>
  <c r="X161" i="7"/>
  <c r="Y161" i="7"/>
  <c r="Z161" i="7"/>
  <c r="W162" i="7"/>
  <c r="X162" i="7"/>
  <c r="Y162" i="7"/>
  <c r="Z162" i="7"/>
  <c r="W163" i="7"/>
  <c r="X163" i="7"/>
  <c r="Y163" i="7"/>
  <c r="Z163" i="7"/>
  <c r="W164" i="7"/>
  <c r="X164" i="7"/>
  <c r="Y164" i="7"/>
  <c r="Z164" i="7"/>
  <c r="W165" i="7"/>
  <c r="X165" i="7"/>
  <c r="Y165" i="7"/>
  <c r="Z165" i="7"/>
  <c r="W166" i="7"/>
  <c r="X166" i="7"/>
  <c r="Y166" i="7"/>
  <c r="Z166" i="7"/>
  <c r="W167" i="7"/>
  <c r="X167" i="7"/>
  <c r="Y167" i="7"/>
  <c r="Z167" i="7"/>
  <c r="W168" i="7"/>
  <c r="X168" i="7"/>
  <c r="Y168" i="7"/>
  <c r="Z168" i="7"/>
  <c r="W169" i="7"/>
  <c r="X169" i="7"/>
  <c r="Y169" i="7"/>
  <c r="Z169" i="7"/>
  <c r="W170" i="7"/>
  <c r="X170" i="7"/>
  <c r="Y170" i="7"/>
  <c r="Z170" i="7"/>
  <c r="W171" i="7"/>
  <c r="X171" i="7"/>
  <c r="Y171" i="7"/>
  <c r="Z171" i="7"/>
  <c r="W172" i="7"/>
  <c r="X172" i="7"/>
  <c r="Y172" i="7"/>
  <c r="Z172" i="7"/>
  <c r="W173" i="7"/>
  <c r="X173" i="7"/>
  <c r="Y173" i="7"/>
  <c r="Z173" i="7"/>
  <c r="W174" i="7"/>
  <c r="X174" i="7"/>
  <c r="Y174" i="7"/>
  <c r="Z174" i="7"/>
  <c r="W175" i="7"/>
  <c r="X175" i="7"/>
  <c r="Y175" i="7"/>
  <c r="Z175" i="7"/>
  <c r="W176" i="7"/>
  <c r="X176" i="7"/>
  <c r="Y176" i="7"/>
  <c r="Z176" i="7"/>
  <c r="W177" i="7"/>
  <c r="X177" i="7"/>
  <c r="Y177" i="7"/>
  <c r="Z177" i="7"/>
  <c r="W178" i="7"/>
  <c r="X178" i="7"/>
  <c r="Y178" i="7"/>
  <c r="Z178" i="7"/>
  <c r="W179" i="7"/>
  <c r="X179" i="7"/>
  <c r="Y179" i="7"/>
  <c r="Z179" i="7"/>
  <c r="W180" i="7"/>
  <c r="X180" i="7"/>
  <c r="Y180" i="7"/>
  <c r="Z180" i="7"/>
  <c r="W181" i="7"/>
  <c r="X181" i="7"/>
  <c r="Y181" i="7"/>
  <c r="Z181" i="7"/>
  <c r="W182" i="7"/>
  <c r="X182" i="7"/>
  <c r="Y182" i="7"/>
  <c r="Z182" i="7"/>
  <c r="W183" i="7"/>
  <c r="X183" i="7"/>
  <c r="Y183" i="7"/>
  <c r="Z183" i="7"/>
  <c r="W184" i="7"/>
  <c r="X184" i="7"/>
  <c r="Y184" i="7"/>
  <c r="Z184" i="7"/>
  <c r="W185" i="7"/>
  <c r="X185" i="7"/>
  <c r="Y185" i="7"/>
  <c r="Z185" i="7"/>
  <c r="W186" i="7"/>
  <c r="X186" i="7"/>
  <c r="Y186" i="7"/>
  <c r="Z186" i="7"/>
  <c r="W187" i="7"/>
  <c r="X187" i="7"/>
  <c r="Y187" i="7"/>
  <c r="Z187" i="7"/>
  <c r="W188" i="7"/>
  <c r="X188" i="7"/>
  <c r="Y188" i="7"/>
  <c r="Z188" i="7"/>
  <c r="W189" i="7"/>
  <c r="X189" i="7"/>
  <c r="Y189" i="7"/>
  <c r="Z189" i="7"/>
  <c r="W190" i="7"/>
  <c r="X190" i="7"/>
  <c r="Y190" i="7"/>
  <c r="Z190" i="7"/>
  <c r="W191" i="7"/>
  <c r="X191" i="7"/>
  <c r="Y191" i="7"/>
  <c r="Z191" i="7"/>
  <c r="W192" i="7"/>
  <c r="X192" i="7"/>
  <c r="Y192" i="7"/>
  <c r="Z192" i="7"/>
  <c r="W193" i="7"/>
  <c r="X193" i="7"/>
  <c r="Y193" i="7"/>
  <c r="Z193" i="7"/>
  <c r="W194" i="7"/>
  <c r="X194" i="7"/>
  <c r="Y194" i="7"/>
  <c r="Z194" i="7"/>
  <c r="W195" i="7"/>
  <c r="X195" i="7"/>
  <c r="Y195" i="7"/>
  <c r="Z195" i="7"/>
  <c r="W196" i="7"/>
  <c r="X196" i="7"/>
  <c r="Y196" i="7"/>
  <c r="Z196" i="7"/>
  <c r="W197" i="7"/>
  <c r="X197" i="7"/>
  <c r="Y197" i="7"/>
  <c r="Z197" i="7"/>
  <c r="W198" i="7"/>
  <c r="X198" i="7"/>
  <c r="Y198" i="7"/>
  <c r="Z198" i="7"/>
  <c r="W199" i="7"/>
  <c r="X199" i="7"/>
  <c r="Y199" i="7"/>
  <c r="Z199" i="7"/>
  <c r="W200" i="7"/>
  <c r="X200" i="7"/>
  <c r="Y200" i="7"/>
  <c r="Z200" i="7"/>
  <c r="W201" i="7"/>
  <c r="X201" i="7"/>
  <c r="Y201" i="7"/>
  <c r="Z201" i="7"/>
  <c r="W202" i="7"/>
  <c r="X202" i="7"/>
  <c r="Y202" i="7"/>
  <c r="Z202" i="7"/>
  <c r="W203" i="7"/>
  <c r="X203" i="7"/>
  <c r="Y203" i="7"/>
  <c r="Z203" i="7"/>
  <c r="W204" i="7"/>
  <c r="X204" i="7"/>
  <c r="Y204" i="7"/>
  <c r="Z204" i="7"/>
  <c r="W205" i="7"/>
  <c r="X205" i="7"/>
  <c r="Y205" i="7"/>
  <c r="Z205" i="7"/>
  <c r="W206" i="7"/>
  <c r="X206" i="7"/>
  <c r="Y206" i="7"/>
  <c r="Z206" i="7"/>
  <c r="W207" i="7"/>
  <c r="X207" i="7"/>
  <c r="Y207" i="7"/>
  <c r="Z207" i="7"/>
  <c r="W208" i="7"/>
  <c r="X208" i="7"/>
  <c r="Y208" i="7"/>
  <c r="Z208" i="7"/>
  <c r="W209" i="7"/>
  <c r="X209" i="7"/>
  <c r="Y209" i="7"/>
  <c r="Z209" i="7"/>
  <c r="W210" i="7"/>
  <c r="X210" i="7"/>
  <c r="Y210" i="7"/>
  <c r="Z210" i="7"/>
  <c r="W211" i="7"/>
  <c r="X211" i="7"/>
  <c r="Y211" i="7"/>
  <c r="Z211" i="7"/>
  <c r="W212" i="7"/>
  <c r="X212" i="7"/>
  <c r="Y212" i="7"/>
  <c r="Z212" i="7"/>
  <c r="W213" i="7"/>
  <c r="X213" i="7"/>
  <c r="Y213" i="7"/>
  <c r="Z213" i="7"/>
  <c r="W214" i="7"/>
  <c r="X214" i="7"/>
  <c r="Y214" i="7"/>
  <c r="Z214" i="7"/>
  <c r="W215" i="7"/>
  <c r="X215" i="7"/>
  <c r="Y215" i="7"/>
  <c r="Z215" i="7"/>
  <c r="W216" i="7"/>
  <c r="X216" i="7"/>
  <c r="Y216" i="7"/>
  <c r="Z216" i="7"/>
  <c r="W217" i="7"/>
  <c r="X217" i="7"/>
  <c r="Y217" i="7"/>
  <c r="Z217" i="7"/>
  <c r="W218" i="7"/>
  <c r="X218" i="7"/>
  <c r="Y218" i="7"/>
  <c r="Z218" i="7"/>
  <c r="W219" i="7"/>
  <c r="X219" i="7"/>
  <c r="Y219" i="7"/>
  <c r="Z219" i="7"/>
  <c r="W220" i="7"/>
  <c r="X220" i="7"/>
  <c r="Y220" i="7"/>
  <c r="Z220" i="7"/>
  <c r="W221" i="7"/>
  <c r="X221" i="7"/>
  <c r="Y221" i="7"/>
  <c r="Z221" i="7"/>
  <c r="W222" i="7"/>
  <c r="X222" i="7"/>
  <c r="Y222" i="7"/>
  <c r="Z222" i="7"/>
  <c r="W223" i="7"/>
  <c r="X223" i="7"/>
  <c r="Y223" i="7"/>
  <c r="Z223" i="7"/>
  <c r="W224" i="7"/>
  <c r="X224" i="7"/>
  <c r="Y224" i="7"/>
  <c r="Z224" i="7"/>
  <c r="W225" i="7"/>
  <c r="X225" i="7"/>
  <c r="Y225" i="7"/>
  <c r="Z225" i="7"/>
  <c r="W226" i="7"/>
  <c r="X226" i="7"/>
  <c r="Y226" i="7"/>
  <c r="Z226" i="7"/>
  <c r="W227" i="7"/>
  <c r="X227" i="7"/>
  <c r="Y227" i="7"/>
  <c r="Z227" i="7"/>
  <c r="W228" i="7"/>
  <c r="X228" i="7"/>
  <c r="Y228" i="7"/>
  <c r="Z228" i="7"/>
  <c r="W229" i="7"/>
  <c r="X229" i="7"/>
  <c r="Y229" i="7"/>
  <c r="Z229" i="7"/>
  <c r="W230" i="7"/>
  <c r="X230" i="7"/>
  <c r="Y230" i="7"/>
  <c r="Z230" i="7"/>
  <c r="W231" i="7"/>
  <c r="X231" i="7"/>
  <c r="Y231" i="7"/>
  <c r="Z231" i="7"/>
  <c r="W232" i="7"/>
  <c r="X232" i="7"/>
  <c r="Y232" i="7"/>
  <c r="Z232" i="7"/>
  <c r="W233" i="7"/>
  <c r="X233" i="7"/>
  <c r="Y233" i="7"/>
  <c r="Z233" i="7"/>
  <c r="W234" i="7"/>
  <c r="X234" i="7"/>
  <c r="Y234" i="7"/>
  <c r="Z234" i="7"/>
  <c r="W235" i="7"/>
  <c r="X235" i="7"/>
  <c r="Y235" i="7"/>
  <c r="Z235" i="7"/>
  <c r="W236" i="7"/>
  <c r="X236" i="7"/>
  <c r="Y236" i="7"/>
  <c r="Z236" i="7"/>
  <c r="W237" i="7"/>
  <c r="X237" i="7"/>
  <c r="Y237" i="7"/>
  <c r="Z237" i="7"/>
  <c r="W238" i="7"/>
  <c r="X238" i="7"/>
  <c r="Y238" i="7"/>
  <c r="Z238" i="7"/>
  <c r="W239" i="7"/>
  <c r="X239" i="7"/>
  <c r="Y239" i="7"/>
  <c r="Z239" i="7"/>
  <c r="W240" i="7"/>
  <c r="X240" i="7"/>
  <c r="Y240" i="7"/>
  <c r="Z240" i="7"/>
  <c r="W241" i="7"/>
  <c r="X241" i="7"/>
  <c r="Y241" i="7"/>
  <c r="Z241" i="7"/>
  <c r="W242" i="7"/>
  <c r="X242" i="7"/>
  <c r="Y242" i="7"/>
  <c r="Z242" i="7"/>
  <c r="W243" i="7"/>
  <c r="X243" i="7"/>
  <c r="Y243" i="7"/>
  <c r="Z243" i="7"/>
  <c r="W244" i="7"/>
  <c r="X244" i="7"/>
  <c r="Y244" i="7"/>
  <c r="Z244" i="7"/>
  <c r="W245" i="7"/>
  <c r="X245" i="7"/>
  <c r="Y245" i="7"/>
  <c r="Z245" i="7"/>
  <c r="W246" i="7"/>
  <c r="X246" i="7"/>
  <c r="Y246" i="7"/>
  <c r="Z246" i="7"/>
  <c r="W247" i="7"/>
  <c r="X247" i="7"/>
  <c r="Y247" i="7"/>
  <c r="Z247" i="7"/>
  <c r="W248" i="7"/>
  <c r="X248" i="7"/>
  <c r="Y248" i="7"/>
  <c r="Z248" i="7"/>
  <c r="W249" i="7"/>
  <c r="X249" i="7"/>
  <c r="Y249" i="7"/>
  <c r="Z249" i="7"/>
  <c r="W250" i="7"/>
  <c r="X250" i="7"/>
  <c r="Y250" i="7"/>
  <c r="Z250" i="7"/>
  <c r="W251" i="7"/>
  <c r="X251" i="7"/>
  <c r="Y251" i="7"/>
  <c r="Z251" i="7"/>
  <c r="W252" i="7"/>
  <c r="X252" i="7"/>
  <c r="Y252" i="7"/>
  <c r="Z252" i="7"/>
  <c r="W253" i="7"/>
  <c r="X253" i="7"/>
  <c r="Y253" i="7"/>
  <c r="Z253" i="7"/>
  <c r="W254" i="7"/>
  <c r="X254" i="7"/>
  <c r="Y254" i="7"/>
  <c r="Z254" i="7"/>
  <c r="W255" i="7"/>
  <c r="X255" i="7"/>
  <c r="Y255" i="7"/>
  <c r="Z255" i="7"/>
  <c r="W256" i="7"/>
  <c r="X256" i="7"/>
  <c r="Y256" i="7"/>
  <c r="Z256" i="7"/>
  <c r="W257" i="7"/>
  <c r="X257" i="7"/>
  <c r="Y257" i="7"/>
  <c r="Z257" i="7"/>
  <c r="W258" i="7"/>
  <c r="X258" i="7"/>
  <c r="Y258" i="7"/>
  <c r="Z258" i="7"/>
  <c r="W259" i="7"/>
  <c r="X259" i="7"/>
  <c r="Y259" i="7"/>
  <c r="Z259" i="7"/>
  <c r="W260" i="7"/>
  <c r="X260" i="7"/>
  <c r="Y260" i="7"/>
  <c r="Z260" i="7"/>
  <c r="W261" i="7"/>
  <c r="X261" i="7"/>
  <c r="Y261" i="7"/>
  <c r="Z261" i="7"/>
  <c r="W262" i="7"/>
  <c r="X262" i="7"/>
  <c r="Y262" i="7"/>
  <c r="Z262" i="7"/>
  <c r="W263" i="7"/>
  <c r="X263" i="7"/>
  <c r="Y263" i="7"/>
  <c r="Z263" i="7"/>
  <c r="W264" i="7"/>
  <c r="X264" i="7"/>
  <c r="Y264" i="7"/>
  <c r="Z264" i="7"/>
  <c r="W265" i="7"/>
  <c r="X265" i="7"/>
  <c r="Y265" i="7"/>
  <c r="Z265" i="7"/>
  <c r="W266" i="7"/>
  <c r="X266" i="7"/>
  <c r="Y266" i="7"/>
  <c r="Z266" i="7"/>
  <c r="W267" i="7"/>
  <c r="X267" i="7"/>
  <c r="Y267" i="7"/>
  <c r="Z267" i="7"/>
  <c r="W268" i="7"/>
  <c r="X268" i="7"/>
  <c r="Y268" i="7"/>
  <c r="Z268" i="7"/>
  <c r="W269" i="7"/>
  <c r="X269" i="7"/>
  <c r="Y269" i="7"/>
  <c r="Z269" i="7"/>
  <c r="W270" i="7"/>
  <c r="X270" i="7"/>
  <c r="Y270" i="7"/>
  <c r="Z270" i="7"/>
  <c r="W271" i="7"/>
  <c r="X271" i="7"/>
  <c r="Y271" i="7"/>
  <c r="Z271" i="7"/>
  <c r="W272" i="7"/>
  <c r="X272" i="7"/>
  <c r="Y272" i="7"/>
  <c r="Z272" i="7"/>
  <c r="W273" i="7"/>
  <c r="X273" i="7"/>
  <c r="Y273" i="7"/>
  <c r="Z273" i="7"/>
  <c r="W274" i="7"/>
  <c r="X274" i="7"/>
  <c r="Y274" i="7"/>
  <c r="Z274" i="7"/>
  <c r="W275" i="7"/>
  <c r="X275" i="7"/>
  <c r="Y275" i="7"/>
  <c r="Z275" i="7"/>
  <c r="W276" i="7"/>
  <c r="X276" i="7"/>
  <c r="Y276" i="7"/>
  <c r="Z276" i="7"/>
  <c r="W277" i="7"/>
  <c r="X277" i="7"/>
  <c r="Y277" i="7"/>
  <c r="Z277" i="7"/>
  <c r="W278" i="7"/>
  <c r="X278" i="7"/>
  <c r="Y278" i="7"/>
  <c r="Z278" i="7"/>
  <c r="W279" i="7"/>
  <c r="X279" i="7"/>
  <c r="Y279" i="7"/>
  <c r="Z279" i="7"/>
  <c r="W280" i="7"/>
  <c r="X280" i="7"/>
  <c r="Y280" i="7"/>
  <c r="Z280" i="7"/>
  <c r="W281" i="7"/>
  <c r="X281" i="7"/>
  <c r="Y281" i="7"/>
  <c r="Z281" i="7"/>
  <c r="W282" i="7"/>
  <c r="X282" i="7"/>
  <c r="Y282" i="7"/>
  <c r="Z282" i="7"/>
  <c r="W283" i="7"/>
  <c r="X283" i="7"/>
  <c r="Y283" i="7"/>
  <c r="Z283" i="7"/>
  <c r="W284" i="7"/>
  <c r="X284" i="7"/>
  <c r="Y284" i="7"/>
  <c r="Z284" i="7"/>
  <c r="W285" i="7"/>
  <c r="X285" i="7"/>
  <c r="Y285" i="7"/>
  <c r="Z285" i="7"/>
  <c r="W286" i="7"/>
  <c r="X286" i="7"/>
  <c r="Y286" i="7"/>
  <c r="Z286" i="7"/>
  <c r="W287" i="7"/>
  <c r="X287" i="7"/>
  <c r="Y287" i="7"/>
  <c r="Z287" i="7"/>
  <c r="W288" i="7"/>
  <c r="X288" i="7"/>
  <c r="Y288" i="7"/>
  <c r="Z288" i="7"/>
  <c r="W289" i="7"/>
  <c r="X289" i="7"/>
  <c r="Y289" i="7"/>
  <c r="Z289" i="7"/>
  <c r="W290" i="7"/>
  <c r="X290" i="7"/>
  <c r="Y290" i="7"/>
  <c r="Z290" i="7"/>
  <c r="W291" i="7"/>
  <c r="X291" i="7"/>
  <c r="Y291" i="7"/>
  <c r="Z291" i="7"/>
  <c r="W292" i="7"/>
  <c r="X292" i="7"/>
  <c r="Y292" i="7"/>
  <c r="Z292" i="7"/>
  <c r="W293" i="7"/>
  <c r="X293" i="7"/>
  <c r="Y293" i="7"/>
  <c r="Z293" i="7"/>
  <c r="W294" i="7"/>
  <c r="X294" i="7"/>
  <c r="Y294" i="7"/>
  <c r="Z294" i="7"/>
  <c r="W295" i="7"/>
  <c r="X295" i="7"/>
  <c r="Y295" i="7"/>
  <c r="Z295" i="7"/>
  <c r="W296" i="7"/>
  <c r="X296" i="7"/>
  <c r="Y296" i="7"/>
  <c r="Z296" i="7"/>
  <c r="W297" i="7"/>
  <c r="X297" i="7"/>
  <c r="Y297" i="7"/>
  <c r="Z297" i="7"/>
  <c r="W298" i="7"/>
  <c r="X298" i="7"/>
  <c r="Y298" i="7"/>
  <c r="Z298" i="7"/>
  <c r="W299" i="7"/>
  <c r="X299" i="7"/>
  <c r="Y299" i="7"/>
  <c r="Z299" i="7"/>
  <c r="W300" i="7"/>
  <c r="X300" i="7"/>
  <c r="Y300" i="7"/>
  <c r="Z300" i="7"/>
  <c r="W301" i="7"/>
  <c r="X301" i="7"/>
  <c r="Y301" i="7"/>
  <c r="Z301" i="7"/>
  <c r="W302" i="7"/>
  <c r="X302" i="7"/>
  <c r="Y302" i="7"/>
  <c r="Z302" i="7"/>
  <c r="W303" i="7"/>
  <c r="X303" i="7"/>
  <c r="Y303" i="7"/>
  <c r="Z303" i="7"/>
  <c r="W304" i="7"/>
  <c r="X304" i="7"/>
  <c r="Y304" i="7"/>
  <c r="Z304" i="7"/>
  <c r="W305" i="7"/>
  <c r="X305" i="7"/>
  <c r="Y305" i="7"/>
  <c r="Z305" i="7"/>
  <c r="W306" i="7"/>
  <c r="X306" i="7"/>
  <c r="Y306" i="7"/>
  <c r="Z306" i="7"/>
  <c r="W307" i="7"/>
  <c r="X307" i="7"/>
  <c r="Y307" i="7"/>
  <c r="Z307" i="7"/>
  <c r="W308" i="7"/>
  <c r="X308" i="7"/>
  <c r="Y308" i="7"/>
  <c r="Z308" i="7"/>
  <c r="W309" i="7"/>
  <c r="X309" i="7"/>
  <c r="Y309" i="7"/>
  <c r="Z309" i="7"/>
  <c r="W310" i="7"/>
  <c r="X310" i="7"/>
  <c r="Y310" i="7"/>
  <c r="Z310" i="7"/>
  <c r="W311" i="7"/>
  <c r="X311" i="7"/>
  <c r="Y311" i="7"/>
  <c r="Z311" i="7"/>
  <c r="W312" i="7"/>
  <c r="X312" i="7"/>
  <c r="Y312" i="7"/>
  <c r="Z312" i="7"/>
  <c r="W313" i="7"/>
  <c r="X313" i="7"/>
  <c r="Y313" i="7"/>
  <c r="Z313" i="7"/>
  <c r="W314" i="7"/>
  <c r="X314" i="7"/>
  <c r="Y314" i="7"/>
  <c r="Z314" i="7"/>
  <c r="W315" i="7"/>
  <c r="X315" i="7"/>
  <c r="Y315" i="7"/>
  <c r="Z315" i="7"/>
  <c r="W316" i="7"/>
  <c r="X316" i="7"/>
  <c r="Y316" i="7"/>
  <c r="Z316" i="7"/>
  <c r="W317" i="7"/>
  <c r="X317" i="7"/>
  <c r="Y317" i="7"/>
  <c r="Z317" i="7"/>
  <c r="W318" i="7"/>
  <c r="X318" i="7"/>
  <c r="Y318" i="7"/>
  <c r="Z318" i="7"/>
  <c r="W319" i="7"/>
  <c r="X319" i="7"/>
  <c r="Y319" i="7"/>
  <c r="Z319" i="7"/>
  <c r="W320" i="7"/>
  <c r="X320" i="7"/>
  <c r="Y320" i="7"/>
  <c r="Z320" i="7"/>
  <c r="W321" i="7"/>
  <c r="X321" i="7"/>
  <c r="Y321" i="7"/>
  <c r="Z321" i="7"/>
  <c r="W322" i="7"/>
  <c r="X322" i="7"/>
  <c r="Y322" i="7"/>
  <c r="Z322" i="7"/>
  <c r="W323" i="7"/>
  <c r="X323" i="7"/>
  <c r="Y323" i="7"/>
  <c r="Z323" i="7"/>
  <c r="W324" i="7"/>
  <c r="X324" i="7"/>
  <c r="Y324" i="7"/>
  <c r="Z324" i="7"/>
  <c r="W325" i="7"/>
  <c r="X325" i="7"/>
  <c r="Y325" i="7"/>
  <c r="Z325" i="7"/>
  <c r="W326" i="7"/>
  <c r="X326" i="7"/>
  <c r="Y326" i="7"/>
  <c r="Z326" i="7"/>
  <c r="W327" i="7"/>
  <c r="X327" i="7"/>
  <c r="Y327" i="7"/>
  <c r="Z327" i="7"/>
  <c r="W328" i="7"/>
  <c r="X328" i="7"/>
  <c r="Y328" i="7"/>
  <c r="Z328" i="7"/>
  <c r="W329" i="7"/>
  <c r="X329" i="7"/>
  <c r="Y329" i="7"/>
  <c r="Z329" i="7"/>
  <c r="W330" i="7"/>
  <c r="X330" i="7"/>
  <c r="Y330" i="7"/>
  <c r="Z330" i="7"/>
  <c r="W331" i="7"/>
  <c r="X331" i="7"/>
  <c r="Y331" i="7"/>
  <c r="Z331" i="7"/>
  <c r="W332" i="7"/>
  <c r="X332" i="7"/>
  <c r="Y332" i="7"/>
  <c r="Z332" i="7"/>
  <c r="W333" i="7"/>
  <c r="X333" i="7"/>
  <c r="Y333" i="7"/>
  <c r="Z333" i="7"/>
  <c r="W334" i="7"/>
  <c r="X334" i="7"/>
  <c r="Y334" i="7"/>
  <c r="Z334" i="7"/>
  <c r="W335" i="7"/>
  <c r="X335" i="7"/>
  <c r="Y335" i="7"/>
  <c r="Z335" i="7"/>
  <c r="W336" i="7"/>
  <c r="X336" i="7"/>
  <c r="Y336" i="7"/>
  <c r="Z336" i="7"/>
  <c r="W337" i="7"/>
  <c r="X337" i="7"/>
  <c r="Y337" i="7"/>
  <c r="Z337" i="7"/>
  <c r="W338" i="7"/>
  <c r="X338" i="7"/>
  <c r="Y338" i="7"/>
  <c r="Z338" i="7"/>
  <c r="W339" i="7"/>
  <c r="X339" i="7"/>
  <c r="Y339" i="7"/>
  <c r="Z339" i="7"/>
  <c r="W340" i="7"/>
  <c r="X340" i="7"/>
  <c r="Y340" i="7"/>
  <c r="Z340" i="7"/>
  <c r="W341" i="7"/>
  <c r="X341" i="7"/>
  <c r="Y341" i="7"/>
  <c r="Z341" i="7"/>
  <c r="W342" i="7"/>
  <c r="X342" i="7"/>
  <c r="Y342" i="7"/>
  <c r="Z342" i="7"/>
  <c r="W343" i="7"/>
  <c r="X343" i="7"/>
  <c r="Y343" i="7"/>
  <c r="Z343" i="7"/>
  <c r="W344" i="7"/>
  <c r="X344" i="7"/>
  <c r="Y344" i="7"/>
  <c r="Z344" i="7"/>
  <c r="W345" i="7"/>
  <c r="X345" i="7"/>
  <c r="Y345" i="7"/>
  <c r="Z345" i="7"/>
  <c r="W346" i="7"/>
  <c r="X346" i="7"/>
  <c r="Y346" i="7"/>
  <c r="Z346" i="7"/>
  <c r="W347" i="7"/>
  <c r="X347" i="7"/>
  <c r="Y347" i="7"/>
  <c r="Z347" i="7"/>
  <c r="W348" i="7"/>
  <c r="X348" i="7"/>
  <c r="Y348" i="7"/>
  <c r="Z348" i="7"/>
  <c r="W349" i="7"/>
  <c r="X349" i="7"/>
  <c r="Y349" i="7"/>
  <c r="Z349" i="7"/>
  <c r="W350" i="7"/>
  <c r="X350" i="7"/>
  <c r="Y350" i="7"/>
  <c r="Z350" i="7"/>
  <c r="W351" i="7"/>
  <c r="X351" i="7"/>
  <c r="Y351" i="7"/>
  <c r="Z351" i="7"/>
  <c r="W352" i="7"/>
  <c r="X352" i="7"/>
  <c r="Y352" i="7"/>
  <c r="Z352" i="7"/>
  <c r="W353" i="7"/>
  <c r="X353" i="7"/>
  <c r="Y353" i="7"/>
  <c r="Z353" i="7"/>
  <c r="W354" i="7"/>
  <c r="X354" i="7"/>
  <c r="Y354" i="7"/>
  <c r="Z354" i="7"/>
  <c r="W355" i="7"/>
  <c r="X355" i="7"/>
  <c r="Y355" i="7"/>
  <c r="Z355" i="7"/>
  <c r="W356" i="7"/>
  <c r="X356" i="7"/>
  <c r="Y356" i="7"/>
  <c r="Z356" i="7"/>
  <c r="W357" i="7"/>
  <c r="X357" i="7"/>
  <c r="Y357" i="7"/>
  <c r="Z357" i="7"/>
  <c r="W358" i="7"/>
  <c r="X358" i="7"/>
  <c r="Y358" i="7"/>
  <c r="Z358" i="7"/>
  <c r="W359" i="7"/>
  <c r="X359" i="7"/>
  <c r="Y359" i="7"/>
  <c r="Z359" i="7"/>
  <c r="W360" i="7"/>
  <c r="X360" i="7"/>
  <c r="Y360" i="7"/>
  <c r="Z360" i="7"/>
  <c r="W361" i="7"/>
  <c r="X361" i="7"/>
  <c r="Y361" i="7"/>
  <c r="Z361" i="7"/>
  <c r="W362" i="7"/>
  <c r="X362" i="7"/>
  <c r="Y362" i="7"/>
  <c r="Z362" i="7"/>
  <c r="W363" i="7"/>
  <c r="X363" i="7"/>
  <c r="Y363" i="7"/>
  <c r="Z363" i="7"/>
  <c r="W364" i="7"/>
  <c r="X364" i="7"/>
  <c r="Y364" i="7"/>
  <c r="Z364" i="7"/>
  <c r="W365" i="7"/>
  <c r="X365" i="7"/>
  <c r="Y365" i="7"/>
  <c r="Z365" i="7"/>
  <c r="W366" i="7"/>
  <c r="X366" i="7"/>
  <c r="Y366" i="7"/>
  <c r="Z366" i="7"/>
  <c r="W367" i="7"/>
  <c r="X367" i="7"/>
  <c r="Y367" i="7"/>
  <c r="Z367" i="7"/>
  <c r="W368" i="7"/>
  <c r="X368" i="7"/>
  <c r="Y368" i="7"/>
  <c r="Z368" i="7"/>
  <c r="W369" i="7"/>
  <c r="X369" i="7"/>
  <c r="Y369" i="7"/>
  <c r="Z369" i="7"/>
  <c r="W370" i="7"/>
  <c r="X370" i="7"/>
  <c r="Y370" i="7"/>
  <c r="Z370" i="7"/>
  <c r="W371" i="7"/>
  <c r="X371" i="7"/>
  <c r="Y371" i="7"/>
  <c r="Z371" i="7"/>
  <c r="W372" i="7"/>
  <c r="X372" i="7"/>
  <c r="Y372" i="7"/>
  <c r="Z372" i="7"/>
  <c r="W373" i="7"/>
  <c r="X373" i="7"/>
  <c r="Y373" i="7"/>
  <c r="Z373" i="7"/>
  <c r="W374" i="7"/>
  <c r="X374" i="7"/>
  <c r="Y374" i="7"/>
  <c r="Z374" i="7"/>
  <c r="W375" i="7"/>
  <c r="X375" i="7"/>
  <c r="Y375" i="7"/>
  <c r="Z375" i="7"/>
  <c r="W376" i="7"/>
  <c r="X376" i="7"/>
  <c r="Y376" i="7"/>
  <c r="Z376" i="7"/>
  <c r="W377" i="7"/>
  <c r="X377" i="7"/>
  <c r="Y377" i="7"/>
  <c r="Z377" i="7"/>
  <c r="W378" i="7"/>
  <c r="X378" i="7"/>
  <c r="Y378" i="7"/>
  <c r="Z378" i="7"/>
  <c r="W379" i="7"/>
  <c r="X379" i="7"/>
  <c r="Y379" i="7"/>
  <c r="Z379" i="7"/>
  <c r="W380" i="7"/>
  <c r="X380" i="7"/>
  <c r="Y380" i="7"/>
  <c r="Z380" i="7"/>
  <c r="W381" i="7"/>
  <c r="X381" i="7"/>
  <c r="Y381" i="7"/>
  <c r="Z381" i="7"/>
  <c r="W382" i="7"/>
  <c r="X382" i="7"/>
  <c r="Y382" i="7"/>
  <c r="Z382" i="7"/>
  <c r="W383" i="7"/>
  <c r="X383" i="7"/>
  <c r="Y383" i="7"/>
  <c r="Z383" i="7"/>
  <c r="W384" i="7"/>
  <c r="X384" i="7"/>
  <c r="Y384" i="7"/>
  <c r="Z384" i="7"/>
  <c r="W385" i="7"/>
  <c r="X385" i="7"/>
  <c r="Y385" i="7"/>
  <c r="Z385" i="7"/>
  <c r="W386" i="7"/>
  <c r="X386" i="7"/>
  <c r="Y386" i="7"/>
  <c r="Z386" i="7"/>
  <c r="W387" i="7"/>
  <c r="X387" i="7"/>
  <c r="Y387" i="7"/>
  <c r="Z387" i="7"/>
  <c r="W388" i="7"/>
  <c r="X388" i="7"/>
  <c r="Y388" i="7"/>
  <c r="Z388" i="7"/>
  <c r="W389" i="7"/>
  <c r="X389" i="7"/>
  <c r="Y389" i="7"/>
  <c r="Z389" i="7"/>
  <c r="W390" i="7"/>
  <c r="X390" i="7"/>
  <c r="Y390" i="7"/>
  <c r="Z390" i="7"/>
  <c r="W391" i="7"/>
  <c r="X391" i="7"/>
  <c r="Y391" i="7"/>
  <c r="Z391" i="7"/>
  <c r="W392" i="7"/>
  <c r="X392" i="7"/>
  <c r="Y392" i="7"/>
  <c r="Z392" i="7"/>
  <c r="W393" i="7"/>
  <c r="X393" i="7"/>
  <c r="Y393" i="7"/>
  <c r="Z393" i="7"/>
  <c r="W394" i="7"/>
  <c r="X394" i="7"/>
  <c r="Y394" i="7"/>
  <c r="Z394" i="7"/>
  <c r="W395" i="7"/>
  <c r="X395" i="7"/>
  <c r="Y395" i="7"/>
  <c r="Z395" i="7"/>
  <c r="W396" i="7"/>
  <c r="X396" i="7"/>
  <c r="Y396" i="7"/>
  <c r="Z396" i="7"/>
  <c r="W397" i="7"/>
  <c r="X397" i="7"/>
  <c r="Y397" i="7"/>
  <c r="Z397" i="7"/>
  <c r="W398" i="7"/>
  <c r="X398" i="7"/>
  <c r="Y398" i="7"/>
  <c r="Z398" i="7"/>
  <c r="W399" i="7"/>
  <c r="X399" i="7"/>
  <c r="Y399" i="7"/>
  <c r="Z399" i="7"/>
  <c r="W400" i="7"/>
  <c r="X400" i="7"/>
  <c r="Y400" i="7"/>
  <c r="Z400" i="7"/>
  <c r="W401" i="7"/>
  <c r="X401" i="7"/>
  <c r="Y401" i="7"/>
  <c r="Z401" i="7"/>
  <c r="W402" i="7"/>
  <c r="X402" i="7"/>
  <c r="Y402" i="7"/>
  <c r="Z402" i="7"/>
  <c r="W403" i="7"/>
  <c r="X403" i="7"/>
  <c r="Y403" i="7"/>
  <c r="Z403" i="7"/>
  <c r="W404" i="7"/>
  <c r="X404" i="7"/>
  <c r="Y404" i="7"/>
  <c r="Z404" i="7"/>
  <c r="W405" i="7"/>
  <c r="X405" i="7"/>
  <c r="Y405" i="7"/>
  <c r="Z405" i="7"/>
  <c r="W406" i="7"/>
  <c r="X406" i="7"/>
  <c r="Y406" i="7"/>
  <c r="Z406" i="7"/>
  <c r="W2" i="7"/>
  <c r="X2" i="7"/>
  <c r="Y2" i="7"/>
  <c r="Z2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3" i="6"/>
  <c r="R33" i="6"/>
  <c r="S33" i="6"/>
  <c r="T33" i="6"/>
  <c r="U33" i="6"/>
  <c r="Q34" i="6"/>
  <c r="R34" i="6"/>
  <c r="S34" i="6"/>
  <c r="T34" i="6"/>
  <c r="U34" i="6"/>
  <c r="Q28" i="6"/>
  <c r="R28" i="6"/>
  <c r="S28" i="6"/>
  <c r="T28" i="6"/>
  <c r="U28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2" i="6"/>
  <c r="R32" i="6"/>
  <c r="S32" i="6"/>
  <c r="T32" i="6"/>
  <c r="U32" i="6"/>
  <c r="Q14" i="6"/>
  <c r="R14" i="6"/>
  <c r="S14" i="6"/>
  <c r="T14" i="6"/>
  <c r="U14" i="6"/>
  <c r="Q35" i="6"/>
  <c r="R35" i="6"/>
  <c r="S35" i="6"/>
  <c r="T35" i="6"/>
  <c r="U35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Q39" i="6"/>
  <c r="R39" i="6"/>
  <c r="S39" i="6"/>
  <c r="T39" i="6"/>
  <c r="U39" i="6"/>
  <c r="U22" i="6"/>
  <c r="T22" i="6"/>
  <c r="S22" i="6"/>
  <c r="R22" i="6"/>
  <c r="Q22" i="6"/>
  <c r="V2" i="7"/>
  <c r="U2" i="7"/>
  <c r="T2" i="7"/>
  <c r="S2" i="7"/>
  <c r="R2" i="7"/>
  <c r="R3" i="7"/>
  <c r="S3" i="7"/>
  <c r="T3" i="7"/>
  <c r="U3" i="7"/>
  <c r="V3" i="7"/>
  <c r="R4" i="7"/>
  <c r="S4" i="7"/>
  <c r="T4" i="7"/>
  <c r="U4" i="7"/>
  <c r="V4" i="7"/>
  <c r="R5" i="7"/>
  <c r="S5" i="7"/>
  <c r="T5" i="7"/>
  <c r="U5" i="7"/>
  <c r="V5" i="7"/>
  <c r="R6" i="7"/>
  <c r="S6" i="7"/>
  <c r="T6" i="7"/>
  <c r="U6" i="7"/>
  <c r="V6" i="7"/>
  <c r="R7" i="7"/>
  <c r="S7" i="7"/>
  <c r="T7" i="7"/>
  <c r="U7" i="7"/>
  <c r="V7" i="7"/>
  <c r="R8" i="7"/>
  <c r="S8" i="7"/>
  <c r="T8" i="7"/>
  <c r="U8" i="7"/>
  <c r="V8" i="7"/>
  <c r="R9" i="7"/>
  <c r="S9" i="7"/>
  <c r="T9" i="7"/>
  <c r="U9" i="7"/>
  <c r="V9" i="7"/>
  <c r="R10" i="7"/>
  <c r="S10" i="7"/>
  <c r="T10" i="7"/>
  <c r="U10" i="7"/>
  <c r="V10" i="7"/>
  <c r="R11" i="7"/>
  <c r="S11" i="7"/>
  <c r="T11" i="7"/>
  <c r="U11" i="7"/>
  <c r="V11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15" i="7"/>
  <c r="S15" i="7"/>
  <c r="T15" i="7"/>
  <c r="U15" i="7"/>
  <c r="V15" i="7"/>
  <c r="R16" i="7"/>
  <c r="S16" i="7"/>
  <c r="T16" i="7"/>
  <c r="U16" i="7"/>
  <c r="V16" i="7"/>
  <c r="R17" i="7"/>
  <c r="S17" i="7"/>
  <c r="T17" i="7"/>
  <c r="U17" i="7"/>
  <c r="V17" i="7"/>
  <c r="R18" i="7"/>
  <c r="S18" i="7"/>
  <c r="T18" i="7"/>
  <c r="U18" i="7"/>
  <c r="V18" i="7"/>
  <c r="R19" i="7"/>
  <c r="S19" i="7"/>
  <c r="T19" i="7"/>
  <c r="U19" i="7"/>
  <c r="V19" i="7"/>
  <c r="R20" i="7"/>
  <c r="S20" i="7"/>
  <c r="T20" i="7"/>
  <c r="U20" i="7"/>
  <c r="V20" i="7"/>
  <c r="R21" i="7"/>
  <c r="S21" i="7"/>
  <c r="T21" i="7"/>
  <c r="U21" i="7"/>
  <c r="V21" i="7"/>
  <c r="R22" i="7"/>
  <c r="S22" i="7"/>
  <c r="T22" i="7"/>
  <c r="U22" i="7"/>
  <c r="V22" i="7"/>
  <c r="R23" i="7"/>
  <c r="S23" i="7"/>
  <c r="T23" i="7"/>
  <c r="U23" i="7"/>
  <c r="V23" i="7"/>
  <c r="R24" i="7"/>
  <c r="S24" i="7"/>
  <c r="T24" i="7"/>
  <c r="U24" i="7"/>
  <c r="V24" i="7"/>
  <c r="R25" i="7"/>
  <c r="S25" i="7"/>
  <c r="T25" i="7"/>
  <c r="U25" i="7"/>
  <c r="V25" i="7"/>
  <c r="R26" i="7"/>
  <c r="S26" i="7"/>
  <c r="T26" i="7"/>
  <c r="U26" i="7"/>
  <c r="V26" i="7"/>
  <c r="R27" i="7"/>
  <c r="S27" i="7"/>
  <c r="T27" i="7"/>
  <c r="U27" i="7"/>
  <c r="V27" i="7"/>
  <c r="R28" i="7"/>
  <c r="S28" i="7"/>
  <c r="T28" i="7"/>
  <c r="U28" i="7"/>
  <c r="V28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33" i="7"/>
  <c r="S33" i="7"/>
  <c r="T33" i="7"/>
  <c r="U33" i="7"/>
  <c r="V3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37" i="7"/>
  <c r="S37" i="7"/>
  <c r="T37" i="7"/>
  <c r="U37" i="7"/>
  <c r="V37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41" i="7"/>
  <c r="S41" i="7"/>
  <c r="T41" i="7"/>
  <c r="U41" i="7"/>
  <c r="V41" i="7"/>
  <c r="R42" i="7"/>
  <c r="S42" i="7"/>
  <c r="T42" i="7"/>
  <c r="U42" i="7"/>
  <c r="V42" i="7"/>
  <c r="R43" i="7"/>
  <c r="S43" i="7"/>
  <c r="T43" i="7"/>
  <c r="U43" i="7"/>
  <c r="V43" i="7"/>
  <c r="R44" i="7"/>
  <c r="S44" i="7"/>
  <c r="T44" i="7"/>
  <c r="U44" i="7"/>
  <c r="V44" i="7"/>
  <c r="R45" i="7"/>
  <c r="S45" i="7"/>
  <c r="T45" i="7"/>
  <c r="U45" i="7"/>
  <c r="V45" i="7"/>
  <c r="R46" i="7"/>
  <c r="S46" i="7"/>
  <c r="T46" i="7"/>
  <c r="U46" i="7"/>
  <c r="V46" i="7"/>
  <c r="R47" i="7"/>
  <c r="S47" i="7"/>
  <c r="T47" i="7"/>
  <c r="U47" i="7"/>
  <c r="V47" i="7"/>
  <c r="R48" i="7"/>
  <c r="S48" i="7"/>
  <c r="T48" i="7"/>
  <c r="U48" i="7"/>
  <c r="V48" i="7"/>
  <c r="R49" i="7"/>
  <c r="S49" i="7"/>
  <c r="T49" i="7"/>
  <c r="U49" i="7"/>
  <c r="V49" i="7"/>
  <c r="R50" i="7"/>
  <c r="S50" i="7"/>
  <c r="T50" i="7"/>
  <c r="U50" i="7"/>
  <c r="V50" i="7"/>
  <c r="R51" i="7"/>
  <c r="S51" i="7"/>
  <c r="T51" i="7"/>
  <c r="U51" i="7"/>
  <c r="V51" i="7"/>
  <c r="R52" i="7"/>
  <c r="S52" i="7"/>
  <c r="T52" i="7"/>
  <c r="U52" i="7"/>
  <c r="V52" i="7"/>
  <c r="R53" i="7"/>
  <c r="S53" i="7"/>
  <c r="T53" i="7"/>
  <c r="U53" i="7"/>
  <c r="V53" i="7"/>
  <c r="R54" i="7"/>
  <c r="S54" i="7"/>
  <c r="T54" i="7"/>
  <c r="U54" i="7"/>
  <c r="V54" i="7"/>
  <c r="R55" i="7"/>
  <c r="S55" i="7"/>
  <c r="T55" i="7"/>
  <c r="U55" i="7"/>
  <c r="V55" i="7"/>
  <c r="R56" i="7"/>
  <c r="S56" i="7"/>
  <c r="T56" i="7"/>
  <c r="U56" i="7"/>
  <c r="V56" i="7"/>
  <c r="R57" i="7"/>
  <c r="S57" i="7"/>
  <c r="T57" i="7"/>
  <c r="U57" i="7"/>
  <c r="V57" i="7"/>
  <c r="R58" i="7"/>
  <c r="S58" i="7"/>
  <c r="T58" i="7"/>
  <c r="U58" i="7"/>
  <c r="V58" i="7"/>
  <c r="R59" i="7"/>
  <c r="S59" i="7"/>
  <c r="T59" i="7"/>
  <c r="U59" i="7"/>
  <c r="V59" i="7"/>
  <c r="R60" i="7"/>
  <c r="S60" i="7"/>
  <c r="T60" i="7"/>
  <c r="U60" i="7"/>
  <c r="V60" i="7"/>
  <c r="R61" i="7"/>
  <c r="S61" i="7"/>
  <c r="T61" i="7"/>
  <c r="U61" i="7"/>
  <c r="V61" i="7"/>
  <c r="R62" i="7"/>
  <c r="S62" i="7"/>
  <c r="T62" i="7"/>
  <c r="U62" i="7"/>
  <c r="V62" i="7"/>
  <c r="R63" i="7"/>
  <c r="S63" i="7"/>
  <c r="T63" i="7"/>
  <c r="U63" i="7"/>
  <c r="V63" i="7"/>
  <c r="R64" i="7"/>
  <c r="S64" i="7"/>
  <c r="T64" i="7"/>
  <c r="U64" i="7"/>
  <c r="V64" i="7"/>
  <c r="R65" i="7"/>
  <c r="S65" i="7"/>
  <c r="T65" i="7"/>
  <c r="U65" i="7"/>
  <c r="V65" i="7"/>
  <c r="R66" i="7"/>
  <c r="S66" i="7"/>
  <c r="T66" i="7"/>
  <c r="U66" i="7"/>
  <c r="V66" i="7"/>
  <c r="R67" i="7"/>
  <c r="S67" i="7"/>
  <c r="T67" i="7"/>
  <c r="U67" i="7"/>
  <c r="V67" i="7"/>
  <c r="R68" i="7"/>
  <c r="S68" i="7"/>
  <c r="T68" i="7"/>
  <c r="U68" i="7"/>
  <c r="V68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72" i="7"/>
  <c r="S72" i="7"/>
  <c r="T72" i="7"/>
  <c r="U72" i="7"/>
  <c r="V72" i="7"/>
  <c r="R73" i="7"/>
  <c r="S73" i="7"/>
  <c r="T73" i="7"/>
  <c r="U73" i="7"/>
  <c r="V73" i="7"/>
  <c r="R74" i="7"/>
  <c r="S74" i="7"/>
  <c r="T74" i="7"/>
  <c r="U74" i="7"/>
  <c r="V74" i="7"/>
  <c r="R75" i="7"/>
  <c r="S75" i="7"/>
  <c r="T75" i="7"/>
  <c r="U75" i="7"/>
  <c r="V75" i="7"/>
  <c r="R76" i="7"/>
  <c r="S76" i="7"/>
  <c r="T76" i="7"/>
  <c r="U76" i="7"/>
  <c r="V76" i="7"/>
  <c r="R77" i="7"/>
  <c r="S77" i="7"/>
  <c r="T77" i="7"/>
  <c r="U77" i="7"/>
  <c r="V77" i="7"/>
  <c r="R78" i="7"/>
  <c r="S78" i="7"/>
  <c r="T78" i="7"/>
  <c r="U78" i="7"/>
  <c r="V78" i="7"/>
  <c r="R79" i="7"/>
  <c r="S79" i="7"/>
  <c r="T79" i="7"/>
  <c r="U79" i="7"/>
  <c r="V79" i="7"/>
  <c r="R80" i="7"/>
  <c r="S80" i="7"/>
  <c r="T80" i="7"/>
  <c r="U80" i="7"/>
  <c r="V80" i="7"/>
  <c r="R81" i="7"/>
  <c r="S81" i="7"/>
  <c r="T81" i="7"/>
  <c r="U81" i="7"/>
  <c r="V81" i="7"/>
  <c r="R82" i="7"/>
  <c r="S82" i="7"/>
  <c r="T82" i="7"/>
  <c r="U82" i="7"/>
  <c r="V82" i="7"/>
  <c r="R83" i="7"/>
  <c r="S83" i="7"/>
  <c r="T83" i="7"/>
  <c r="U83" i="7"/>
  <c r="V83" i="7"/>
  <c r="R84" i="7"/>
  <c r="S84" i="7"/>
  <c r="T84" i="7"/>
  <c r="U84" i="7"/>
  <c r="V84" i="7"/>
  <c r="R85" i="7"/>
  <c r="S85" i="7"/>
  <c r="T85" i="7"/>
  <c r="U85" i="7"/>
  <c r="V85" i="7"/>
  <c r="R86" i="7"/>
  <c r="S86" i="7"/>
  <c r="T86" i="7"/>
  <c r="U86" i="7"/>
  <c r="V86" i="7"/>
  <c r="R87" i="7"/>
  <c r="S87" i="7"/>
  <c r="T87" i="7"/>
  <c r="U87" i="7"/>
  <c r="V87" i="7"/>
  <c r="R88" i="7"/>
  <c r="S88" i="7"/>
  <c r="T88" i="7"/>
  <c r="U88" i="7"/>
  <c r="V88" i="7"/>
  <c r="R89" i="7"/>
  <c r="S89" i="7"/>
  <c r="T89" i="7"/>
  <c r="U89" i="7"/>
  <c r="V89" i="7"/>
  <c r="R90" i="7"/>
  <c r="S90" i="7"/>
  <c r="T90" i="7"/>
  <c r="U90" i="7"/>
  <c r="V90" i="7"/>
  <c r="R91" i="7"/>
  <c r="S91" i="7"/>
  <c r="T91" i="7"/>
  <c r="U91" i="7"/>
  <c r="V91" i="7"/>
  <c r="R92" i="7"/>
  <c r="S92" i="7"/>
  <c r="T92" i="7"/>
  <c r="U92" i="7"/>
  <c r="V92" i="7"/>
  <c r="R93" i="7"/>
  <c r="S93" i="7"/>
  <c r="T93" i="7"/>
  <c r="U93" i="7"/>
  <c r="V93" i="7"/>
  <c r="R94" i="7"/>
  <c r="S94" i="7"/>
  <c r="T94" i="7"/>
  <c r="U94" i="7"/>
  <c r="V94" i="7"/>
  <c r="R95" i="7"/>
  <c r="S95" i="7"/>
  <c r="T95" i="7"/>
  <c r="U95" i="7"/>
  <c r="V95" i="7"/>
  <c r="R96" i="7"/>
  <c r="S96" i="7"/>
  <c r="T96" i="7"/>
  <c r="U96" i="7"/>
  <c r="V96" i="7"/>
  <c r="R97" i="7"/>
  <c r="S97" i="7"/>
  <c r="T97" i="7"/>
  <c r="U97" i="7"/>
  <c r="V97" i="7"/>
  <c r="R98" i="7"/>
  <c r="S98" i="7"/>
  <c r="T98" i="7"/>
  <c r="U98" i="7"/>
  <c r="V98" i="7"/>
  <c r="R99" i="7"/>
  <c r="S99" i="7"/>
  <c r="T99" i="7"/>
  <c r="U99" i="7"/>
  <c r="V99" i="7"/>
  <c r="R100" i="7"/>
  <c r="S100" i="7"/>
  <c r="T100" i="7"/>
  <c r="U100" i="7"/>
  <c r="V100" i="7"/>
  <c r="R101" i="7"/>
  <c r="S101" i="7"/>
  <c r="T101" i="7"/>
  <c r="U101" i="7"/>
  <c r="V101" i="7"/>
  <c r="R102" i="7"/>
  <c r="S102" i="7"/>
  <c r="T102" i="7"/>
  <c r="U102" i="7"/>
  <c r="V102" i="7"/>
  <c r="R103" i="7"/>
  <c r="S103" i="7"/>
  <c r="T103" i="7"/>
  <c r="U103" i="7"/>
  <c r="V103" i="7"/>
  <c r="R104" i="7"/>
  <c r="S104" i="7"/>
  <c r="T104" i="7"/>
  <c r="U104" i="7"/>
  <c r="V104" i="7"/>
  <c r="R105" i="7"/>
  <c r="S105" i="7"/>
  <c r="T105" i="7"/>
  <c r="U105" i="7"/>
  <c r="V105" i="7"/>
  <c r="R106" i="7"/>
  <c r="S106" i="7"/>
  <c r="T106" i="7"/>
  <c r="U106" i="7"/>
  <c r="V106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110" i="7"/>
  <c r="S110" i="7"/>
  <c r="T110" i="7"/>
  <c r="U110" i="7"/>
  <c r="V110" i="7"/>
  <c r="R111" i="7"/>
  <c r="S111" i="7"/>
  <c r="T111" i="7"/>
  <c r="U111" i="7"/>
  <c r="V111" i="7"/>
  <c r="R112" i="7"/>
  <c r="S112" i="7"/>
  <c r="T112" i="7"/>
  <c r="U112" i="7"/>
  <c r="V112" i="7"/>
  <c r="R113" i="7"/>
  <c r="S113" i="7"/>
  <c r="T113" i="7"/>
  <c r="U113" i="7"/>
  <c r="V113" i="7"/>
  <c r="R114" i="7"/>
  <c r="S114" i="7"/>
  <c r="T114" i="7"/>
  <c r="U114" i="7"/>
  <c r="V114" i="7"/>
  <c r="R115" i="7"/>
  <c r="S115" i="7"/>
  <c r="T115" i="7"/>
  <c r="U115" i="7"/>
  <c r="V1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19" i="7"/>
  <c r="S119" i="7"/>
  <c r="T119" i="7"/>
  <c r="U119" i="7"/>
  <c r="V119" i="7"/>
  <c r="R120" i="7"/>
  <c r="S120" i="7"/>
  <c r="T120" i="7"/>
  <c r="U120" i="7"/>
  <c r="V120" i="7"/>
  <c r="R121" i="7"/>
  <c r="S121" i="7"/>
  <c r="T121" i="7"/>
  <c r="U121" i="7"/>
  <c r="V121" i="7"/>
  <c r="R122" i="7"/>
  <c r="S122" i="7"/>
  <c r="T122" i="7"/>
  <c r="U122" i="7"/>
  <c r="V122" i="7"/>
  <c r="R123" i="7"/>
  <c r="S123" i="7"/>
  <c r="T123" i="7"/>
  <c r="U123" i="7"/>
  <c r="V123" i="7"/>
  <c r="R124" i="7"/>
  <c r="S124" i="7"/>
  <c r="T124" i="7"/>
  <c r="U124" i="7"/>
  <c r="V124" i="7"/>
  <c r="R125" i="7"/>
  <c r="S125" i="7"/>
  <c r="T125" i="7"/>
  <c r="U125" i="7"/>
  <c r="V125" i="7"/>
  <c r="R126" i="7"/>
  <c r="S126" i="7"/>
  <c r="T126" i="7"/>
  <c r="U126" i="7"/>
  <c r="V126" i="7"/>
  <c r="R127" i="7"/>
  <c r="S127" i="7"/>
  <c r="T127" i="7"/>
  <c r="U127" i="7"/>
  <c r="V127" i="7"/>
  <c r="R128" i="7"/>
  <c r="S128" i="7"/>
  <c r="T128" i="7"/>
  <c r="U128" i="7"/>
  <c r="V128" i="7"/>
  <c r="R129" i="7"/>
  <c r="S129" i="7"/>
  <c r="T129" i="7"/>
  <c r="U129" i="7"/>
  <c r="V129" i="7"/>
  <c r="R130" i="7"/>
  <c r="S130" i="7"/>
  <c r="T130" i="7"/>
  <c r="U130" i="7"/>
  <c r="V130" i="7"/>
  <c r="R131" i="7"/>
  <c r="S131" i="7"/>
  <c r="T131" i="7"/>
  <c r="U131" i="7"/>
  <c r="V131" i="7"/>
  <c r="R132" i="7"/>
  <c r="S132" i="7"/>
  <c r="T132" i="7"/>
  <c r="U132" i="7"/>
  <c r="V132" i="7"/>
  <c r="R133" i="7"/>
  <c r="S133" i="7"/>
  <c r="T133" i="7"/>
  <c r="U133" i="7"/>
  <c r="V133" i="7"/>
  <c r="R134" i="7"/>
  <c r="S134" i="7"/>
  <c r="T134" i="7"/>
  <c r="U134" i="7"/>
  <c r="V134" i="7"/>
  <c r="R135" i="7"/>
  <c r="S135" i="7"/>
  <c r="T135" i="7"/>
  <c r="U135" i="7"/>
  <c r="V135" i="7"/>
  <c r="R136" i="7"/>
  <c r="S136" i="7"/>
  <c r="T136" i="7"/>
  <c r="U136" i="7"/>
  <c r="V136" i="7"/>
  <c r="R137" i="7"/>
  <c r="S137" i="7"/>
  <c r="T137" i="7"/>
  <c r="U137" i="7"/>
  <c r="V137" i="7"/>
  <c r="R138" i="7"/>
  <c r="S138" i="7"/>
  <c r="T138" i="7"/>
  <c r="U138" i="7"/>
  <c r="V138" i="7"/>
  <c r="R139" i="7"/>
  <c r="S139" i="7"/>
  <c r="T139" i="7"/>
  <c r="U139" i="7"/>
  <c r="V139" i="7"/>
  <c r="R140" i="7"/>
  <c r="S140" i="7"/>
  <c r="T140" i="7"/>
  <c r="U140" i="7"/>
  <c r="V140" i="7"/>
  <c r="R141" i="7"/>
  <c r="S141" i="7"/>
  <c r="T141" i="7"/>
  <c r="U141" i="7"/>
  <c r="V141" i="7"/>
  <c r="R142" i="7"/>
  <c r="S142" i="7"/>
  <c r="T142" i="7"/>
  <c r="U142" i="7"/>
  <c r="V142" i="7"/>
  <c r="R143" i="7"/>
  <c r="S143" i="7"/>
  <c r="T143" i="7"/>
  <c r="U143" i="7"/>
  <c r="V143" i="7"/>
  <c r="R144" i="7"/>
  <c r="S144" i="7"/>
  <c r="T144" i="7"/>
  <c r="U144" i="7"/>
  <c r="V144" i="7"/>
  <c r="R145" i="7"/>
  <c r="S145" i="7"/>
  <c r="T145" i="7"/>
  <c r="U145" i="7"/>
  <c r="V145" i="7"/>
  <c r="R146" i="7"/>
  <c r="S146" i="7"/>
  <c r="T146" i="7"/>
  <c r="U146" i="7"/>
  <c r="V146" i="7"/>
  <c r="R147" i="7"/>
  <c r="S147" i="7"/>
  <c r="T147" i="7"/>
  <c r="U147" i="7"/>
  <c r="V147" i="7"/>
  <c r="R148" i="7"/>
  <c r="S148" i="7"/>
  <c r="T148" i="7"/>
  <c r="U148" i="7"/>
  <c r="V148" i="7"/>
  <c r="R149" i="7"/>
  <c r="S149" i="7"/>
  <c r="T149" i="7"/>
  <c r="U149" i="7"/>
  <c r="V149" i="7"/>
  <c r="R150" i="7"/>
  <c r="S150" i="7"/>
  <c r="T150" i="7"/>
  <c r="U150" i="7"/>
  <c r="V150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154" i="7"/>
  <c r="S154" i="7"/>
  <c r="T154" i="7"/>
  <c r="U154" i="7"/>
  <c r="V154" i="7"/>
  <c r="R155" i="7"/>
  <c r="S155" i="7"/>
  <c r="T155" i="7"/>
  <c r="U155" i="7"/>
  <c r="V155" i="7"/>
  <c r="R156" i="7"/>
  <c r="S156" i="7"/>
  <c r="T156" i="7"/>
  <c r="U156" i="7"/>
  <c r="V156" i="7"/>
  <c r="R157" i="7"/>
  <c r="S157" i="7"/>
  <c r="T157" i="7"/>
  <c r="U157" i="7"/>
  <c r="V157" i="7"/>
  <c r="R158" i="7"/>
  <c r="S158" i="7"/>
  <c r="T158" i="7"/>
  <c r="U158" i="7"/>
  <c r="V158" i="7"/>
  <c r="R159" i="7"/>
  <c r="S159" i="7"/>
  <c r="T159" i="7"/>
  <c r="U159" i="7"/>
  <c r="V159" i="7"/>
  <c r="R160" i="7"/>
  <c r="S160" i="7"/>
  <c r="T160" i="7"/>
  <c r="U160" i="7"/>
  <c r="V160" i="7"/>
  <c r="R161" i="7"/>
  <c r="S161" i="7"/>
  <c r="T161" i="7"/>
  <c r="U161" i="7"/>
  <c r="V161" i="7"/>
  <c r="R162" i="7"/>
  <c r="S162" i="7"/>
  <c r="T162" i="7"/>
  <c r="U162" i="7"/>
  <c r="V162" i="7"/>
  <c r="R163" i="7"/>
  <c r="S163" i="7"/>
  <c r="T163" i="7"/>
  <c r="U163" i="7"/>
  <c r="V163" i="7"/>
  <c r="R164" i="7"/>
  <c r="S164" i="7"/>
  <c r="T164" i="7"/>
  <c r="U164" i="7"/>
  <c r="V164" i="7"/>
  <c r="R165" i="7"/>
  <c r="S165" i="7"/>
  <c r="T165" i="7"/>
  <c r="U165" i="7"/>
  <c r="V165" i="7"/>
  <c r="R166" i="7"/>
  <c r="S166" i="7"/>
  <c r="T166" i="7"/>
  <c r="U166" i="7"/>
  <c r="V166" i="7"/>
  <c r="R167" i="7"/>
  <c r="S167" i="7"/>
  <c r="T167" i="7"/>
  <c r="U167" i="7"/>
  <c r="V167" i="7"/>
  <c r="R168" i="7"/>
  <c r="S168" i="7"/>
  <c r="T168" i="7"/>
  <c r="U168" i="7"/>
  <c r="V168" i="7"/>
  <c r="R169" i="7"/>
  <c r="S169" i="7"/>
  <c r="T169" i="7"/>
  <c r="U169" i="7"/>
  <c r="V169" i="7"/>
  <c r="R170" i="7"/>
  <c r="S170" i="7"/>
  <c r="T170" i="7"/>
  <c r="U170" i="7"/>
  <c r="V170" i="7"/>
  <c r="R171" i="7"/>
  <c r="S171" i="7"/>
  <c r="T171" i="7"/>
  <c r="U171" i="7"/>
  <c r="V171" i="7"/>
  <c r="R172" i="7"/>
  <c r="S172" i="7"/>
  <c r="T172" i="7"/>
  <c r="U172" i="7"/>
  <c r="V172" i="7"/>
  <c r="R173" i="7"/>
  <c r="S173" i="7"/>
  <c r="T173" i="7"/>
  <c r="U173" i="7"/>
  <c r="V173" i="7"/>
  <c r="R174" i="7"/>
  <c r="S174" i="7"/>
  <c r="T174" i="7"/>
  <c r="U174" i="7"/>
  <c r="V174" i="7"/>
  <c r="R175" i="7"/>
  <c r="S175" i="7"/>
  <c r="T175" i="7"/>
  <c r="U175" i="7"/>
  <c r="V175" i="7"/>
  <c r="R176" i="7"/>
  <c r="S176" i="7"/>
  <c r="T176" i="7"/>
  <c r="U176" i="7"/>
  <c r="V176" i="7"/>
  <c r="R177" i="7"/>
  <c r="S177" i="7"/>
  <c r="T177" i="7"/>
  <c r="U177" i="7"/>
  <c r="V177" i="7"/>
  <c r="R178" i="7"/>
  <c r="S178" i="7"/>
  <c r="T178" i="7"/>
  <c r="U178" i="7"/>
  <c r="V178" i="7"/>
  <c r="R179" i="7"/>
  <c r="S179" i="7"/>
  <c r="T179" i="7"/>
  <c r="U179" i="7"/>
  <c r="V179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84" i="7"/>
  <c r="S184" i="7"/>
  <c r="T184" i="7"/>
  <c r="U184" i="7"/>
  <c r="V184" i="7"/>
  <c r="R185" i="7"/>
  <c r="S185" i="7"/>
  <c r="T185" i="7"/>
  <c r="U185" i="7"/>
  <c r="V185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189" i="7"/>
  <c r="S189" i="7"/>
  <c r="T189" i="7"/>
  <c r="U189" i="7"/>
  <c r="V189" i="7"/>
  <c r="R190" i="7"/>
  <c r="S190" i="7"/>
  <c r="T190" i="7"/>
  <c r="U190" i="7"/>
  <c r="V190" i="7"/>
  <c r="R191" i="7"/>
  <c r="S191" i="7"/>
  <c r="T191" i="7"/>
  <c r="U191" i="7"/>
  <c r="V191" i="7"/>
  <c r="R192" i="7"/>
  <c r="S192" i="7"/>
  <c r="T192" i="7"/>
  <c r="U192" i="7"/>
  <c r="V192" i="7"/>
  <c r="R193" i="7"/>
  <c r="S193" i="7"/>
  <c r="T193" i="7"/>
  <c r="U193" i="7"/>
  <c r="V193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07" i="7"/>
  <c r="S207" i="7"/>
  <c r="T207" i="7"/>
  <c r="U207" i="7"/>
  <c r="V207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213" i="7"/>
  <c r="S213" i="7"/>
  <c r="T213" i="7"/>
  <c r="U213" i="7"/>
  <c r="V213" i="7"/>
  <c r="R214" i="7"/>
  <c r="S214" i="7"/>
  <c r="T214" i="7"/>
  <c r="U214" i="7"/>
  <c r="V214" i="7"/>
  <c r="R215" i="7"/>
  <c r="S215" i="7"/>
  <c r="T215" i="7"/>
  <c r="U215" i="7"/>
  <c r="V215" i="7"/>
  <c r="R216" i="7"/>
  <c r="S216" i="7"/>
  <c r="T216" i="7"/>
  <c r="U216" i="7"/>
  <c r="V216" i="7"/>
  <c r="R217" i="7"/>
  <c r="S217" i="7"/>
  <c r="T217" i="7"/>
  <c r="U217" i="7"/>
  <c r="V217" i="7"/>
  <c r="R218" i="7"/>
  <c r="S218" i="7"/>
  <c r="T218" i="7"/>
  <c r="U218" i="7"/>
  <c r="V218" i="7"/>
  <c r="R219" i="7"/>
  <c r="S219" i="7"/>
  <c r="T219" i="7"/>
  <c r="U219" i="7"/>
  <c r="V219" i="7"/>
  <c r="R220" i="7"/>
  <c r="S220" i="7"/>
  <c r="T220" i="7"/>
  <c r="U220" i="7"/>
  <c r="V220" i="7"/>
  <c r="R221" i="7"/>
  <c r="S221" i="7"/>
  <c r="T221" i="7"/>
  <c r="U221" i="7"/>
  <c r="V221" i="7"/>
  <c r="R222" i="7"/>
  <c r="S222" i="7"/>
  <c r="T222" i="7"/>
  <c r="U222" i="7"/>
  <c r="V222" i="7"/>
  <c r="R223" i="7"/>
  <c r="S223" i="7"/>
  <c r="T223" i="7"/>
  <c r="U223" i="7"/>
  <c r="V223" i="7"/>
  <c r="R224" i="7"/>
  <c r="S224" i="7"/>
  <c r="T224" i="7"/>
  <c r="U224" i="7"/>
  <c r="V224" i="7"/>
  <c r="R225" i="7"/>
  <c r="S225" i="7"/>
  <c r="T225" i="7"/>
  <c r="U225" i="7"/>
  <c r="V225" i="7"/>
  <c r="R226" i="7"/>
  <c r="S226" i="7"/>
  <c r="T226" i="7"/>
  <c r="U226" i="7"/>
  <c r="V226" i="7"/>
  <c r="R227" i="7"/>
  <c r="S227" i="7"/>
  <c r="T227" i="7"/>
  <c r="U227" i="7"/>
  <c r="V227" i="7"/>
  <c r="R228" i="7"/>
  <c r="S228" i="7"/>
  <c r="T228" i="7"/>
  <c r="U228" i="7"/>
  <c r="V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246" i="7"/>
  <c r="S246" i="7"/>
  <c r="T246" i="7"/>
  <c r="U246" i="7"/>
  <c r="V246" i="7"/>
  <c r="R247" i="7"/>
  <c r="S247" i="7"/>
  <c r="T247" i="7"/>
  <c r="U247" i="7"/>
  <c r="V247" i="7"/>
  <c r="R248" i="7"/>
  <c r="S248" i="7"/>
  <c r="T248" i="7"/>
  <c r="U248" i="7"/>
  <c r="V248" i="7"/>
  <c r="R249" i="7"/>
  <c r="S249" i="7"/>
  <c r="T249" i="7"/>
  <c r="U249" i="7"/>
  <c r="V249" i="7"/>
  <c r="R250" i="7"/>
  <c r="S250" i="7"/>
  <c r="T250" i="7"/>
  <c r="U250" i="7"/>
  <c r="V250" i="7"/>
  <c r="R251" i="7"/>
  <c r="S251" i="7"/>
  <c r="T251" i="7"/>
  <c r="U251" i="7"/>
  <c r="V251" i="7"/>
  <c r="R252" i="7"/>
  <c r="S252" i="7"/>
  <c r="T252" i="7"/>
  <c r="U252" i="7"/>
  <c r="V252" i="7"/>
  <c r="R253" i="7"/>
  <c r="S253" i="7"/>
  <c r="T253" i="7"/>
  <c r="U253" i="7"/>
  <c r="V253" i="7"/>
  <c r="R254" i="7"/>
  <c r="S254" i="7"/>
  <c r="T254" i="7"/>
  <c r="U254" i="7"/>
  <c r="V254" i="7"/>
  <c r="R255" i="7"/>
  <c r="S255" i="7"/>
  <c r="T255" i="7"/>
  <c r="U255" i="7"/>
  <c r="V255" i="7"/>
  <c r="R256" i="7"/>
  <c r="S256" i="7"/>
  <c r="T256" i="7"/>
  <c r="U256" i="7"/>
  <c r="V256" i="7"/>
  <c r="R257" i="7"/>
  <c r="S257" i="7"/>
  <c r="T257" i="7"/>
  <c r="U257" i="7"/>
  <c r="V257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63" i="7"/>
  <c r="S263" i="7"/>
  <c r="T263" i="7"/>
  <c r="U263" i="7"/>
  <c r="V263" i="7"/>
  <c r="R264" i="7"/>
  <c r="S264" i="7"/>
  <c r="T264" i="7"/>
  <c r="U264" i="7"/>
  <c r="V264" i="7"/>
  <c r="R265" i="7"/>
  <c r="S265" i="7"/>
  <c r="T265" i="7"/>
  <c r="U265" i="7"/>
  <c r="V265" i="7"/>
  <c r="R266" i="7"/>
  <c r="S266" i="7"/>
  <c r="T266" i="7"/>
  <c r="U266" i="7"/>
  <c r="V266" i="7"/>
  <c r="R267" i="7"/>
  <c r="S267" i="7"/>
  <c r="T267" i="7"/>
  <c r="U267" i="7"/>
  <c r="V267" i="7"/>
  <c r="R268" i="7"/>
  <c r="S268" i="7"/>
  <c r="T268" i="7"/>
  <c r="U268" i="7"/>
  <c r="V268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272" i="7"/>
  <c r="S272" i="7"/>
  <c r="T272" i="7"/>
  <c r="U272" i="7"/>
  <c r="V272" i="7"/>
  <c r="R273" i="7"/>
  <c r="S273" i="7"/>
  <c r="T273" i="7"/>
  <c r="U273" i="7"/>
  <c r="V273" i="7"/>
  <c r="R274" i="7"/>
  <c r="S274" i="7"/>
  <c r="T274" i="7"/>
  <c r="U274" i="7"/>
  <c r="V274" i="7"/>
  <c r="R275" i="7"/>
  <c r="S275" i="7"/>
  <c r="T275" i="7"/>
  <c r="U275" i="7"/>
  <c r="V275" i="7"/>
  <c r="R276" i="7"/>
  <c r="S276" i="7"/>
  <c r="T276" i="7"/>
  <c r="U276" i="7"/>
  <c r="V276" i="7"/>
  <c r="R277" i="7"/>
  <c r="S277" i="7"/>
  <c r="T277" i="7"/>
  <c r="U277" i="7"/>
  <c r="V277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281" i="7"/>
  <c r="S281" i="7"/>
  <c r="T281" i="7"/>
  <c r="U281" i="7"/>
  <c r="V281" i="7"/>
  <c r="R282" i="7"/>
  <c r="S282" i="7"/>
  <c r="T282" i="7"/>
  <c r="U282" i="7"/>
  <c r="V282" i="7"/>
  <c r="R283" i="7"/>
  <c r="S283" i="7"/>
  <c r="T283" i="7"/>
  <c r="U283" i="7"/>
  <c r="V283" i="7"/>
  <c r="R284" i="7"/>
  <c r="S284" i="7"/>
  <c r="T284" i="7"/>
  <c r="U284" i="7"/>
  <c r="V284" i="7"/>
  <c r="R285" i="7"/>
  <c r="S285" i="7"/>
  <c r="T285" i="7"/>
  <c r="U285" i="7"/>
  <c r="V285" i="7"/>
  <c r="R286" i="7"/>
  <c r="S286" i="7"/>
  <c r="T286" i="7"/>
  <c r="U286" i="7"/>
  <c r="V286" i="7"/>
  <c r="R287" i="7"/>
  <c r="S287" i="7"/>
  <c r="T287" i="7"/>
  <c r="U287" i="7"/>
  <c r="V287" i="7"/>
  <c r="R288" i="7"/>
  <c r="S288" i="7"/>
  <c r="T288" i="7"/>
  <c r="U288" i="7"/>
  <c r="V288" i="7"/>
  <c r="R289" i="7"/>
  <c r="S289" i="7"/>
  <c r="T289" i="7"/>
  <c r="U289" i="7"/>
  <c r="V289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3" i="7"/>
  <c r="S303" i="7"/>
  <c r="T303" i="7"/>
  <c r="U303" i="7"/>
  <c r="V303" i="7"/>
  <c r="R304" i="7"/>
  <c r="S304" i="7"/>
  <c r="T304" i="7"/>
  <c r="U304" i="7"/>
  <c r="V304" i="7"/>
  <c r="R305" i="7"/>
  <c r="S305" i="7"/>
  <c r="T305" i="7"/>
  <c r="U305" i="7"/>
  <c r="V305" i="7"/>
  <c r="R306" i="7"/>
  <c r="S306" i="7"/>
  <c r="T306" i="7"/>
  <c r="U306" i="7"/>
  <c r="V306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17" i="7"/>
  <c r="S317" i="7"/>
  <c r="T317" i="7"/>
  <c r="U317" i="7"/>
  <c r="V317" i="7"/>
  <c r="R318" i="7"/>
  <c r="S318" i="7"/>
  <c r="T318" i="7"/>
  <c r="U318" i="7"/>
  <c r="V318" i="7"/>
  <c r="R319" i="7"/>
  <c r="S319" i="7"/>
  <c r="T319" i="7"/>
  <c r="U319" i="7"/>
  <c r="V319" i="7"/>
  <c r="R320" i="7"/>
  <c r="S320" i="7"/>
  <c r="T320" i="7"/>
  <c r="U320" i="7"/>
  <c r="V320" i="7"/>
  <c r="R321" i="7"/>
  <c r="S321" i="7"/>
  <c r="T321" i="7"/>
  <c r="U321" i="7"/>
  <c r="V321" i="7"/>
  <c r="R322" i="7"/>
  <c r="S322" i="7"/>
  <c r="T322" i="7"/>
  <c r="U322" i="7"/>
  <c r="V322" i="7"/>
  <c r="R323" i="7"/>
  <c r="S323" i="7"/>
  <c r="T323" i="7"/>
  <c r="U323" i="7"/>
  <c r="V323" i="7"/>
  <c r="R324" i="7"/>
  <c r="S324" i="7"/>
  <c r="T324" i="7"/>
  <c r="U324" i="7"/>
  <c r="V324" i="7"/>
  <c r="R325" i="7"/>
  <c r="S325" i="7"/>
  <c r="T325" i="7"/>
  <c r="U325" i="7"/>
  <c r="V325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42" i="7"/>
  <c r="S342" i="7"/>
  <c r="T342" i="7"/>
  <c r="U342" i="7"/>
  <c r="V342" i="7"/>
  <c r="R343" i="7"/>
  <c r="S343" i="7"/>
  <c r="T343" i="7"/>
  <c r="U343" i="7"/>
  <c r="V343" i="7"/>
  <c r="R344" i="7"/>
  <c r="S344" i="7"/>
  <c r="T344" i="7"/>
  <c r="U344" i="7"/>
  <c r="V344" i="7"/>
  <c r="R345" i="7"/>
  <c r="S345" i="7"/>
  <c r="T345" i="7"/>
  <c r="U345" i="7"/>
  <c r="V345" i="7"/>
  <c r="R346" i="7"/>
  <c r="S346" i="7"/>
  <c r="T346" i="7"/>
  <c r="U346" i="7"/>
  <c r="V346" i="7"/>
  <c r="R347" i="7"/>
  <c r="S347" i="7"/>
  <c r="T347" i="7"/>
  <c r="U347" i="7"/>
  <c r="V347" i="7"/>
  <c r="R348" i="7"/>
  <c r="S348" i="7"/>
  <c r="T348" i="7"/>
  <c r="U348" i="7"/>
  <c r="V348" i="7"/>
  <c r="R349" i="7"/>
  <c r="S349" i="7"/>
  <c r="T349" i="7"/>
  <c r="U349" i="7"/>
  <c r="V349" i="7"/>
  <c r="R350" i="7"/>
  <c r="S350" i="7"/>
  <c r="T350" i="7"/>
  <c r="U350" i="7"/>
  <c r="V350" i="7"/>
  <c r="R351" i="7"/>
  <c r="S351" i="7"/>
  <c r="T351" i="7"/>
  <c r="U351" i="7"/>
  <c r="V351" i="7"/>
  <c r="R352" i="7"/>
  <c r="S352" i="7"/>
  <c r="T352" i="7"/>
  <c r="U352" i="7"/>
  <c r="V352" i="7"/>
  <c r="R353" i="7"/>
  <c r="S353" i="7"/>
  <c r="T353" i="7"/>
  <c r="U353" i="7"/>
  <c r="V353" i="7"/>
  <c r="R354" i="7"/>
  <c r="S354" i="7"/>
  <c r="T354" i="7"/>
  <c r="U354" i="7"/>
  <c r="V354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58" i="7"/>
  <c r="S358" i="7"/>
  <c r="T358" i="7"/>
  <c r="U358" i="7"/>
  <c r="V358" i="7"/>
  <c r="R359" i="7"/>
  <c r="S359" i="7"/>
  <c r="T359" i="7"/>
  <c r="U359" i="7"/>
  <c r="V35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63" i="7"/>
  <c r="S363" i="7"/>
  <c r="T363" i="7"/>
  <c r="U363" i="7"/>
  <c r="V363" i="7"/>
  <c r="R364" i="7"/>
  <c r="S364" i="7"/>
  <c r="T364" i="7"/>
  <c r="U364" i="7"/>
  <c r="V364" i="7"/>
  <c r="R365" i="7"/>
  <c r="S365" i="7"/>
  <c r="T365" i="7"/>
  <c r="U365" i="7"/>
  <c r="V365" i="7"/>
  <c r="R366" i="7"/>
  <c r="S366" i="7"/>
  <c r="T366" i="7"/>
  <c r="U366" i="7"/>
  <c r="V366" i="7"/>
  <c r="R367" i="7"/>
  <c r="S367" i="7"/>
  <c r="T367" i="7"/>
  <c r="U367" i="7"/>
  <c r="V367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73" i="7"/>
  <c r="S373" i="7"/>
  <c r="T373" i="7"/>
  <c r="U373" i="7"/>
  <c r="V373" i="7"/>
  <c r="R374" i="7"/>
  <c r="S374" i="7"/>
  <c r="T374" i="7"/>
  <c r="U374" i="7"/>
  <c r="V374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8" i="7"/>
  <c r="S378" i="7"/>
  <c r="T378" i="7"/>
  <c r="U378" i="7"/>
  <c r="V378" i="7"/>
  <c r="R379" i="7"/>
  <c r="S379" i="7"/>
  <c r="T379" i="7"/>
  <c r="U379" i="7"/>
  <c r="V379" i="7"/>
  <c r="R380" i="7"/>
  <c r="S380" i="7"/>
  <c r="T380" i="7"/>
  <c r="U380" i="7"/>
  <c r="V380" i="7"/>
  <c r="R381" i="7"/>
  <c r="S381" i="7"/>
  <c r="T381" i="7"/>
  <c r="U381" i="7"/>
  <c r="V381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0" i="7"/>
  <c r="S390" i="7"/>
  <c r="T390" i="7"/>
  <c r="U390" i="7"/>
  <c r="V390" i="7"/>
  <c r="R391" i="7"/>
  <c r="S391" i="7"/>
  <c r="T391" i="7"/>
  <c r="U391" i="7"/>
  <c r="V391" i="7"/>
  <c r="R392" i="7"/>
  <c r="S392" i="7"/>
  <c r="T392" i="7"/>
  <c r="U392" i="7"/>
  <c r="V392" i="7"/>
  <c r="R393" i="7"/>
  <c r="S393" i="7"/>
  <c r="T393" i="7"/>
  <c r="U393" i="7"/>
  <c r="V393" i="7"/>
  <c r="R394" i="7"/>
  <c r="S394" i="7"/>
  <c r="T394" i="7"/>
  <c r="U394" i="7"/>
  <c r="V394" i="7"/>
  <c r="R395" i="7"/>
  <c r="S395" i="7"/>
  <c r="T395" i="7"/>
  <c r="U395" i="7"/>
  <c r="V395" i="7"/>
  <c r="R396" i="7"/>
  <c r="S396" i="7"/>
  <c r="T396" i="7"/>
  <c r="U396" i="7"/>
  <c r="V396" i="7"/>
  <c r="R397" i="7"/>
  <c r="S397" i="7"/>
  <c r="T397" i="7"/>
  <c r="U397" i="7"/>
  <c r="V397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1" i="7"/>
  <c r="S401" i="7"/>
  <c r="T401" i="7"/>
  <c r="U401" i="7"/>
  <c r="V401" i="7"/>
  <c r="R402" i="7"/>
  <c r="S402" i="7"/>
  <c r="T402" i="7"/>
  <c r="U402" i="7"/>
  <c r="V402" i="7"/>
  <c r="R403" i="7"/>
  <c r="S403" i="7"/>
  <c r="T403" i="7"/>
  <c r="U403" i="7"/>
  <c r="V403" i="7"/>
  <c r="R404" i="7"/>
  <c r="S404" i="7"/>
  <c r="T404" i="7"/>
  <c r="U404" i="7"/>
  <c r="V404" i="7"/>
  <c r="R405" i="7"/>
  <c r="S405" i="7"/>
  <c r="T405" i="7"/>
  <c r="U405" i="7"/>
  <c r="V405" i="7"/>
  <c r="R406" i="7"/>
  <c r="S406" i="7"/>
  <c r="T406" i="7"/>
  <c r="U406" i="7"/>
  <c r="V406" i="7"/>
  <c r="C385" i="7"/>
  <c r="C204" i="7"/>
  <c r="C74" i="7"/>
  <c r="C73" i="7"/>
  <c r="C402" i="7"/>
  <c r="C321" i="7"/>
  <c r="C386" i="7"/>
  <c r="C396" i="7"/>
  <c r="C398" i="7"/>
  <c r="C160" i="7"/>
  <c r="C75" i="7"/>
  <c r="C192" i="7"/>
  <c r="C6" i="7"/>
  <c r="C181" i="7"/>
  <c r="C11" i="7"/>
  <c r="C383" i="7"/>
  <c r="C400" i="7"/>
  <c r="C99" i="7"/>
  <c r="C399" i="7"/>
  <c r="C28" i="7"/>
  <c r="C203" i="7"/>
  <c r="C211" i="7"/>
  <c r="C331" i="7"/>
  <c r="C80" i="7"/>
  <c r="C5" i="7"/>
  <c r="C4" i="7"/>
  <c r="C3" i="7"/>
  <c r="C336" i="7"/>
  <c r="C393" i="7"/>
  <c r="C405" i="7"/>
  <c r="C2" i="7"/>
  <c r="C33" i="7"/>
  <c r="C179" i="7"/>
  <c r="C329" i="7"/>
  <c r="C32" i="7"/>
  <c r="C368" i="7"/>
  <c r="C373" i="7"/>
  <c r="C366" i="7"/>
  <c r="C364" i="7"/>
  <c r="C403" i="7"/>
  <c r="C17" i="7"/>
  <c r="C150" i="7"/>
  <c r="C392" i="7"/>
  <c r="C23" i="7"/>
  <c r="C26" i="7"/>
  <c r="C391" i="7"/>
  <c r="C34" i="7"/>
  <c r="C152" i="7"/>
  <c r="C240" i="7"/>
  <c r="C363" i="7"/>
  <c r="C14" i="7"/>
  <c r="C382" i="7"/>
  <c r="C387" i="7"/>
  <c r="C389" i="7"/>
  <c r="C394" i="7"/>
  <c r="C395" i="7"/>
  <c r="C397" i="7"/>
  <c r="C406" i="7"/>
  <c r="C143" i="7"/>
  <c r="C180" i="7"/>
  <c r="C401" i="7"/>
  <c r="C136" i="7"/>
  <c r="C327" i="7"/>
  <c r="C16" i="7"/>
  <c r="C404" i="7"/>
  <c r="C153" i="7"/>
  <c r="C134" i="7"/>
  <c r="C18" i="7"/>
  <c r="C163" i="7"/>
  <c r="C286" i="7"/>
  <c r="C183" i="7"/>
  <c r="C162" i="7"/>
  <c r="C284" i="7"/>
  <c r="C131" i="7"/>
  <c r="C120" i="7"/>
  <c r="C144" i="7"/>
  <c r="C112" i="7"/>
  <c r="C242" i="7"/>
  <c r="C300" i="7"/>
  <c r="C390" i="7"/>
  <c r="C281" i="7"/>
  <c r="C280" i="7"/>
  <c r="C283" i="7"/>
  <c r="C285" i="7"/>
  <c r="C235" i="7"/>
  <c r="C102" i="7"/>
  <c r="C359" i="7"/>
  <c r="C384" i="7"/>
  <c r="C111" i="7"/>
  <c r="C377" i="7"/>
  <c r="C261" i="7"/>
  <c r="C365" i="7"/>
  <c r="C187" i="7"/>
  <c r="C132" i="7"/>
  <c r="C251" i="7"/>
  <c r="C101" i="7"/>
  <c r="C282" i="7"/>
  <c r="C130" i="7"/>
  <c r="C27" i="7"/>
  <c r="C287" i="7"/>
  <c r="C318" i="7"/>
  <c r="C388" i="7"/>
  <c r="C279" i="7"/>
  <c r="C42" i="7"/>
  <c r="C245" i="7"/>
  <c r="C299" i="7"/>
  <c r="C308" i="7"/>
  <c r="C298" i="7"/>
  <c r="C325" i="7"/>
  <c r="C83" i="7"/>
  <c r="C133" i="7"/>
  <c r="C113" i="7"/>
  <c r="C185" i="7"/>
  <c r="C253" i="7"/>
  <c r="C61" i="7"/>
  <c r="C370" i="7"/>
  <c r="C319" i="7"/>
  <c r="C60" i="7"/>
  <c r="C22" i="7"/>
  <c r="C227" i="7"/>
  <c r="C228" i="7"/>
  <c r="C207" i="7"/>
  <c r="C230" i="7"/>
  <c r="C231" i="7"/>
  <c r="C122" i="7"/>
  <c r="C182" i="7"/>
  <c r="C40" i="7"/>
  <c r="C250" i="7"/>
  <c r="C129" i="7"/>
  <c r="C254" i="7"/>
  <c r="C59" i="7"/>
  <c r="C92" i="7"/>
  <c r="C255" i="7"/>
  <c r="C246" i="7"/>
  <c r="C123" i="7"/>
  <c r="C184" i="7"/>
  <c r="C177" i="7"/>
  <c r="C226" i="7"/>
  <c r="C66" i="7"/>
  <c r="C142" i="7"/>
  <c r="C20" i="7"/>
  <c r="C378" i="7"/>
  <c r="C338" i="7"/>
  <c r="C108" i="7"/>
  <c r="C244" i="7"/>
  <c r="C126" i="7"/>
  <c r="C295" i="7"/>
  <c r="C47" i="7"/>
  <c r="C88" i="7"/>
  <c r="C294" i="7"/>
  <c r="C154" i="7"/>
  <c r="C67" i="7"/>
  <c r="C262" i="7"/>
  <c r="C45" i="7"/>
  <c r="C21" i="7"/>
  <c r="C25" i="7"/>
  <c r="C24" i="7"/>
  <c r="C155" i="7"/>
  <c r="C141" i="7"/>
  <c r="C46" i="7"/>
  <c r="C302" i="7"/>
  <c r="C100" i="7"/>
  <c r="C84" i="7"/>
  <c r="C85" i="7"/>
  <c r="C189" i="7"/>
  <c r="C219" i="7"/>
  <c r="C119" i="7"/>
  <c r="C237" i="7"/>
  <c r="C381" i="7"/>
  <c r="C118" i="7"/>
  <c r="C147" i="7"/>
  <c r="C380" i="7"/>
  <c r="C117" i="7"/>
  <c r="C188" i="7"/>
  <c r="C191" i="7"/>
  <c r="C69" i="7"/>
  <c r="C70" i="7"/>
  <c r="C68" i="7"/>
  <c r="C222" i="7"/>
  <c r="C310" i="7"/>
  <c r="C320" i="7"/>
  <c r="C263" i="7"/>
  <c r="C86" i="7"/>
  <c r="C225" i="7"/>
  <c r="C260" i="7"/>
  <c r="C259" i="7"/>
  <c r="C248" i="7"/>
  <c r="C190" i="7"/>
  <c r="C128" i="7"/>
  <c r="C50" i="7"/>
  <c r="C186" i="7"/>
  <c r="C58" i="7"/>
  <c r="C56" i="7"/>
  <c r="C247" i="7"/>
  <c r="C173" i="7"/>
  <c r="C243" i="7"/>
  <c r="C215" i="7"/>
  <c r="C168" i="7"/>
  <c r="C220" i="7"/>
  <c r="C221" i="7"/>
  <c r="C71" i="7"/>
  <c r="C94" i="7"/>
  <c r="C49" i="7"/>
  <c r="C52" i="7"/>
  <c r="C210" i="7"/>
  <c r="C356" i="7"/>
  <c r="C81" i="7"/>
  <c r="C194" i="7"/>
  <c r="C39" i="7"/>
  <c r="C54" i="7"/>
  <c r="C116" i="7"/>
  <c r="C57" i="7"/>
  <c r="C62" i="7"/>
  <c r="C195" i="7"/>
  <c r="C213" i="7"/>
  <c r="C305" i="7"/>
  <c r="C324" i="7"/>
  <c r="C95" i="7"/>
  <c r="C169" i="7"/>
  <c r="C121" i="7"/>
  <c r="C53" i="7"/>
  <c r="C135" i="7"/>
  <c r="C214" i="7"/>
  <c r="C309" i="7"/>
  <c r="C355" i="7"/>
  <c r="C257" i="7"/>
  <c r="C275" i="7"/>
  <c r="C209" i="7"/>
  <c r="C43" i="7"/>
  <c r="C78" i="7"/>
  <c r="C193" i="7"/>
  <c r="C55" i="7"/>
  <c r="C91" i="7"/>
  <c r="C77" i="7"/>
  <c r="C367" i="7"/>
  <c r="C317" i="7"/>
  <c r="C239" i="7"/>
  <c r="C171" i="7"/>
  <c r="C48" i="7"/>
  <c r="C125" i="7"/>
  <c r="C87" i="7"/>
  <c r="C170" i="7"/>
  <c r="C291" i="7"/>
  <c r="C278" i="7"/>
  <c r="C64" i="7"/>
  <c r="C236" i="7"/>
  <c r="C301" i="7"/>
  <c r="C65" i="7"/>
  <c r="C224" i="7"/>
  <c r="C223" i="7"/>
  <c r="C375" i="7"/>
  <c r="C38" i="7"/>
  <c r="C156" i="7"/>
  <c r="C266" i="7"/>
  <c r="C371" i="7"/>
  <c r="C268" i="7"/>
  <c r="C241" i="7"/>
  <c r="C178" i="7"/>
  <c r="C297" i="7"/>
  <c r="C304" i="7"/>
  <c r="C316" i="7"/>
  <c r="C175" i="7"/>
  <c r="C270" i="7"/>
  <c r="C208" i="7"/>
  <c r="C137" i="7"/>
  <c r="C127" i="7"/>
  <c r="C79" i="7"/>
  <c r="C174" i="7"/>
  <c r="C200" i="7"/>
  <c r="C82" i="7"/>
  <c r="C140" i="7"/>
  <c r="C157" i="7"/>
  <c r="C232" i="7"/>
  <c r="C274" i="7"/>
  <c r="C234" i="7"/>
  <c r="C322" i="7"/>
  <c r="C361" i="7"/>
  <c r="C357" i="7"/>
  <c r="C360" i="7"/>
  <c r="C98" i="7"/>
  <c r="C158" i="7"/>
  <c r="C41" i="7"/>
  <c r="C51" i="7"/>
  <c r="C149" i="7"/>
  <c r="C44" i="7"/>
  <c r="C176" i="7"/>
  <c r="C292" i="7"/>
  <c r="C296" i="7"/>
  <c r="C161" i="7"/>
  <c r="C238" i="7"/>
  <c r="C269" i="7"/>
  <c r="C201" i="7"/>
  <c r="C96" i="7"/>
  <c r="C19" i="7"/>
  <c r="C332" i="7"/>
  <c r="C290" i="7"/>
  <c r="C172" i="7"/>
  <c r="C164" i="7"/>
  <c r="C63" i="7"/>
  <c r="C139" i="7"/>
  <c r="C10" i="7"/>
  <c r="C277" i="7"/>
  <c r="C267" i="7"/>
  <c r="C289" i="7"/>
  <c r="C326" i="7"/>
  <c r="C90" i="7"/>
  <c r="C216" i="7"/>
  <c r="C272" i="7"/>
  <c r="C166" i="7"/>
  <c r="C146" i="7"/>
  <c r="C288" i="7"/>
  <c r="C265" i="7"/>
  <c r="C151" i="7"/>
  <c r="C352" i="7"/>
  <c r="C271" i="7"/>
  <c r="C233" i="7"/>
  <c r="C115" i="7"/>
  <c r="C104" i="7"/>
  <c r="C293" i="7"/>
  <c r="C124" i="7"/>
  <c r="C362" i="7"/>
  <c r="C37" i="7"/>
  <c r="C206" i="7"/>
  <c r="C202" i="7"/>
  <c r="C374" i="7"/>
  <c r="C252" i="7"/>
  <c r="C353" i="7"/>
  <c r="C330" i="7"/>
  <c r="C9" i="7"/>
  <c r="C198" i="7"/>
  <c r="C273" i="7"/>
  <c r="C7" i="7"/>
  <c r="C159" i="7"/>
  <c r="C217" i="7"/>
  <c r="C258" i="7"/>
  <c r="C89" i="7"/>
  <c r="C379" i="7"/>
  <c r="C13" i="7"/>
  <c r="C264" i="7"/>
  <c r="C35" i="7"/>
  <c r="C205" i="7"/>
  <c r="C8" i="7"/>
  <c r="C345" i="7"/>
  <c r="C197" i="7"/>
  <c r="C342" i="7"/>
  <c r="C303" i="7"/>
  <c r="C276" i="7"/>
  <c r="C97" i="7"/>
  <c r="C138" i="7"/>
  <c r="C145" i="7"/>
  <c r="C350" i="7"/>
  <c r="C199" i="7"/>
  <c r="C15" i="7"/>
  <c r="C105" i="7"/>
  <c r="C72" i="7"/>
  <c r="C76" i="7"/>
  <c r="C12" i="7"/>
  <c r="C306" i="7"/>
  <c r="C307" i="7"/>
  <c r="C218" i="7"/>
  <c r="C229" i="7"/>
  <c r="C328" i="7"/>
  <c r="C351" i="7"/>
  <c r="C167" i="7"/>
  <c r="C29" i="7"/>
  <c r="C36" i="7"/>
  <c r="C165" i="7"/>
  <c r="C343" i="7"/>
  <c r="C256" i="7"/>
  <c r="C148" i="7"/>
  <c r="C369" i="7"/>
  <c r="C31" i="7"/>
  <c r="C30" i="7"/>
  <c r="C106" i="7"/>
  <c r="C346" i="7"/>
  <c r="C114" i="7"/>
  <c r="C109" i="7"/>
  <c r="C372" i="7"/>
  <c r="C344" i="7"/>
  <c r="C311" i="7"/>
  <c r="C376" i="7"/>
  <c r="C110" i="7"/>
  <c r="C312" i="7"/>
  <c r="C313" i="7"/>
  <c r="C339" i="7"/>
  <c r="C340" i="7"/>
  <c r="C107" i="7"/>
  <c r="C196" i="7"/>
  <c r="C335" i="7"/>
  <c r="C354" i="7"/>
  <c r="C103" i="7"/>
  <c r="C334" i="7"/>
  <c r="C315" i="7"/>
  <c r="C333" i="7"/>
  <c r="C314" i="7"/>
  <c r="C358" i="7"/>
  <c r="C337" i="7"/>
  <c r="C347" i="7"/>
  <c r="C341" i="7"/>
  <c r="C348" i="7"/>
  <c r="C349" i="7"/>
  <c r="C93" i="7"/>
  <c r="C249" i="7"/>
  <c r="C323" i="7"/>
  <c r="C212" i="7"/>
  <c r="B22" i="6"/>
  <c r="B323" i="7"/>
  <c r="B249" i="7"/>
  <c r="B93" i="7"/>
  <c r="B349" i="7"/>
  <c r="B348" i="7"/>
  <c r="B341" i="7"/>
  <c r="B347" i="7"/>
  <c r="B337" i="7"/>
  <c r="B358" i="7"/>
  <c r="B314" i="7"/>
  <c r="B333" i="7"/>
  <c r="B315" i="7"/>
  <c r="B334" i="7"/>
  <c r="B103" i="7"/>
  <c r="B354" i="7"/>
  <c r="B335" i="7"/>
  <c r="B196" i="7"/>
  <c r="B107" i="7"/>
  <c r="B340" i="7"/>
  <c r="B339" i="7"/>
  <c r="B313" i="7"/>
  <c r="B312" i="7"/>
  <c r="B110" i="7"/>
  <c r="B376" i="7"/>
  <c r="B311" i="7"/>
  <c r="B344" i="7"/>
  <c r="B372" i="7"/>
  <c r="B109" i="7"/>
  <c r="B114" i="7"/>
  <c r="B346" i="7"/>
  <c r="B106" i="7"/>
  <c r="B30" i="7"/>
  <c r="B31" i="7"/>
  <c r="B369" i="7"/>
  <c r="B148" i="7"/>
  <c r="B256" i="7"/>
  <c r="B343" i="7"/>
  <c r="B165" i="7"/>
  <c r="B36" i="7"/>
  <c r="B29" i="7"/>
  <c r="B167" i="7"/>
  <c r="B351" i="7"/>
  <c r="B328" i="7"/>
  <c r="B229" i="7"/>
  <c r="B307" i="7"/>
  <c r="B306" i="7"/>
  <c r="B12" i="7"/>
  <c r="B76" i="7"/>
  <c r="B72" i="7"/>
  <c r="B105" i="7"/>
  <c r="B15" i="7"/>
  <c r="B199" i="7"/>
  <c r="B350" i="7"/>
  <c r="B145" i="7"/>
  <c r="B138" i="7"/>
  <c r="B97" i="7"/>
  <c r="B276" i="7"/>
  <c r="B303" i="7"/>
  <c r="B342" i="7"/>
  <c r="B197" i="7"/>
  <c r="B345" i="7"/>
  <c r="B8" i="7"/>
  <c r="B205" i="7"/>
  <c r="B35" i="7"/>
  <c r="B264" i="7"/>
  <c r="B13" i="7"/>
  <c r="B379" i="7"/>
  <c r="B89" i="7"/>
  <c r="B258" i="7"/>
  <c r="B217" i="7"/>
  <c r="B159" i="7"/>
  <c r="B7" i="7"/>
  <c r="B273" i="7"/>
  <c r="B198" i="7"/>
  <c r="B9" i="7"/>
  <c r="B330" i="7"/>
  <c r="B353" i="7"/>
  <c r="B252" i="7"/>
  <c r="B374" i="7"/>
  <c r="B202" i="7"/>
  <c r="B206" i="7"/>
  <c r="B37" i="7"/>
  <c r="B362" i="7"/>
  <c r="B124" i="7"/>
  <c r="B293" i="7"/>
  <c r="B104" i="7"/>
  <c r="B115" i="7"/>
  <c r="B233" i="7"/>
  <c r="B271" i="7"/>
  <c r="B352" i="7"/>
  <c r="B151" i="7"/>
  <c r="B265" i="7"/>
  <c r="B288" i="7"/>
  <c r="B146" i="7"/>
  <c r="B166" i="7"/>
  <c r="B272" i="7"/>
  <c r="B216" i="7"/>
  <c r="B90" i="7"/>
  <c r="B326" i="7"/>
  <c r="B289" i="7"/>
  <c r="B267" i="7"/>
  <c r="B277" i="7"/>
  <c r="B10" i="7"/>
  <c r="B139" i="7"/>
  <c r="B63" i="7"/>
  <c r="B164" i="7"/>
  <c r="B172" i="7"/>
  <c r="B290" i="7"/>
  <c r="B332" i="7"/>
  <c r="B19" i="7"/>
  <c r="B96" i="7"/>
  <c r="B201" i="7"/>
  <c r="B269" i="7"/>
  <c r="B238" i="7"/>
  <c r="B161" i="7"/>
  <c r="B296" i="7"/>
  <c r="B292" i="7"/>
  <c r="B176" i="7"/>
  <c r="B44" i="7"/>
  <c r="B149" i="7"/>
  <c r="B51" i="7"/>
  <c r="B41" i="7"/>
  <c r="B158" i="7"/>
  <c r="B98" i="7"/>
  <c r="B360" i="7"/>
  <c r="B357" i="7"/>
  <c r="B361" i="7"/>
  <c r="B322" i="7"/>
  <c r="B234" i="7"/>
  <c r="B274" i="7"/>
  <c r="B232" i="7"/>
  <c r="B157" i="7"/>
  <c r="B140" i="7"/>
  <c r="B82" i="7"/>
  <c r="B200" i="7"/>
  <c r="B174" i="7"/>
  <c r="B79" i="7"/>
  <c r="B127" i="7"/>
  <c r="B137" i="7"/>
  <c r="B208" i="7"/>
  <c r="B270" i="7"/>
  <c r="B175" i="7"/>
  <c r="B316" i="7"/>
  <c r="B304" i="7"/>
  <c r="B297" i="7"/>
  <c r="B178" i="7"/>
  <c r="B241" i="7"/>
  <c r="B268" i="7"/>
  <c r="B371" i="7"/>
  <c r="B266" i="7"/>
  <c r="B156" i="7"/>
  <c r="B38" i="7"/>
  <c r="B375" i="7"/>
  <c r="B223" i="7"/>
  <c r="B224" i="7"/>
  <c r="B65" i="7"/>
  <c r="B301" i="7"/>
  <c r="B236" i="7"/>
  <c r="B64" i="7"/>
  <c r="B278" i="7"/>
  <c r="B291" i="7"/>
  <c r="B170" i="7"/>
  <c r="B87" i="7"/>
  <c r="B125" i="7"/>
  <c r="B48" i="7"/>
  <c r="B171" i="7"/>
  <c r="B239" i="7"/>
  <c r="B317" i="7"/>
  <c r="B367" i="7"/>
  <c r="B77" i="7"/>
  <c r="B91" i="7"/>
  <c r="B55" i="7"/>
  <c r="B193" i="7"/>
  <c r="B78" i="7"/>
  <c r="B43" i="7"/>
  <c r="B209" i="7"/>
  <c r="B275" i="7"/>
  <c r="B257" i="7"/>
  <c r="B355" i="7"/>
  <c r="B309" i="7"/>
  <c r="B214" i="7"/>
  <c r="B135" i="7"/>
  <c r="B53" i="7"/>
  <c r="B121" i="7"/>
  <c r="B169" i="7"/>
  <c r="B95" i="7"/>
  <c r="B324" i="7"/>
  <c r="B305" i="7"/>
  <c r="B213" i="7"/>
  <c r="B195" i="7"/>
  <c r="B62" i="7"/>
  <c r="B57" i="7"/>
  <c r="B116" i="7"/>
  <c r="B54" i="7"/>
  <c r="B39" i="7"/>
  <c r="B194" i="7"/>
  <c r="B81" i="7"/>
  <c r="B356" i="7"/>
  <c r="B210" i="7"/>
  <c r="B52" i="7"/>
  <c r="B49" i="7"/>
  <c r="B94" i="7"/>
  <c r="B71" i="7"/>
  <c r="B221" i="7"/>
  <c r="B220" i="7"/>
  <c r="B168" i="7"/>
  <c r="B215" i="7"/>
  <c r="B243" i="7"/>
  <c r="B173" i="7"/>
  <c r="B247" i="7"/>
  <c r="B56" i="7"/>
  <c r="B58" i="7"/>
  <c r="B186" i="7"/>
  <c r="B50" i="7"/>
  <c r="B128" i="7"/>
  <c r="B190" i="7"/>
  <c r="B248" i="7"/>
  <c r="B259" i="7"/>
  <c r="B260" i="7"/>
  <c r="B225" i="7"/>
  <c r="B86" i="7"/>
  <c r="B263" i="7"/>
  <c r="B320" i="7"/>
  <c r="B310" i="7"/>
  <c r="B222" i="7"/>
  <c r="B68" i="7"/>
  <c r="B70" i="7"/>
  <c r="B69" i="7"/>
  <c r="B191" i="7"/>
  <c r="B188" i="7"/>
  <c r="B117" i="7"/>
  <c r="B380" i="7"/>
  <c r="B147" i="7"/>
  <c r="B118" i="7"/>
  <c r="B381" i="7"/>
  <c r="B237" i="7"/>
  <c r="B119" i="7"/>
  <c r="B189" i="7"/>
  <c r="B85" i="7"/>
  <c r="B84" i="7"/>
  <c r="B100" i="7"/>
  <c r="B302" i="7"/>
  <c r="B46" i="7"/>
  <c r="B141" i="7"/>
  <c r="B155" i="7"/>
  <c r="B24" i="7"/>
  <c r="B25" i="7"/>
  <c r="B21" i="7"/>
  <c r="B45" i="7"/>
  <c r="B262" i="7"/>
  <c r="B67" i="7"/>
  <c r="B154" i="7"/>
  <c r="B294" i="7"/>
  <c r="B88" i="7"/>
  <c r="B47" i="7"/>
  <c r="B295" i="7"/>
  <c r="B126" i="7"/>
  <c r="B244" i="7"/>
  <c r="B108" i="7"/>
  <c r="B338" i="7"/>
  <c r="B378" i="7"/>
  <c r="B20" i="7"/>
  <c r="B142" i="7"/>
  <c r="B66" i="7"/>
  <c r="B226" i="7"/>
  <c r="B177" i="7"/>
  <c r="B184" i="7"/>
  <c r="B123" i="7"/>
  <c r="B246" i="7"/>
  <c r="B255" i="7"/>
  <c r="B92" i="7"/>
  <c r="B59" i="7"/>
  <c r="B254" i="7"/>
  <c r="B129" i="7"/>
  <c r="B250" i="7"/>
  <c r="B40" i="7"/>
  <c r="B182" i="7"/>
  <c r="B122" i="7"/>
  <c r="B231" i="7"/>
  <c r="B230" i="7"/>
  <c r="B207" i="7"/>
  <c r="B228" i="7"/>
  <c r="B227" i="7"/>
  <c r="B22" i="7"/>
  <c r="B60" i="7"/>
  <c r="B319" i="7"/>
  <c r="B370" i="7"/>
  <c r="B61" i="7"/>
  <c r="B253" i="7"/>
  <c r="B185" i="7"/>
  <c r="B113" i="7"/>
  <c r="B133" i="7"/>
  <c r="B83" i="7"/>
  <c r="B325" i="7"/>
  <c r="B298" i="7"/>
  <c r="B308" i="7"/>
  <c r="B299" i="7"/>
  <c r="B245" i="7"/>
  <c r="B42" i="7"/>
  <c r="B279" i="7"/>
  <c r="B388" i="7"/>
  <c r="B318" i="7"/>
  <c r="B287" i="7"/>
  <c r="B27" i="7"/>
  <c r="B130" i="7"/>
  <c r="B282" i="7"/>
  <c r="B101" i="7"/>
  <c r="B251" i="7"/>
  <c r="B132" i="7"/>
  <c r="B187" i="7"/>
  <c r="B365" i="7"/>
  <c r="B261" i="7"/>
  <c r="B377" i="7"/>
  <c r="B111" i="7"/>
  <c r="B384" i="7"/>
  <c r="B359" i="7"/>
  <c r="B102" i="7"/>
  <c r="B235" i="7"/>
  <c r="B285" i="7"/>
  <c r="B283" i="7"/>
  <c r="B280" i="7"/>
  <c r="B281" i="7"/>
  <c r="B390" i="7"/>
  <c r="B300" i="7"/>
  <c r="B242" i="7"/>
  <c r="B112" i="7"/>
  <c r="B144" i="7"/>
  <c r="B120" i="7"/>
  <c r="B131" i="7"/>
  <c r="B284" i="7"/>
  <c r="B162" i="7"/>
  <c r="B183" i="7"/>
  <c r="B286" i="7"/>
  <c r="B163" i="7"/>
  <c r="B18" i="7"/>
  <c r="B134" i="7"/>
  <c r="B153" i="7"/>
  <c r="B404" i="7"/>
  <c r="B16" i="7"/>
  <c r="B327" i="7"/>
  <c r="B136" i="7"/>
  <c r="B401" i="7"/>
  <c r="B180" i="7"/>
  <c r="B143" i="7"/>
  <c r="B406" i="7"/>
  <c r="B397" i="7"/>
  <c r="B395" i="7"/>
  <c r="B394" i="7"/>
  <c r="B389" i="7"/>
  <c r="B387" i="7"/>
  <c r="B382" i="7"/>
  <c r="B14" i="7"/>
  <c r="B363" i="7"/>
  <c r="B240" i="7"/>
  <c r="B152" i="7"/>
  <c r="B34" i="7"/>
  <c r="B391" i="7"/>
  <c r="B26" i="7"/>
  <c r="B23" i="7"/>
  <c r="B392" i="7"/>
  <c r="B150" i="7"/>
  <c r="B17" i="7"/>
  <c r="B403" i="7"/>
  <c r="B364" i="7"/>
  <c r="B366" i="7"/>
  <c r="B373" i="7"/>
  <c r="B368" i="7"/>
  <c r="B32" i="7"/>
  <c r="B329" i="7"/>
  <c r="B179" i="7"/>
  <c r="B33" i="7"/>
  <c r="B2" i="7"/>
  <c r="B405" i="7"/>
  <c r="B393" i="7"/>
  <c r="B336" i="7"/>
  <c r="B3" i="7"/>
  <c r="B4" i="7"/>
  <c r="B5" i="7"/>
  <c r="B80" i="7"/>
  <c r="B331" i="7"/>
  <c r="B211" i="7"/>
  <c r="B203" i="7"/>
  <c r="B28" i="7"/>
  <c r="B399" i="7"/>
  <c r="B99" i="7"/>
  <c r="B400" i="7"/>
  <c r="B383" i="7"/>
  <c r="B11" i="7"/>
  <c r="B181" i="7"/>
  <c r="B6" i="7"/>
  <c r="B192" i="7"/>
  <c r="B75" i="7"/>
  <c r="B160" i="7"/>
  <c r="B398" i="7"/>
  <c r="B396" i="7"/>
  <c r="B386" i="7"/>
  <c r="B321" i="7"/>
  <c r="B402" i="7"/>
  <c r="B73" i="7"/>
  <c r="B74" i="7"/>
  <c r="B204" i="7"/>
  <c r="B385" i="7"/>
  <c r="B212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E226" i="5"/>
  <c r="AD24" i="8"/>
  <c r="H287" i="5"/>
  <c r="H8" i="5"/>
  <c r="H226" i="5"/>
  <c r="AE24" i="8"/>
  <c r="K287" i="5"/>
  <c r="K226" i="5"/>
  <c r="AF24" i="8"/>
  <c r="N287" i="5"/>
  <c r="N8" i="5"/>
  <c r="N226" i="5"/>
  <c r="L226" i="5"/>
  <c r="AG24" i="8"/>
  <c r="Q226" i="5"/>
  <c r="O226" i="5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E398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L398" i="5"/>
  <c r="AG38" i="8"/>
  <c r="Q81" i="5"/>
  <c r="O398" i="5"/>
  <c r="AH38" i="8"/>
  <c r="T81" i="5"/>
  <c r="R398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227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D6" i="1"/>
  <c r="BC6" i="1"/>
  <c r="AZ6" i="1"/>
  <c r="B23" i="6"/>
  <c r="B19" i="6"/>
  <c r="B24" i="6"/>
  <c r="B25" i="6"/>
  <c r="B26" i="6"/>
  <c r="B27" i="6"/>
  <c r="B33" i="6"/>
  <c r="B34" i="6"/>
  <c r="B3" i="6"/>
  <c r="B4" i="6"/>
  <c r="B35" i="6"/>
  <c r="B5" i="6"/>
  <c r="B28" i="6"/>
  <c r="B6" i="6"/>
  <c r="B36" i="6"/>
  <c r="B37" i="6"/>
  <c r="B38" i="6"/>
  <c r="B30" i="6"/>
  <c r="B15" i="6"/>
  <c r="B31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2" i="6"/>
  <c r="B39" i="6"/>
  <c r="B14" i="6"/>
  <c r="AA32" i="2"/>
  <c r="A32" i="3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F226" i="5"/>
  <c r="S40" i="8"/>
  <c r="I278" i="5"/>
  <c r="I300" i="5"/>
  <c r="I8" i="5"/>
  <c r="I298" i="5"/>
  <c r="I226" i="5"/>
  <c r="I3" i="5"/>
  <c r="T40" i="8"/>
  <c r="L278" i="5"/>
  <c r="L8" i="5"/>
  <c r="U40" i="8"/>
  <c r="O278" i="5"/>
  <c r="O8" i="5"/>
  <c r="V40" i="8"/>
  <c r="R300" i="5"/>
  <c r="R226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227" i="5"/>
  <c r="F4" i="5"/>
  <c r="S41" i="8"/>
  <c r="I299" i="5"/>
  <c r="I247" i="5"/>
  <c r="I15" i="5"/>
  <c r="I325" i="5"/>
  <c r="I227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Y231" i="4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26" i="2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N14" i="2"/>
  <c r="N32" i="2"/>
  <c r="N10" i="2"/>
  <c r="N8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D20" i="1"/>
  <c r="BC20" i="1"/>
  <c r="AZ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D19" i="1"/>
  <c r="BC19" i="1"/>
  <c r="AZ19" i="1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CO3" i="1"/>
  <c r="CO4" i="1"/>
  <c r="CO5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2" i="1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D125" i="1"/>
  <c r="BC125" i="1"/>
  <c r="AZ125" i="1"/>
  <c r="BR65" i="1"/>
  <c r="BR66" i="1"/>
  <c r="BR67" i="1"/>
  <c r="BR68" i="1"/>
  <c r="BR69" i="1"/>
  <c r="BR70" i="1"/>
  <c r="BR71" i="1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BB2" i="1"/>
  <c r="BB5" i="1"/>
  <c r="BB21" i="1"/>
  <c r="BB23" i="1"/>
  <c r="BB27" i="1"/>
  <c r="BB30" i="1"/>
  <c r="BB32" i="1"/>
  <c r="BB46" i="1"/>
  <c r="BB56" i="1"/>
  <c r="BB59" i="1"/>
  <c r="BB61" i="1"/>
  <c r="BB65" i="1"/>
  <c r="BB67" i="1"/>
  <c r="BB69" i="1"/>
  <c r="BB75" i="1"/>
  <c r="BB78" i="1"/>
  <c r="BB80" i="1"/>
  <c r="BB82" i="1"/>
  <c r="BB84" i="1"/>
  <c r="BB87" i="1"/>
  <c r="BB89" i="1"/>
  <c r="BB94" i="1"/>
  <c r="BB96" i="1"/>
  <c r="BB98" i="1"/>
  <c r="BB101" i="1"/>
  <c r="BB106" i="1"/>
  <c r="BB113" i="1"/>
  <c r="BB71" i="1"/>
  <c r="BB115" i="1"/>
  <c r="BB119" i="1"/>
  <c r="BB124" i="1"/>
  <c r="BB128" i="1"/>
  <c r="BB130" i="1"/>
  <c r="BB109" i="1"/>
  <c r="BB134" i="1"/>
  <c r="BB117" i="1"/>
  <c r="BB90" i="1"/>
  <c r="BB9" i="1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BQ2" i="1"/>
  <c r="BR2" i="1"/>
  <c r="BS2" i="1"/>
  <c r="BT2" i="1"/>
  <c r="BU2" i="1"/>
  <c r="BV2" i="1"/>
  <c r="BW2" i="1"/>
  <c r="BX2" i="1"/>
  <c r="BY2" i="1"/>
  <c r="BZ2" i="1"/>
  <c r="CA2" i="1"/>
  <c r="CB2" i="1"/>
  <c r="BQ3" i="1"/>
  <c r="BR3" i="1"/>
  <c r="BS3" i="1"/>
  <c r="BT3" i="1"/>
  <c r="BU3" i="1"/>
  <c r="BV3" i="1"/>
  <c r="BW3" i="1"/>
  <c r="BX3" i="1"/>
  <c r="BY3" i="1"/>
  <c r="BZ3" i="1"/>
  <c r="CA3" i="1"/>
  <c r="CB3" i="1"/>
  <c r="BQ4" i="1"/>
  <c r="BR4" i="1"/>
  <c r="BS4" i="1"/>
  <c r="BT4" i="1"/>
  <c r="BU4" i="1"/>
  <c r="BV4" i="1"/>
  <c r="BW4" i="1"/>
  <c r="BX4" i="1"/>
  <c r="BY4" i="1"/>
  <c r="BZ4" i="1"/>
  <c r="CA4" i="1"/>
  <c r="CB4" i="1"/>
  <c r="BQ5" i="1"/>
  <c r="BR5" i="1"/>
  <c r="BS5" i="1"/>
  <c r="BT5" i="1"/>
  <c r="BU5" i="1"/>
  <c r="BV5" i="1"/>
  <c r="BW5" i="1"/>
  <c r="BX5" i="1"/>
  <c r="BY5" i="1"/>
  <c r="BZ5" i="1"/>
  <c r="CA5" i="1"/>
  <c r="CB5" i="1"/>
  <c r="BQ7" i="1"/>
  <c r="BR7" i="1"/>
  <c r="BS7" i="1"/>
  <c r="BT7" i="1"/>
  <c r="BU7" i="1"/>
  <c r="BV7" i="1"/>
  <c r="BW7" i="1"/>
  <c r="BX7" i="1"/>
  <c r="BY7" i="1"/>
  <c r="BZ7" i="1"/>
  <c r="CA7" i="1"/>
  <c r="CB7" i="1"/>
  <c r="BQ8" i="1"/>
  <c r="BR8" i="1"/>
  <c r="BS8" i="1"/>
  <c r="BT8" i="1"/>
  <c r="BU8" i="1"/>
  <c r="BV8" i="1"/>
  <c r="BW8" i="1"/>
  <c r="BX8" i="1"/>
  <c r="BY8" i="1"/>
  <c r="BZ8" i="1"/>
  <c r="CA8" i="1"/>
  <c r="CB8" i="1"/>
  <c r="BQ9" i="1"/>
  <c r="BR9" i="1"/>
  <c r="BS9" i="1"/>
  <c r="BT9" i="1"/>
  <c r="BU9" i="1"/>
  <c r="BV9" i="1"/>
  <c r="BW9" i="1"/>
  <c r="BX9" i="1"/>
  <c r="BY9" i="1"/>
  <c r="BZ9" i="1"/>
  <c r="CA9" i="1"/>
  <c r="CB9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BQ65" i="1"/>
  <c r="BS65" i="1"/>
  <c r="BT65" i="1"/>
  <c r="BU65" i="1"/>
  <c r="BV65" i="1"/>
  <c r="BW65" i="1"/>
  <c r="BX65" i="1"/>
  <c r="BY65" i="1"/>
  <c r="BZ65" i="1"/>
  <c r="CA65" i="1"/>
  <c r="CB65" i="1"/>
  <c r="BQ66" i="1"/>
  <c r="BS66" i="1"/>
  <c r="BT66" i="1"/>
  <c r="BU66" i="1"/>
  <c r="BV66" i="1"/>
  <c r="BW66" i="1"/>
  <c r="BX66" i="1"/>
  <c r="BY66" i="1"/>
  <c r="BZ66" i="1"/>
  <c r="CA66" i="1"/>
  <c r="CB66" i="1"/>
  <c r="BQ67" i="1"/>
  <c r="BS67" i="1"/>
  <c r="BT67" i="1"/>
  <c r="BU67" i="1"/>
  <c r="BV67" i="1"/>
  <c r="BW67" i="1"/>
  <c r="BX67" i="1"/>
  <c r="BY67" i="1"/>
  <c r="BZ67" i="1"/>
  <c r="CA67" i="1"/>
  <c r="CB67" i="1"/>
  <c r="BQ68" i="1"/>
  <c r="BS68" i="1"/>
  <c r="BT68" i="1"/>
  <c r="BU68" i="1"/>
  <c r="BV68" i="1"/>
  <c r="BW68" i="1"/>
  <c r="BX68" i="1"/>
  <c r="BY68" i="1"/>
  <c r="BZ68" i="1"/>
  <c r="CA68" i="1"/>
  <c r="CB68" i="1"/>
  <c r="BQ69" i="1"/>
  <c r="BS69" i="1"/>
  <c r="BT69" i="1"/>
  <c r="BU69" i="1"/>
  <c r="BV69" i="1"/>
  <c r="BW69" i="1"/>
  <c r="BX69" i="1"/>
  <c r="BY69" i="1"/>
  <c r="BZ69" i="1"/>
  <c r="CA69" i="1"/>
  <c r="CB69" i="1"/>
  <c r="BQ70" i="1"/>
  <c r="BS70" i="1"/>
  <c r="BT70" i="1"/>
  <c r="BU70" i="1"/>
  <c r="BV70" i="1"/>
  <c r="BW70" i="1"/>
  <c r="BX70" i="1"/>
  <c r="BY70" i="1"/>
  <c r="BZ70" i="1"/>
  <c r="CA70" i="1"/>
  <c r="CB70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B71" i="1"/>
  <c r="CA71" i="1"/>
  <c r="BZ71" i="1"/>
  <c r="BY71" i="1"/>
  <c r="BX71" i="1"/>
  <c r="BW71" i="1"/>
  <c r="BV71" i="1"/>
  <c r="BU71" i="1"/>
  <c r="BT71" i="1"/>
  <c r="BS71" i="1"/>
  <c r="BQ71" i="1"/>
  <c r="BD2" i="1"/>
  <c r="BD5" i="1"/>
  <c r="AA17" i="2"/>
  <c r="BD74" i="1"/>
  <c r="BD75" i="1"/>
  <c r="BD76" i="1"/>
  <c r="BD77" i="1"/>
  <c r="CC3" i="1"/>
  <c r="CD3" i="1"/>
  <c r="CE3" i="1"/>
  <c r="CF3" i="1"/>
  <c r="CG3" i="1"/>
  <c r="CH3" i="1"/>
  <c r="CI3" i="1"/>
  <c r="CJ3" i="1"/>
  <c r="CK3" i="1"/>
  <c r="CL3" i="1"/>
  <c r="CM3" i="1"/>
  <c r="CN3" i="1"/>
  <c r="BC3" i="1"/>
  <c r="CC4" i="1"/>
  <c r="CD4" i="1"/>
  <c r="CE4" i="1"/>
  <c r="CF4" i="1"/>
  <c r="CG4" i="1"/>
  <c r="CH4" i="1"/>
  <c r="CI4" i="1"/>
  <c r="CJ4" i="1"/>
  <c r="CK4" i="1"/>
  <c r="CL4" i="1"/>
  <c r="CM4" i="1"/>
  <c r="CN4" i="1"/>
  <c r="BC4" i="1"/>
  <c r="CC5" i="1"/>
  <c r="CD5" i="1"/>
  <c r="CE5" i="1"/>
  <c r="CF5" i="1"/>
  <c r="CG5" i="1"/>
  <c r="CH5" i="1"/>
  <c r="CI5" i="1"/>
  <c r="CJ5" i="1"/>
  <c r="CK5" i="1"/>
  <c r="CL5" i="1"/>
  <c r="CM5" i="1"/>
  <c r="CN5" i="1"/>
  <c r="BC5" i="1"/>
  <c r="CC7" i="1"/>
  <c r="CD7" i="1"/>
  <c r="CE7" i="1"/>
  <c r="CF7" i="1"/>
  <c r="CG7" i="1"/>
  <c r="CH7" i="1"/>
  <c r="CI7" i="1"/>
  <c r="CJ7" i="1"/>
  <c r="CK7" i="1"/>
  <c r="CL7" i="1"/>
  <c r="CM7" i="1"/>
  <c r="CN7" i="1"/>
  <c r="BC7" i="1"/>
  <c r="CC8" i="1"/>
  <c r="CD8" i="1"/>
  <c r="CE8" i="1"/>
  <c r="CF8" i="1"/>
  <c r="CG8" i="1"/>
  <c r="CH8" i="1"/>
  <c r="CI8" i="1"/>
  <c r="CJ8" i="1"/>
  <c r="CK8" i="1"/>
  <c r="CL8" i="1"/>
  <c r="CM8" i="1"/>
  <c r="CN8" i="1"/>
  <c r="BC8" i="1"/>
  <c r="CC9" i="1"/>
  <c r="CD9" i="1"/>
  <c r="CE9" i="1"/>
  <c r="CF9" i="1"/>
  <c r="CG9" i="1"/>
  <c r="CH9" i="1"/>
  <c r="CI9" i="1"/>
  <c r="CJ9" i="1"/>
  <c r="CK9" i="1"/>
  <c r="CL9" i="1"/>
  <c r="CM9" i="1"/>
  <c r="CN9" i="1"/>
  <c r="BC9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BC10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BC11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BC12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BC13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BC14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BC15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BC16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BC17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BC18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BC21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BC22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BC23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BC24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BC25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BC26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BC27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BC28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BC29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BC30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BC31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BC32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BC33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BC34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BC35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BC36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BC37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BC38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BC39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BC40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BC41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BC42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BC43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BC44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BC45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BC46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BC47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BC48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BC49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BC50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BC51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BC52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BC53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BC54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BC55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BC56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BC57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BC58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BC59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BC60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BC61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BC62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BC63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BC64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BC65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BC66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BC67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BC68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BC69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BC70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BC71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BC72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BC73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BC74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BC75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BC76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BC77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BC78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BC79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BC80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BC81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BC82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BC83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BC84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BC85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BC86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BC87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BC88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BC89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BC90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BC91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BC92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BC93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BC94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BC95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BC96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BC97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BC98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BC99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BC100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BC101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BC102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C106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BC107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BC108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BC109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BC110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BC111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BC112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BC113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BC114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BC115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BC116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BC117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BC118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BC119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BC120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BC122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BC121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BC123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BC124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BC126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BC127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BC128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BC129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BC130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C131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BC132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BC133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BC134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BC135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BC136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BC137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BC138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BC139" i="1"/>
  <c r="CC2" i="1"/>
  <c r="CD2" i="1"/>
  <c r="CE2" i="1"/>
  <c r="CF2" i="1"/>
  <c r="CG2" i="1"/>
  <c r="CH2" i="1"/>
  <c r="CI2" i="1"/>
  <c r="CJ2" i="1"/>
  <c r="CK2" i="1"/>
  <c r="CL2" i="1"/>
  <c r="CM2" i="1"/>
  <c r="CN2" i="1"/>
  <c r="BC2" i="1"/>
  <c r="AZ139" i="1"/>
  <c r="BD139" i="1"/>
  <c r="AZ138" i="1"/>
  <c r="BD138" i="1"/>
  <c r="AZ137" i="1"/>
  <c r="BD137" i="1"/>
  <c r="AZ136" i="1"/>
  <c r="BD136" i="1"/>
  <c r="AZ135" i="1"/>
  <c r="BD135" i="1"/>
  <c r="AZ134" i="1"/>
  <c r="BD134" i="1"/>
  <c r="AZ133" i="1"/>
  <c r="BD133" i="1"/>
  <c r="AZ132" i="1"/>
  <c r="BD132" i="1"/>
  <c r="AZ131" i="1"/>
  <c r="BD131" i="1"/>
  <c r="AZ130" i="1"/>
  <c r="BD130" i="1"/>
  <c r="AZ129" i="1"/>
  <c r="BD129" i="1"/>
  <c r="AZ128" i="1"/>
  <c r="BD128" i="1"/>
  <c r="AZ127" i="1"/>
  <c r="BD127" i="1"/>
  <c r="AZ126" i="1"/>
  <c r="BD126" i="1"/>
  <c r="AZ124" i="1"/>
  <c r="BD124" i="1"/>
  <c r="AZ123" i="1"/>
  <c r="BD123" i="1"/>
  <c r="AZ121" i="1"/>
  <c r="BD121" i="1"/>
  <c r="AZ122" i="1"/>
  <c r="BD122" i="1"/>
  <c r="AZ120" i="1"/>
  <c r="BD120" i="1"/>
  <c r="AZ119" i="1"/>
  <c r="BD119" i="1"/>
  <c r="AZ118" i="1"/>
  <c r="BD118" i="1"/>
  <c r="AZ117" i="1"/>
  <c r="BD117" i="1"/>
  <c r="AZ116" i="1"/>
  <c r="BD116" i="1"/>
  <c r="AZ115" i="1"/>
  <c r="BD115" i="1"/>
  <c r="AZ114" i="1"/>
  <c r="BD114" i="1"/>
  <c r="AZ113" i="1"/>
  <c r="BD113" i="1"/>
  <c r="AZ112" i="1"/>
  <c r="BD112" i="1"/>
  <c r="AZ111" i="1"/>
  <c r="BD111" i="1"/>
  <c r="AZ110" i="1"/>
  <c r="BD110" i="1"/>
  <c r="AZ109" i="1"/>
  <c r="BD109" i="1"/>
  <c r="AZ108" i="1"/>
  <c r="BD108" i="1"/>
  <c r="AZ107" i="1"/>
  <c r="BD107" i="1"/>
  <c r="AZ106" i="1"/>
  <c r="BD106" i="1"/>
  <c r="BD102" i="1"/>
  <c r="BD101" i="1"/>
  <c r="AZ100" i="1"/>
  <c r="BD100" i="1"/>
  <c r="AZ99" i="1"/>
  <c r="BD99" i="1"/>
  <c r="AZ98" i="1"/>
  <c r="BD98" i="1"/>
  <c r="AZ97" i="1"/>
  <c r="BD97" i="1"/>
  <c r="AZ96" i="1"/>
  <c r="BD96" i="1"/>
  <c r="AZ95" i="1"/>
  <c r="BD95" i="1"/>
  <c r="AZ94" i="1"/>
  <c r="BD94" i="1"/>
  <c r="AZ93" i="1"/>
  <c r="BD93" i="1"/>
  <c r="AZ92" i="1"/>
  <c r="BD92" i="1"/>
  <c r="AZ91" i="1"/>
  <c r="BD91" i="1"/>
  <c r="AZ90" i="1"/>
  <c r="BD90" i="1"/>
  <c r="AZ89" i="1"/>
  <c r="BD89" i="1"/>
  <c r="AZ88" i="1"/>
  <c r="BD88" i="1"/>
  <c r="AZ87" i="1"/>
  <c r="BD87" i="1"/>
  <c r="AZ86" i="1"/>
  <c r="BD86" i="1"/>
  <c r="AZ85" i="1"/>
  <c r="BD85" i="1"/>
  <c r="AZ84" i="1"/>
  <c r="BD84" i="1"/>
  <c r="AZ83" i="1"/>
  <c r="BD83" i="1"/>
  <c r="AZ82" i="1"/>
  <c r="BD82" i="1"/>
  <c r="AZ81" i="1"/>
  <c r="BD81" i="1"/>
  <c r="AZ80" i="1"/>
  <c r="BD80" i="1"/>
  <c r="AZ79" i="1"/>
  <c r="BD79" i="1"/>
  <c r="AZ78" i="1"/>
  <c r="BD78" i="1"/>
  <c r="AZ77" i="1"/>
  <c r="AZ76" i="1"/>
  <c r="AZ75" i="1"/>
  <c r="AZ74" i="1"/>
  <c r="AZ73" i="1"/>
  <c r="BD73" i="1"/>
  <c r="AZ72" i="1"/>
  <c r="BD72" i="1"/>
  <c r="AZ71" i="1"/>
  <c r="BD71" i="1"/>
  <c r="AZ70" i="1"/>
  <c r="BD70" i="1"/>
  <c r="AZ69" i="1"/>
  <c r="BD69" i="1"/>
  <c r="AZ68" i="1"/>
  <c r="BD68" i="1"/>
  <c r="AZ67" i="1"/>
  <c r="BD67" i="1"/>
  <c r="AZ66" i="1"/>
  <c r="BD66" i="1"/>
  <c r="AZ65" i="1"/>
  <c r="BD65" i="1"/>
  <c r="AZ64" i="1"/>
  <c r="BD64" i="1"/>
  <c r="AZ63" i="1"/>
  <c r="BD63" i="1"/>
  <c r="AZ62" i="1"/>
  <c r="BD62" i="1"/>
  <c r="AZ61" i="1"/>
  <c r="BD61" i="1"/>
  <c r="AZ60" i="1"/>
  <c r="BD60" i="1"/>
  <c r="AZ59" i="1"/>
  <c r="BD59" i="1"/>
  <c r="AZ58" i="1"/>
  <c r="BD58" i="1"/>
  <c r="AZ57" i="1"/>
  <c r="BD57" i="1"/>
  <c r="AZ56" i="1"/>
  <c r="BD56" i="1"/>
  <c r="AZ55" i="1"/>
  <c r="BD55" i="1"/>
  <c r="AZ54" i="1"/>
  <c r="BD54" i="1"/>
  <c r="AZ53" i="1"/>
  <c r="BD53" i="1"/>
  <c r="AZ52" i="1"/>
  <c r="BD52" i="1"/>
  <c r="AZ51" i="1"/>
  <c r="BD51" i="1"/>
  <c r="AZ50" i="1"/>
  <c r="BD50" i="1"/>
  <c r="AZ49" i="1"/>
  <c r="BD49" i="1"/>
  <c r="AZ48" i="1"/>
  <c r="BD48" i="1"/>
  <c r="AZ47" i="1"/>
  <c r="BD47" i="1"/>
  <c r="AZ46" i="1"/>
  <c r="BD46" i="1"/>
  <c r="AZ45" i="1"/>
  <c r="BD45" i="1"/>
  <c r="AZ44" i="1"/>
  <c r="BD44" i="1"/>
  <c r="AZ43" i="1"/>
  <c r="BD43" i="1"/>
  <c r="AZ42" i="1"/>
  <c r="BD42" i="1"/>
  <c r="AZ41" i="1"/>
  <c r="BD41" i="1"/>
  <c r="AZ40" i="1"/>
  <c r="BD40" i="1"/>
  <c r="AZ39" i="1"/>
  <c r="BD39" i="1"/>
  <c r="AZ38" i="1"/>
  <c r="BD38" i="1"/>
  <c r="AZ37" i="1"/>
  <c r="BD37" i="1"/>
  <c r="AZ36" i="1"/>
  <c r="BD36" i="1"/>
  <c r="AZ35" i="1"/>
  <c r="BD35" i="1"/>
  <c r="AZ34" i="1"/>
  <c r="BD34" i="1"/>
  <c r="AZ33" i="1"/>
  <c r="BD33" i="1"/>
  <c r="AZ32" i="1"/>
  <c r="BD32" i="1"/>
  <c r="AZ31" i="1"/>
  <c r="BD31" i="1"/>
  <c r="AZ30" i="1"/>
  <c r="BD30" i="1"/>
  <c r="AZ29" i="1"/>
  <c r="BD29" i="1"/>
  <c r="AZ28" i="1"/>
  <c r="BD28" i="1"/>
  <c r="AZ27" i="1"/>
  <c r="BD27" i="1"/>
  <c r="AZ26" i="1"/>
  <c r="BD26" i="1"/>
  <c r="AZ25" i="1"/>
  <c r="BD25" i="1"/>
  <c r="AZ24" i="1"/>
  <c r="BD24" i="1"/>
  <c r="AZ23" i="1"/>
  <c r="BD23" i="1"/>
  <c r="AZ22" i="1"/>
  <c r="BD22" i="1"/>
  <c r="AZ21" i="1"/>
  <c r="BD21" i="1"/>
  <c r="AZ18" i="1"/>
  <c r="BD18" i="1"/>
  <c r="AZ17" i="1"/>
  <c r="BD17" i="1"/>
  <c r="AZ16" i="1"/>
  <c r="BD16" i="1"/>
  <c r="AZ15" i="1"/>
  <c r="BD15" i="1"/>
  <c r="AZ14" i="1"/>
  <c r="BD14" i="1"/>
  <c r="AZ13" i="1"/>
  <c r="BD13" i="1"/>
  <c r="AZ12" i="1"/>
  <c r="BD12" i="1"/>
  <c r="AZ11" i="1"/>
  <c r="BD11" i="1"/>
  <c r="AZ10" i="1"/>
  <c r="BD10" i="1"/>
  <c r="AZ9" i="1"/>
  <c r="BD9" i="1"/>
  <c r="AZ8" i="1"/>
  <c r="BD8" i="1"/>
  <c r="AZ7" i="1"/>
  <c r="BD7" i="1"/>
  <c r="AZ5" i="1"/>
  <c r="AZ4" i="1"/>
  <c r="BD4" i="1"/>
  <c r="AZ3" i="1"/>
  <c r="BD3" i="1"/>
  <c r="AZ2" i="1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26" i="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26" i="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X231" i="4"/>
  <c r="AI226" i="5"/>
  <c r="AN24" i="8"/>
  <c r="AZ24" i="8"/>
  <c r="P24" i="8"/>
  <c r="Z231" i="4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BJ42" i="2"/>
  <c r="BJ43" i="2"/>
  <c r="BJ44" i="2"/>
  <c r="BJ54" i="2"/>
  <c r="BI42" i="2"/>
  <c r="BI43" i="2"/>
  <c r="BI44" i="2"/>
  <c r="BI54" i="2"/>
  <c r="X10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<sst xmlns="http://schemas.openxmlformats.org/spreadsheetml/2006/main" count="16599" uniqueCount="1567">
  <si>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</si>
  <si>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</si>
  <si>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</si>
  <si>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</si>
  <si>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</si>
  <si>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</si>
  <si>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</si>
  <si>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</si>
  <si>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</si>
  <si>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</si>
  <si>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</si>
  <si>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</si>
  <si>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</si>
  <si>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</si>
  <si>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</si>
  <si>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</si>
  <si>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</si>
  <si>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</si>
  <si>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</si>
  <si>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</si>
  <si>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</si>
  <si>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</si>
  <si>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</si>
  <si>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</si>
  <si>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</si>
  <si>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</si>
  <si>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</si>
  <si>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</si>
  <si>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</si>
  <si>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</si>
  <si>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</si>
  <si>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</si>
  <si>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</si>
  <si>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</si>
  <si>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</si>
  <si>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</si>
  <si>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</si>
  <si>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</si>
  <si>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</si>
  <si>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</si>
  <si>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</si>
  <si>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</si>
  <si>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</si>
  <si>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</si>
  <si>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</si>
  <si>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</si>
  <si>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</si>
  <si>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</si>
  <si>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</si>
  <si>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</si>
  <si>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</si>
  <si>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</si>
  <si>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</si>
  <si>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</si>
  <si>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</si>
  <si>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</si>
  <si>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</si>
  <si>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</si>
  <si>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</si>
  <si>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</si>
  <si>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</si>
  <si>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</si>
  <si>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</si>
  <si>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</si>
  <si>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</si>
  <si>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</si>
  <si>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</si>
  <si>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</si>
  <si>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</si>
  <si>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</si>
  <si>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</si>
  <si>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</si>
  <si>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</si>
  <si>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</si>
  <si>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</si>
  <si>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</si>
  <si>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</si>
  <si>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</si>
  <si>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</si>
  <si>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</si>
  <si>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</si>
  <si>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</si>
  <si>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</si>
  <si>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</si>
  <si>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</si>
  <si>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</si>
  <si>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</si>
  <si>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</si>
  <si>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</si>
  <si>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</si>
  <si>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</si>
  <si>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</si>
  <si>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</si>
  <si>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</si>
  <si>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</si>
  <si>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</si>
  <si>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</si>
  <si>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</si>
  <si>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</si>
  <si>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</si>
  <si>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</si>
  <si>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</si>
  <si>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</si>
  <si>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</si>
  <si>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</si>
  <si>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</si>
  <si>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</si>
  <si>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</si>
  <si>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</si>
  <si>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</si>
  <si>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</si>
  <si>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</si>
  <si>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</si>
  <si>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</si>
  <si>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</si>
  <si>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</si>
  <si>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</si>
  <si>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</si>
  <si>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</si>
  <si>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</si>
  <si>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</si>
  <si>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</si>
  <si>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</si>
  <si>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</si>
  <si>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</si>
  <si>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</si>
  <si>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</si>
  <si>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</si>
  <si>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</si>
  <si>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</si>
  <si>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</si>
  <si>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</si>
  <si>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</si>
  <si>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</si>
  <si>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</si>
  <si>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</si>
  <si>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</si>
  <si>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</si>
  <si>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</si>
  <si>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</si>
  <si>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</si>
  <si>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</si>
  <si>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</si>
  <si>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</si>
  <si>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</si>
  <si>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</si>
  <si>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</si>
  <si>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</si>
  <si>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</si>
  <si>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</si>
  <si>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</si>
  <si>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</si>
  <si>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</si>
  <si>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</si>
  <si>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</si>
  <si>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</si>
  <si>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</si>
  <si>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</si>
  <si>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</si>
  <si>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</si>
  <si>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</si>
  <si>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</si>
  <si>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</si>
  <si>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</si>
  <si>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</si>
  <si>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</si>
  <si>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</si>
  <si>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</si>
  <si>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</si>
  <si>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</si>
  <si>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</si>
  <si>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</si>
  <si>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</si>
  <si>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</si>
  <si>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</si>
  <si>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</si>
  <si>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</si>
  <si>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</si>
  <si>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</si>
  <si>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</si>
  <si>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</si>
  <si>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</si>
  <si>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</si>
  <si>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</si>
  <si>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</si>
  <si>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</si>
  <si>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</si>
  <si>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</si>
  <si>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</si>
  <si>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</si>
  <si>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</si>
  <si>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</si>
  <si>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</si>
  <si>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</si>
  <si>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</si>
  <si>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</si>
  <si>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</si>
  <si>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</si>
  <si>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</si>
  <si>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</si>
  <si>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</si>
  <si>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</si>
  <si>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</si>
  <si>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</si>
  <si>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</si>
  <si>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</si>
  <si>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</si>
  <si>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</si>
  <si>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</si>
  <si>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</si>
  <si>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</si>
  <si>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</si>
  <si>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</si>
  <si>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</si>
  <si>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</si>
  <si>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</si>
  <si>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</si>
  <si>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</si>
  <si>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</si>
  <si>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</si>
  <si>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</si>
  <si>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</si>
  <si>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</si>
  <si>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</si>
  <si>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</si>
  <si>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</si>
  <si>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</si>
  <si>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</si>
  <si>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</si>
  <si>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</si>
  <si>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</si>
  <si>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</si>
  <si>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</si>
  <si>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</si>
  <si>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</si>
  <si>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</si>
  <si>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</si>
  <si>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</si>
  <si>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</si>
  <si>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4BOU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</si>
  <si>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</si>
  <si>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</si>
  <si>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</si>
  <si>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</si>
  <si>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</si>
  <si>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</si>
  <si>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</si>
  <si>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</si>
  <si>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</si>
  <si>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</si>
  <si>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</si>
  <si>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</si>
  <si>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</si>
  <si>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</si>
  <si>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</si>
  <si>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</si>
  <si>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</si>
  <si>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</si>
  <si>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</si>
  <si>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</si>
  <si>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</si>
  <si>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</si>
  <si>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</si>
  <si>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</si>
  <si>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</si>
  <si>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</si>
  <si>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</si>
  <si>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</si>
  <si>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</si>
  <si>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</si>
  <si>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</si>
  <si>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</si>
  <si>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</si>
  <si>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</si>
  <si>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</si>
  <si>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</si>
  <si>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</si>
  <si>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</si>
  <si>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</si>
  <si>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</si>
  <si>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</si>
  <si>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</si>
  <si>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</si>
  <si>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</si>
  <si>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</si>
  <si>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</si>
  <si>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</si>
  <si>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</si>
  <si>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</si>
  <si>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</si>
  <si>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</si>
  <si>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</si>
  <si>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</si>
  <si>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</si>
  <si>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</si>
  <si>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</si>
  <si>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</si>
  <si>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</si>
  <si>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</si>
  <si>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</si>
  <si>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</si>
  <si>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</si>
  <si>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</si>
  <si>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</si>
  <si>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</si>
  <si>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</si>
  <si>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</si>
  <si>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</si>
  <si>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</si>
  <si>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</si>
  <si>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</si>
  <si>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</si>
  <si>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</si>
  <si>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</si>
  <si>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</si>
  <si>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</si>
  <si>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</si>
  <si>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</si>
  <si>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</si>
  <si>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</si>
  <si>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</si>
  <si>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</si>
  <si>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</si>
  <si>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</si>
  <si>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</si>
  <si>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</si>
  <si>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</si>
  <si>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</si>
  <si>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</si>
  <si>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</si>
  <si>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</si>
  <si>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</si>
  <si>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</si>
  <si>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</si>
  <si>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</si>
  <si>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</si>
  <si>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</si>
  <si>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</si>
  <si>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</si>
  <si>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</si>
  <si>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</si>
  <si>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</si>
  <si>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</si>
  <si>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</si>
  <si>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</si>
  <si>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</si>
  <si>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</si>
  <si>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</si>
  <si>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</si>
  <si>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</si>
  <si>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</si>
  <si>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</si>
  <si>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</si>
  <si>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</si>
  <si>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</si>
  <si>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</si>
  <si>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</si>
  <si>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</si>
  <si>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</si>
  <si>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</si>
  <si>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</si>
  <si>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</si>
  <si>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</si>
  <si>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</si>
  <si>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</si>
  <si>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</si>
  <si>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</si>
  <si>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</si>
  <si>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</si>
  <si>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</si>
  <si>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</si>
  <si>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</si>
  <si>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</si>
  <si>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</si>
  <si>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</si>
  <si>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</si>
  <si>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</si>
  <si>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</si>
  <si>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</si>
  <si>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</si>
  <si>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</si>
  <si>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</si>
  <si>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</si>
  <si>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</si>
  <si>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</si>
  <si>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</si>
  <si>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</si>
  <si>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</si>
  <si>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</si>
  <si>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</si>
  <si>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</si>
  <si>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</si>
  <si>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</si>
  <si>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</si>
  <si>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</si>
  <si>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</si>
  <si>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</si>
  <si>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</si>
  <si>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</si>
  <si>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</si>
  <si>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</si>
  <si>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</si>
  <si>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</si>
  <si>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</si>
  <si>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</si>
  <si>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</si>
  <si>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</si>
  <si>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</si>
  <si>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</si>
  <si>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</si>
  <si>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</si>
  <si>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</si>
  <si>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</si>
  <si>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</si>
  <si>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</si>
  <si>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</si>
  <si>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</si>
  <si>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</si>
  <si>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</si>
  <si>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</si>
  <si>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</si>
  <si>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</si>
  <si>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</si>
  <si>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</si>
  <si>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</si>
  <si>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</si>
  <si>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</si>
  <si>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</si>
  <si>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</si>
  <si>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</si>
  <si>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</si>
  <si>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</si>
  <si>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</si>
  <si>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</si>
  <si>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</si>
  <si>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</si>
  <si>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</si>
  <si>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</si>
  <si>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</si>
  <si>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</si>
  <si>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</si>
  <si>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</si>
  <si>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</si>
  <si>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</si>
  <si>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</si>
  <si>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</si>
  <si>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</si>
  <si>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</si>
  <si>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</si>
  <si>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</si>
  <si>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</si>
  <si>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</si>
  <si>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</si>
  <si>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</si>
  <si>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</si>
  <si>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</si>
  <si>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</si>
  <si>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</si>
  <si>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</si>
  <si>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</si>
  <si>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</si>
  <si>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</si>
  <si>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</si>
  <si>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</si>
  <si>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</si>
  <si>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</si>
  <si>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</si>
  <si>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</si>
  <si>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</si>
  <si>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</si>
  <si>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</si>
  <si>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</si>
  <si>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</si>
  <si>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</si>
  <si>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</si>
  <si>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</si>
  <si>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</si>
  <si>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</si>
  <si>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</si>
  <si>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</si>
  <si>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</si>
  <si>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</si>
  <si>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</si>
  <si>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</si>
  <si>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</si>
  <si>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</si>
  <si>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</si>
  <si>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</si>
  <si>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</si>
  <si>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</si>
  <si>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</si>
  <si>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</si>
  <si>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</si>
  <si>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</si>
  <si>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</si>
  <si>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</si>
  <si>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</si>
  <si>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</si>
  <si>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</si>
  <si>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</si>
  <si>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</si>
  <si>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</si>
  <si>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</si>
  <si>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</si>
  <si>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</si>
  <si>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</si>
  <si>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</si>
  <si>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</si>
  <si>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</si>
  <si>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</si>
  <si>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</si>
  <si>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</si>
  <si>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</si>
  <si>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</si>
  <si>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</si>
  <si>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</si>
  <si>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</si>
  <si>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</si>
  <si>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</si>
  <si>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</si>
  <si>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</si>
  <si>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</si>
  <si>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</si>
  <si>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</si>
  <si>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</si>
  <si>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</si>
  <si>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</si>
  <si>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</si>
  <si>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</si>
  <si>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</si>
  <si>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</si>
  <si>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</si>
  <si>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</si>
  <si>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</si>
  <si>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</si>
  <si>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</si>
  <si>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</si>
  <si>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</si>
  <si>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</si>
  <si>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</si>
  <si>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</si>
  <si>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</si>
  <si>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</si>
  <si>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</si>
  <si>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</si>
  <si>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</si>
  <si>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</si>
  <si>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</si>
  <si>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</si>
  <si>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</si>
  <si>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</si>
  <si>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</si>
  <si>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</si>
  <si>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</si>
  <si>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</si>
  <si>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</si>
  <si>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</si>
  <si>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</si>
  <si>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</si>
  <si>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</si>
  <si>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</si>
  <si>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</si>
  <si>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</si>
  <si>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</si>
  <si>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</si>
  <si>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</si>
  <si>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</si>
  <si>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</si>
  <si>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</si>
  <si>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</si>
  <si>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</si>
  <si>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</si>
  <si>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</si>
  <si>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</si>
  <si>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</si>
  <si>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</si>
  <si>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</si>
  <si>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</si>
  <si>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</si>
  <si>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</si>
  <si>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</si>
  <si>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</si>
  <si>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</si>
  <si>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</si>
  <si>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</si>
  <si>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</si>
  <si>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</si>
  <si>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</si>
  <si>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</si>
  <si>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</si>
  <si>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</si>
  <si>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</si>
  <si>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</si>
  <si>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</si>
  <si>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</si>
  <si>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</si>
  <si>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</si>
  <si>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</si>
  <si>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</si>
  <si>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</si>
  <si>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</si>
  <si>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</si>
  <si>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</si>
  <si>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</si>
  <si>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</si>
  <si>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</si>
  <si>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</si>
  <si>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</si>
  <si>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</si>
  <si>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</si>
  <si>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</si>
  <si>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</si>
  <si>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</si>
  <si>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</si>
  <si>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</si>
  <si>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</si>
  <si>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</si>
  <si>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</si>
  <si>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</si>
  <si>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</si>
  <si>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</si>
  <si>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</si>
  <si>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</si>
  <si>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</si>
  <si>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</si>
  <si>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</si>
  <si>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</si>
  <si>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</si>
  <si>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</si>
  <si>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</si>
  <si>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</si>
  <si>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</si>
  <si>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</si>
  <si>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</si>
  <si>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</si>
  <si>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</si>
  <si>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</si>
  <si>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</si>
  <si>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</si>
  <si>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</si>
  <si>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</si>
  <si>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</si>
  <si>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</si>
  <si>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</si>
  <si>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</si>
  <si>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</si>
  <si>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</si>
  <si>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</si>
  <si>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</si>
  <si>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</si>
  <si>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</si>
  <si>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</si>
  <si>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</si>
  <si>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</si>
  <si>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</si>
  <si>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</si>
  <si>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</si>
  <si>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</si>
  <si>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</si>
  <si>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</si>
  <si>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</si>
  <si>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</si>
  <si>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</si>
  <si>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</si>
  <si>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</si>
  <si>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</si>
  <si>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</si>
  <si>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</si>
  <si>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</si>
  <si>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</si>
  <si>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</si>
  <si>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</si>
  <si>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</si>
  <si>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</si>
  <si>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</si>
  <si>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</si>
  <si>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</si>
  <si>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</si>
  <si>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</si>
  <si>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</si>
  <si>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</si>
  <si>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</si>
  <si>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</si>
  <si>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</si>
  <si>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</si>
  <si>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</si>
  <si>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</si>
  <si>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</si>
  <si>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</si>
  <si>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</si>
  <si>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</si>
  <si>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</si>
  <si>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</si>
  <si>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</si>
  <si>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</si>
  <si>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</si>
  <si>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</si>
  <si>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</si>
  <si>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</si>
  <si>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</si>
  <si>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</si>
  <si>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</si>
  <si>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</si>
  <si>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</si>
  <si>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</si>
  <si>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</si>
  <si>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</si>
  <si>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</si>
  <si>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</si>
  <si>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</si>
  <si>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</si>
  <si>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</si>
  <si>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</si>
  <si>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</si>
  <si>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</si>
  <si>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</si>
  <si>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</si>
  <si>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</si>
  <si>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</si>
  <si>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</si>
  <si>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</si>
  <si>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</si>
  <si>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</si>
  <si>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</si>
  <si>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</si>
  <si>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</si>
  <si>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</si>
  <si>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</si>
  <si>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</si>
  <si>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</si>
  <si>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</si>
  <si>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</si>
  <si>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</si>
  <si>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</si>
  <si>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</si>
  <si>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</si>
  <si>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</si>
  <si>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</si>
  <si>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</si>
  <si>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</si>
  <si>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</si>
  <si>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</si>
  <si>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</si>
  <si>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</si>
  <si>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</si>
  <si>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</si>
  <si>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</si>
  <si>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</si>
  <si>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</si>
  <si>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</si>
  <si>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</si>
  <si>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</si>
  <si>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</si>
  <si>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</si>
  <si>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</si>
  <si>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</si>
  <si>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</si>
  <si>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</si>
  <si>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</si>
  <si>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</si>
  <si>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</si>
  <si>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</si>
  <si>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</si>
  <si>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</si>
  <si>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</si>
  <si>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</si>
  <si>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</si>
  <si>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</si>
  <si>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</si>
  <si>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</si>
  <si>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</si>
  <si>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</si>
  <si>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</si>
  <si>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</si>
  <si>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</si>
  <si>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</si>
  <si>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</si>
  <si>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</si>
  <si>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</si>
  <si>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</si>
  <si>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</si>
  <si>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</si>
  <si>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</si>
  <si>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</si>
  <si>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</si>
  <si>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</si>
  <si>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</si>
  <si>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</si>
  <si>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</si>
  <si>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</si>
  <si>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</si>
  <si>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</si>
  <si>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</si>
  <si>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</si>
  <si>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</si>
  <si>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</si>
  <si>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</si>
  <si>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</si>
  <si>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</si>
  <si>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</si>
  <si>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</si>
  <si>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</si>
  <si>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</si>
  <si>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</si>
  <si>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</si>
  <si>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</si>
  <si>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</si>
  <si>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</si>
  <si>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</si>
  <si>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</si>
  <si>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</si>
  <si>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</si>
  <si>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</si>
  <si>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</si>
  <si>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</si>
  <si>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</si>
  <si>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</si>
  <si>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</si>
  <si>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</si>
  <si>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</si>
  <si>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</si>
  <si>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</si>
  <si>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</si>
  <si>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</si>
  <si>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</si>
  <si>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</si>
  <si>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</si>
  <si>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</si>
  <si>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</si>
  <si>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</si>
  <si>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</si>
  <si>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</si>
  <si>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</si>
  <si>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</si>
  <si>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</si>
  <si>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</si>
  <si>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</si>
  <si>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</si>
  <si>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</si>
  <si>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</si>
  <si>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</si>
  <si>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</si>
  <si>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</si>
  <si>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</si>
  <si>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</si>
  <si>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</si>
  <si>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</si>
  <si>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</si>
  <si>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</si>
  <si>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</si>
  <si>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</si>
  <si>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</si>
  <si>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</si>
  <si>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</si>
  <si>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</si>
  <si>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</si>
  <si>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</si>
  <si>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</si>
  <si>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</si>
  <si>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</si>
  <si>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</si>
  <si>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</si>
  <si>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</si>
  <si>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</si>
  <si>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</si>
  <si>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</si>
  <si>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</si>
  <si>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</si>
  <si>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</si>
  <si>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</si>
  <si>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</si>
  <si>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</si>
  <si>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</si>
  <si>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</si>
  <si>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</si>
  <si>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</si>
  <si>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</si>
  <si>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</si>
  <si>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</si>
  <si>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</si>
  <si>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</si>
  <si>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</si>
  <si>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</si>
  <si>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</si>
  <si>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</si>
  <si>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</si>
  <si>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</si>
  <si>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</si>
  <si>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</si>
  <si>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</si>
  <si>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</si>
  <si>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</si>
  <si>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</si>
  <si>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</si>
  <si>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</si>
  <si>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</si>
  <si>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</si>
  <si>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</si>
  <si>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</si>
  <si>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</si>
  <si>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</si>
  <si>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</si>
  <si>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</si>
  <si>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</si>
  <si>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</si>
  <si>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</si>
  <si>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</si>
  <si>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</si>
  <si>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</si>
  <si>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</si>
  <si>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</si>
  <si>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</si>
  <si>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</si>
  <si>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</si>
  <si>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</si>
  <si>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</si>
  <si>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</si>
  <si>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</si>
  <si>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</si>
  <si>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</si>
  <si>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</si>
  <si>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</si>
  <si>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</si>
  <si>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</si>
  <si>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</si>
  <si>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</si>
  <si>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</si>
  <si>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</si>
  <si>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</si>
  <si>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</si>
  <si>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</si>
  <si>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</si>
  <si>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</si>
  <si>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</si>
  <si>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</si>
  <si>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</si>
  <si>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</si>
  <si>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</si>
  <si>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</si>
  <si>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</si>
  <si>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</si>
  <si>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</si>
  <si>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</si>
  <si>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</si>
  <si>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</si>
  <si>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</si>
  <si>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</si>
  <si>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</si>
  <si>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</si>
  <si>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</si>
  <si>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</si>
  <si>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</si>
  <si>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</si>
  <si>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</si>
  <si>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</si>
  <si>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</si>
  <si>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</si>
  <si>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</si>
  <si>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</si>
  <si>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</si>
  <si>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</si>
  <si>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</si>
  <si>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</si>
  <si>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</si>
  <si>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</si>
  <si>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</si>
  <si>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</si>
  <si>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</si>
  <si>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</si>
  <si>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</si>
  <si>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</si>
  <si>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</si>
  <si>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</si>
  <si>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</si>
  <si>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</si>
  <si>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</si>
  <si>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</si>
  <si>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</si>
  <si>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</si>
  <si>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</si>
  <si>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</si>
  <si>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</si>
  <si>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</si>
  <si>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</si>
  <si>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</si>
  <si>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</si>
  <si>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</si>
  <si>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</si>
  <si>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</si>
  <si>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</si>
  <si>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</si>
  <si>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</si>
  <si>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</si>
  <si>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</si>
  <si>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</si>
  <si>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</si>
  <si>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</si>
  <si>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</si>
  <si>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</si>
  <si>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</si>
  <si>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</si>
  <si>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</si>
  <si>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</si>
  <si>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</si>
  <si>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</si>
  <si>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</si>
  <si>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</si>
  <si>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</si>
  <si>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</si>
  <si>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</si>
  <si>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</si>
  <si>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</si>
  <si>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</si>
  <si>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</si>
  <si>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</si>
  <si>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</si>
  <si>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</si>
  <si>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</si>
  <si>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</si>
  <si>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</si>
  <si>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</si>
  <si>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</si>
  <si>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</si>
  <si>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</si>
  <si>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</si>
  <si>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</si>
  <si>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</si>
  <si>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</si>
  <si>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</si>
  <si>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</si>
  <si>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</si>
  <si>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</si>
  <si>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</si>
  <si>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</si>
  <si>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</si>
  <si>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</si>
  <si>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</si>
  <si>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</si>
  <si>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</si>
  <si>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</si>
  <si>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</si>
  <si>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</si>
  <si>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</si>
  <si>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</si>
  <si>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</si>
  <si>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</si>
  <si>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</si>
  <si>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</si>
  <si>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</si>
  <si>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</si>
  <si>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</si>
  <si>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</si>
  <si>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</si>
  <si>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</si>
  <si>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</si>
  <si>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</si>
  <si>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</si>
  <si>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</si>
  <si>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</si>
  <si>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</si>
  <si>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</si>
  <si>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</si>
  <si>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</si>
  <si>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</si>
  <si>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</si>
  <si>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</si>
  <si>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</si>
  <si>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</si>
  <si>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</si>
  <si>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</si>
  <si>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</si>
  <si>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</si>
  <si>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</si>
  <si>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</si>
  <si>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</si>
  <si>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</si>
  <si>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</si>
  <si>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</si>
  <si>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</si>
  <si>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</si>
  <si>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</si>
  <si>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</si>
  <si>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</si>
  <si>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</si>
  <si>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</si>
  <si>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</si>
  <si>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</si>
  <si>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</si>
  <si>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</si>
  <si>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</si>
  <si>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</si>
  <si>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</si>
  <si>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</si>
  <si>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</si>
  <si>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</si>
  <si>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</si>
  <si>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</si>
  <si>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</si>
  <si>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</si>
  <si>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</si>
  <si>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</si>
  <si>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</si>
  <si>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</si>
  <si>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</si>
  <si>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</si>
  <si>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</si>
  <si>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</si>
  <si>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</si>
  <si>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</si>
  <si>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</si>
  <si>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</si>
  <si>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</si>
  <si>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</si>
  <si>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</si>
  <si>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</si>
  <si>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</si>
  <si>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</si>
  <si>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</si>
  <si>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</si>
  <si>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</si>
  <si>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</si>
  <si>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</si>
  <si>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</si>
  <si>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</si>
  <si>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</si>
  <si>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</si>
  <si>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</si>
  <si>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</si>
  <si>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</si>
  <si>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</si>
  <si>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</si>
  <si>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</si>
  <si>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</si>
  <si>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</si>
  <si>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</si>
  <si>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</si>
  <si>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</si>
  <si>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</si>
  <si>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</si>
  <si>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</si>
  <si>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</si>
  <si>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</si>
  <si>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</si>
  <si>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</si>
  <si>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</si>
  <si>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</si>
  <si>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</si>
  <si>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</si>
  <si>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</si>
  <si>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</si>
  <si>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</si>
  <si>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</si>
  <si>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</si>
  <si>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</si>
  <si>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</si>
  <si>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</si>
  <si>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</si>
  <si>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</si>
  <si>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</si>
  <si>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</si>
  <si>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</si>
  <si>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</si>
  <si>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</si>
  <si>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</si>
  <si>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</si>
  <si>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</si>
  <si>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</si>
  <si>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</si>
  <si>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</si>
  <si>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</si>
  <si>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</si>
  <si>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</si>
  <si>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</si>
  <si>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</si>
  <si>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</si>
  <si>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</si>
  <si>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</si>
  <si>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</si>
  <si>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</si>
  <si>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</si>
  <si>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</si>
  <si>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</si>
  <si>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</si>
  <si>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</si>
  <si>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</si>
  <si>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</si>
  <si>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</si>
  <si>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</si>
  <si>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</si>
  <si>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</si>
  <si>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</si>
  <si>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</si>
  <si>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</si>
  <si>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</si>
  <si>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</si>
  <si>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</si>
  <si>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</si>
  <si>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</si>
  <si>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</si>
  <si>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</si>
  <si>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</si>
  <si>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</si>
  <si>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</si>
  <si>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</si>
  <si>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</si>
  <si>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</si>
  <si>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</si>
  <si>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</si>
  <si>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</si>
  <si>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</si>
  <si>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</si>
  <si>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</si>
  <si>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</si>
  <si>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</si>
  <si>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</si>
  <si>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</si>
  <si>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</si>
  <si>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</si>
  <si>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</si>
  <si>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</si>
  <si>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</si>
  <si>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</si>
  <si>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</si>
  <si>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</si>
  <si>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</si>
  <si>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</si>
  <si>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</si>
  <si>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</si>
  <si>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</si>
  <si>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</si>
  <si>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</si>
  <si>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</si>
  <si>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</si>
  <si>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</si>
  <si>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</si>
  <si>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</si>
  <si>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</si>
  <si>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</si>
  <si>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</si>
  <si>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</si>
  <si>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</si>
  <si>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</si>
  <si>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</si>
  <si>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</si>
  <si>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</si>
  <si>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</si>
  <si>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</si>
  <si>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</si>
  <si>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</si>
  <si>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</si>
  <si>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</si>
  <si>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</si>
  <si>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</si>
  <si>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</si>
  <si>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</si>
  <si>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</si>
  <si>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</si>
  <si>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</si>
  <si>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</si>
  <si>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</si>
  <si>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</si>
  <si>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</si>
  <si>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</si>
  <si>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</si>
  <si>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</si>
  <si>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</si>
  <si>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</si>
  <si>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</si>
  <si>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</si>
  <si>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</si>
  <si>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</si>
  <si>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</si>
  <si>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</si>
  <si>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</si>
  <si>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</si>
  <si>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</si>
  <si>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</si>
  <si>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</si>
  <si>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</si>
  <si>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</si>
  <si>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</si>
  <si>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</si>
  <si>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</si>
  <si>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</si>
  <si>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</si>
  <si>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</si>
  <si>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</si>
  <si>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</si>
  <si>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</si>
  <si>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</si>
  <si>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</si>
  <si>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</si>
  <si>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</si>
  <si>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</si>
  <si>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</si>
  <si>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</si>
  <si>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</si>
  <si>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</si>
  <si>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</si>
  <si>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</si>
  <si>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</si>
  <si>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</si>
  <si>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</si>
  <si>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</si>
  <si>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</si>
  <si>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</si>
  <si>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</si>
  <si>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</si>
  <si>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</si>
  <si>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</si>
  <si>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</si>
  <si>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</si>
  <si>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</si>
  <si>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</si>
  <si>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</si>
  <si>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</si>
  <si>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</si>
  <si>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</si>
  <si>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</si>
  <si>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</si>
  <si>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</si>
  <si>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</si>
  <si>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</si>
  <si>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</si>
  <si>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</si>
  <si>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</si>
  <si>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</si>
  <si>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</si>
  <si>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</si>
  <si>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</si>
  <si>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</si>
  <si>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</si>
  <si>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</si>
  <si>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</si>
  <si>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</si>
  <si>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</si>
  <si>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</si>
  <si>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</si>
  <si>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</si>
  <si>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</si>
  <si>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</si>
  <si>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</si>
  <si>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</si>
  <si>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</si>
  <si>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</si>
  <si>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</si>
  <si>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</si>
  <si>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</si>
  <si>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</si>
  <si>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</si>
  <si>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</si>
  <si>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</si>
  <si>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</si>
  <si>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</si>
  <si>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</si>
  <si>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</si>
  <si>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</si>
  <si>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</si>
  <si>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</si>
  <si>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</si>
  <si>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</si>
  <si>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</si>
  <si>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</si>
  <si>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</si>
  <si>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</si>
  <si>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</si>
  <si>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</si>
  <si>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</si>
  <si>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</si>
  <si>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</si>
  <si>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</si>
  <si>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</si>
  <si>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</si>
  <si>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</si>
  <si>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</si>
  <si>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</si>
  <si>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</si>
  <si>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</si>
  <si>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</si>
  <si>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</si>
  <si>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</si>
  <si>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</si>
  <si>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</si>
  <si>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</si>
  <si>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</si>
  <si>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</si>
  <si>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</si>
  <si>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</si>
  <si>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</si>
  <si>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</si>
  <si>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</si>
  <si>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</si>
  <si>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</si>
  <si>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</si>
  <si>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</si>
  <si>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</si>
  <si>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</si>
  <si>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</si>
  <si>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</si>
  <si>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</si>
  <si>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</si>
  <si>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</si>
  <si>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</si>
  <si>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</si>
  <si>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</si>
  <si>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</si>
  <si>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</si>
  <si>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</si>
  <si>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</si>
  <si>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</si>
  <si>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</si>
  <si>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</si>
  <si>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</si>
  <si>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</si>
  <si>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</si>
  <si>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</si>
  <si>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</si>
  <si>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</si>
  <si>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</si>
  <si>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</si>
  <si>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</si>
  <si>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</si>
  <si>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</si>
  <si>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</si>
  <si>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</si>
  <si>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</si>
  <si>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</si>
  <si>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</si>
  <si>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</si>
  <si>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</si>
  <si>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</si>
  <si>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</si>
  <si>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</si>
  <si>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</si>
  <si>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</si>
  <si>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</si>
  <si>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</si>
  <si>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</si>
  <si>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</si>
  <si>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</si>
  <si>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</si>
  <si>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</si>
  <si>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</si>
  <si>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</si>
  <si>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</si>
  <si>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</si>
  <si>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</si>
  <si>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</si>
  <si>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</si>
  <si>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</si>
  <si>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</si>
  <si>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</si>
  <si>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</si>
  <si>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</si>
  <si>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</si>
  <si>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</si>
  <si>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</si>
  <si>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</si>
  <si>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</si>
  <si>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</si>
  <si>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</si>
  <si>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</si>
  <si>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</si>
  <si>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</si>
  <si>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</si>
  <si>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</si>
  <si>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</si>
  <si>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</si>
  <si>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</si>
  <si>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</si>
  <si>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</si>
  <si>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</si>
  <si>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</si>
  <si>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</si>
  <si>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</si>
  <si>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</si>
  <si>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</si>
  <si>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</si>
  <si>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</si>
  <si>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</si>
  <si>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</si>
  <si>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</si>
  <si>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</si>
  <si>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</si>
  <si>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</si>
  <si>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</si>
  <si>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</si>
  <si>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</si>
  <si>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</si>
  <si>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</si>
  <si>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</si>
  <si>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</si>
  <si>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</si>
  <si>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</si>
  <si>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</si>
  <si>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</si>
  <si>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</si>
  <si>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</si>
  <si>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</si>
  <si>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</si>
  <si>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</si>
  <si>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</si>
  <si>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</si>
  <si>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</si>
  <si>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</si>
  <si>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</si>
  <si>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</si>
  <si>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</si>
  <si>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</si>
  <si>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</si>
  <si>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</si>
  <si>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</si>
  <si>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</si>
  <si>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</si>
  <si>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</si>
  <si>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</si>
  <si>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</si>
  <si>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</si>
  <si>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</si>
  <si>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</si>
  <si>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</si>
  <si>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</si>
  <si>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</si>
  <si>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</si>
  <si>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</si>
  <si>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</si>
  <si>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</si>
  <si>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</si>
  <si>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</si>
  <si>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</si>
  <si>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</si>
  <si>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</si>
  <si>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</si>
  <si>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</si>
  <si>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</si>
  <si>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</si>
  <si>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</si>
  <si>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</si>
  <si>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</si>
  <si>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</si>
  <si>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</si>
  <si>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</si>
  <si>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</si>
  <si>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</si>
  <si>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</si>
  <si>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</si>
  <si>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</si>
  <si>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</si>
  <si>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</si>
  <si>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</si>
  <si>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</si>
  <si>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</si>
  <si>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</si>
  <si>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</si>
  <si>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</si>
  <si>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</si>
  <si>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</si>
  <si>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</si>
  <si>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</si>
  <si>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</si>
  <si>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</si>
  <si>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</si>
  <si>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</si>
  <si>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</si>
  <si>
    <t>Does not have 4x58 constriction, but a 3-10 end</t>
  </si>
  <si>
    <t>NOT USED AS TEMPLATES!</t>
  </si>
  <si>
    <t>ednrb_human_5GLH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</si>
</sst>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4" fillId="0" borderId="1" xfId="0" applyFont="1" applyFill="1" applyBorder="1"/>
    <xf numFmtId="1" fontId="14" fillId="0" borderId="0" xfId="0" applyNumberFormat="1" applyFont="1" applyFill="1"/>
    <xf numFmtId="0" fontId="14" fillId="0" borderId="0" xfId="0" applyFont="1" applyFill="1"/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4" fillId="0" borderId="0" xfId="0" applyFont="1" applyFill="1" applyBorder="1"/>
    <xf numFmtId="1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5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6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right"/>
    </xf>
    <xf numFmtId="0" fontId="15" fillId="2" borderId="0" xfId="0" applyFont="1" applyFill="1"/>
    <xf numFmtId="1" fontId="0" fillId="0" borderId="0" xfId="0" applyNumberFormat="1" applyFont="1" applyFill="1" applyBorder="1"/>
    <xf numFmtId="0" fontId="17" fillId="0" borderId="0" xfId="0" applyFont="1" applyFill="1" applyBorder="1"/>
    <xf numFmtId="1" fontId="0" fillId="2" borderId="0" xfId="0" applyNumberFormat="1" applyFont="1" applyFill="1"/>
    <xf numFmtId="0" fontId="0" fillId="2" borderId="6" xfId="0" applyFont="1" applyFill="1" applyBorder="1"/>
    <xf numFmtId="0" fontId="14" fillId="2" borderId="1" xfId="0" applyFont="1" applyFill="1" applyBorder="1"/>
    <xf numFmtId="0" fontId="14" fillId="2" borderId="0" xfId="0" applyFont="1" applyFill="1" applyBorder="1"/>
    <xf numFmtId="1" fontId="14" fillId="2" borderId="0" xfId="0" applyNumberFormat="1" applyFont="1" applyFill="1"/>
    <xf numFmtId="0" fontId="14" fillId="2" borderId="0" xfId="0" applyFont="1" applyFill="1"/>
    <xf numFmtId="0" fontId="0" fillId="2" borderId="1" xfId="0" applyFont="1" applyFill="1" applyBorder="1"/>
    <xf numFmtId="0" fontId="0" fillId="3" borderId="0" xfId="0" applyFont="1" applyFill="1"/>
    <xf numFmtId="0" fontId="0" fillId="2" borderId="1" xfId="0" applyFont="1" applyFill="1" applyBorder="1" applyAlignment="1">
      <alignment horizontal="center"/>
    </xf>
    <xf numFmtId="0" fontId="0" fillId="0" borderId="9" xfId="0" applyFont="1" applyFill="1" applyBorder="1"/>
    <xf numFmtId="0" fontId="0" fillId="0" borderId="9" xfId="0" applyBorder="1"/>
    <xf numFmtId="0" fontId="0" fillId="2" borderId="0" xfId="0" applyFont="1" applyFill="1" applyAlignment="1">
      <alignment horizontal="center"/>
    </xf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59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9032128"/>
        <c:axId val="-2056322464"/>
      </c:lineChart>
      <c:catAx>
        <c:axId val="-209903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322464"/>
        <c:crosses val="autoZero"/>
        <c:auto val="1"/>
        <c:lblAlgn val="ctr"/>
        <c:lblOffset val="100"/>
        <c:noMultiLvlLbl val="0"/>
      </c:catAx>
      <c:valAx>
        <c:axId val="-20563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0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208544"/>
        <c:axId val="-2029202384"/>
      </c:scatterChart>
      <c:valAx>
        <c:axId val="-202920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9202384"/>
        <c:crosses val="autoZero"/>
        <c:crossBetween val="midCat"/>
      </c:valAx>
      <c:valAx>
        <c:axId val="-20292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920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7475120"/>
        <c:axId val="-2037468944"/>
      </c:scatterChart>
      <c:valAx>
        <c:axId val="-203747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468944"/>
        <c:crosses val="autoZero"/>
        <c:crossBetween val="midCat"/>
      </c:valAx>
      <c:valAx>
        <c:axId val="-20374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47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7434752"/>
        <c:axId val="-2037428704"/>
      </c:scatterChart>
      <c:valAx>
        <c:axId val="-203743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428704"/>
        <c:crosses val="autoZero"/>
        <c:crossBetween val="midCat"/>
      </c:valAx>
      <c:valAx>
        <c:axId val="-20374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434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CO146"/>
  <sheetViews>
    <sheetView tabSelected="1" zoomScale="110" zoomScaleNormal="110" zoomScalePageLayoutView="110" workbookViewId="0">
      <pane xSplit="3" ySplit="1" topLeftCell="D74" activePane="bottomRight" state="frozenSplit"/>
      <selection pane="topRight" activeCell="D1" sqref="D1"/>
      <selection pane="bottomLeft" activeCell="A2" sqref="A2"/>
      <selection pane="bottomRight" activeCell="A105" sqref="A105"/>
    </sheetView>
  </sheetViews>
  <sheetFormatPr baseColWidth="10" defaultRowHeight="16" x14ac:dyDescent="0.2"/>
  <cols>
    <col min="1" max="1" width="21.1640625" style="3" bestFit="1" customWidth="1"/>
    <col min="2" max="2" width="13.33203125" style="3" bestFit="1" customWidth="1"/>
    <col min="3" max="3" width="8.1640625" style="3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57" bestFit="1" customWidth="1"/>
    <col min="10" max="10" width="2.5" style="3" bestFit="1" customWidth="1"/>
    <col min="11" max="11" width="4.1640625" style="57" bestFit="1" customWidth="1"/>
    <col min="12" max="12" width="2.8320312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16406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8320312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5.5" style="3" customWidth="1"/>
    <col min="50" max="50" width="2.83203125" style="3" bestFit="1" customWidth="1"/>
    <col min="51" max="51" width="4.33203125" style="3" bestFit="1" customWidth="1"/>
    <col min="52" max="52" width="3.1640625" style="83" bestFit="1" customWidth="1"/>
    <col min="53" max="53" width="5.5" style="3" customWidth="1"/>
    <col min="54" max="54" width="5.1640625" style="35" customWidth="1"/>
    <col min="55" max="55" width="5.5" style="3" customWidth="1"/>
    <col min="56" max="56" width="5.33203125" style="35" bestFit="1" customWidth="1"/>
    <col min="57" max="57" width="5.33203125" style="68" customWidth="1"/>
    <col min="58" max="67" width="5.83203125" style="75" customWidth="1"/>
    <col min="68" max="68" width="5.83203125" style="70" customWidth="1"/>
    <col min="69" max="69" width="4.33203125" style="68" bestFit="1" customWidth="1"/>
    <col min="70" max="70" width="4.1640625" style="70" bestFit="1" customWidth="1"/>
    <col min="71" max="71" width="4.33203125" style="70" bestFit="1" customWidth="1"/>
    <col min="72" max="72" width="4.1640625" style="70" bestFit="1" customWidth="1"/>
    <col min="73" max="73" width="4.33203125" style="70" bestFit="1" customWidth="1"/>
    <col min="74" max="74" width="4.1640625" style="70" bestFit="1" customWidth="1"/>
    <col min="75" max="75" width="4.33203125" style="70" bestFit="1" customWidth="1"/>
    <col min="76" max="76" width="4.1640625" style="70" bestFit="1" customWidth="1"/>
    <col min="77" max="77" width="4.33203125" style="70" bestFit="1" customWidth="1"/>
    <col min="78" max="78" width="4.1640625" style="70" bestFit="1" customWidth="1"/>
    <col min="79" max="79" width="4.33203125" style="70" bestFit="1" customWidth="1"/>
    <col min="80" max="80" width="4.1640625" style="70" bestFit="1" customWidth="1"/>
    <col min="81" max="81" width="4.33203125" style="68" bestFit="1" customWidth="1"/>
    <col min="82" max="82" width="4.1640625" style="70" bestFit="1" customWidth="1"/>
    <col min="83" max="92" width="4.33203125" style="70" bestFit="1" customWidth="1"/>
    <col min="93" max="93" width="5.83203125" style="3" customWidth="1"/>
    <col min="94" max="16384" width="10.83203125" style="3"/>
  </cols>
  <sheetData>
    <row r="1" spans="1:93" s="11" customFormat="1" x14ac:dyDescent="0.2">
      <c r="A1" s="11" t="s">
        <v>1283</v>
      </c>
      <c r="B1" s="11" t="s">
        <v>205</v>
      </c>
      <c r="C1" s="11" t="s">
        <v>204</v>
      </c>
      <c r="E1" s="11" t="s">
        <v>1267</v>
      </c>
      <c r="G1" s="11" t="s">
        <v>1268</v>
      </c>
      <c r="I1" s="99" t="s">
        <v>1284</v>
      </c>
      <c r="K1" s="99" t="s">
        <v>1285</v>
      </c>
      <c r="M1" s="11" t="s">
        <v>1269</v>
      </c>
      <c r="O1" s="11" t="s">
        <v>1270</v>
      </c>
      <c r="Q1" s="11" t="s">
        <v>1286</v>
      </c>
      <c r="S1" s="11" t="s">
        <v>1287</v>
      </c>
      <c r="U1" s="11" t="s">
        <v>1271</v>
      </c>
      <c r="W1" s="11" t="s">
        <v>1272</v>
      </c>
      <c r="Y1" s="11" t="s">
        <v>1299</v>
      </c>
      <c r="AA1" s="11" t="s">
        <v>1300</v>
      </c>
      <c r="AC1" s="11" t="s">
        <v>1273</v>
      </c>
      <c r="AE1" s="11" t="s">
        <v>1274</v>
      </c>
      <c r="AG1" s="11" t="s">
        <v>1302</v>
      </c>
      <c r="AI1" s="11" t="s">
        <v>1303</v>
      </c>
      <c r="AK1" s="11" t="s">
        <v>1275</v>
      </c>
      <c r="AM1" s="11" t="s">
        <v>1276</v>
      </c>
      <c r="AO1" s="11" t="s">
        <v>1277</v>
      </c>
      <c r="AQ1" s="11" t="s">
        <v>1278</v>
      </c>
      <c r="AS1" s="11" t="s">
        <v>1279</v>
      </c>
      <c r="AU1" s="11" t="s">
        <v>1280</v>
      </c>
      <c r="AW1" s="11" t="s">
        <v>1281</v>
      </c>
      <c r="AY1" s="11" t="s">
        <v>1282</v>
      </c>
      <c r="AZ1" s="64" t="s">
        <v>292</v>
      </c>
      <c r="BA1" s="11" t="s">
        <v>1323</v>
      </c>
      <c r="BB1" s="62" t="s">
        <v>1315</v>
      </c>
      <c r="BC1" s="11" t="s">
        <v>1387</v>
      </c>
      <c r="BD1" s="62" t="s">
        <v>1422</v>
      </c>
      <c r="BE1" s="65" t="s">
        <v>1267</v>
      </c>
      <c r="BF1" s="76" t="s">
        <v>1284</v>
      </c>
      <c r="BG1" s="77" t="s">
        <v>1269</v>
      </c>
      <c r="BH1" s="77" t="s">
        <v>1286</v>
      </c>
      <c r="BI1" s="77" t="s">
        <v>1271</v>
      </c>
      <c r="BJ1" s="77" t="s">
        <v>1299</v>
      </c>
      <c r="BK1" s="77" t="s">
        <v>1273</v>
      </c>
      <c r="BL1" s="77" t="s">
        <v>1302</v>
      </c>
      <c r="BM1" s="77" t="s">
        <v>1275</v>
      </c>
      <c r="BN1" s="77" t="s">
        <v>1277</v>
      </c>
      <c r="BO1" s="77" t="s">
        <v>1279</v>
      </c>
      <c r="BP1" s="67" t="s">
        <v>1281</v>
      </c>
      <c r="BQ1" s="65" t="s">
        <v>1267</v>
      </c>
      <c r="BR1" s="66" t="s">
        <v>1284</v>
      </c>
      <c r="BS1" s="67" t="s">
        <v>1269</v>
      </c>
      <c r="BT1" s="67" t="s">
        <v>1286</v>
      </c>
      <c r="BU1" s="67" t="s">
        <v>1271</v>
      </c>
      <c r="BV1" s="67" t="s">
        <v>1299</v>
      </c>
      <c r="BW1" s="67" t="s">
        <v>1273</v>
      </c>
      <c r="BX1" s="67" t="s">
        <v>1302</v>
      </c>
      <c r="BY1" s="67" t="s">
        <v>1275</v>
      </c>
      <c r="BZ1" s="67" t="s">
        <v>1277</v>
      </c>
      <c r="CA1" s="67" t="s">
        <v>1279</v>
      </c>
      <c r="CB1" s="67" t="s">
        <v>1281</v>
      </c>
      <c r="CC1" s="65" t="s">
        <v>1268</v>
      </c>
      <c r="CD1" s="66" t="s">
        <v>1285</v>
      </c>
      <c r="CE1" s="67" t="s">
        <v>1270</v>
      </c>
      <c r="CF1" s="67" t="s">
        <v>1287</v>
      </c>
      <c r="CG1" s="67" t="s">
        <v>1272</v>
      </c>
      <c r="CH1" s="67" t="s">
        <v>1300</v>
      </c>
      <c r="CI1" s="67" t="s">
        <v>1274</v>
      </c>
      <c r="CJ1" s="67" t="s">
        <v>1303</v>
      </c>
      <c r="CK1" s="67" t="s">
        <v>1276</v>
      </c>
      <c r="CL1" s="67" t="s">
        <v>1278</v>
      </c>
      <c r="CM1" s="67" t="s">
        <v>1280</v>
      </c>
      <c r="CN1" s="67" t="s">
        <v>1282</v>
      </c>
      <c r="CO1" s="11" t="s">
        <v>1515</v>
      </c>
    </row>
    <row r="2" spans="1:93" x14ac:dyDescent="0.2">
      <c r="A2" s="3" t="str">
        <f t="shared" ref="A2:A36" si="0">CONCATENATE(B2,"_",C2)</f>
        <v>5ht1b_human__wt</v>
      </c>
      <c r="B2" s="3" t="s">
        <v>208</v>
      </c>
      <c r="C2" s="3" t="s">
        <v>294</v>
      </c>
      <c r="D2" s="3" t="str">
        <f>IFERROR(MID(VLOOKUP($B2,Seqs!$A:$B,2,FALSE),E2,1),"")</f>
        <v>L</v>
      </c>
      <c r="E2" s="3">
        <v>46</v>
      </c>
      <c r="F2" s="3" t="str">
        <f>IFERROR(MID(VLOOKUP($B2,Seqs!$A:$B,2,FALSE),G2,1),"")</f>
        <v>T</v>
      </c>
      <c r="G2" s="3">
        <v>77</v>
      </c>
      <c r="H2" s="3" t="str">
        <f>IFERROR(MID(VLOOKUP($B2,Seqs!$A:$B,2,FALSE),I2,1),"")</f>
        <v>R</v>
      </c>
      <c r="I2" s="57">
        <v>78</v>
      </c>
      <c r="J2" s="3" t="str">
        <f>IFERROR(MID(VLOOKUP($B2,Seqs!$A:$B,2,FALSE),K2,1),"")</f>
        <v>H</v>
      </c>
      <c r="K2" s="57">
        <v>81</v>
      </c>
      <c r="L2" s="3" t="str">
        <f>IFERROR(MID(VLOOKUP($B2,Seqs!$A:$B,2,FALSE),M2,1),"")</f>
        <v>T</v>
      </c>
      <c r="M2" s="3">
        <v>82</v>
      </c>
      <c r="N2" s="3" t="str">
        <f>IFERROR(MID(VLOOKUP($B2,Seqs!$A:$B,2,FALSE),O2,1),"")</f>
        <v>T</v>
      </c>
      <c r="O2" s="3">
        <v>112</v>
      </c>
      <c r="P2" s="3" t="str">
        <f>IFERROR(MID(VLOOKUP($B2,Seqs!$A:$B,2,FALSE),Q2,1),"")</f>
        <v>R</v>
      </c>
      <c r="Q2" s="3">
        <v>114</v>
      </c>
      <c r="R2" s="3" t="str">
        <f>IFERROR(MID(VLOOKUP($B2,Seqs!$A:$B,2,FALSE),S2,1),"")</f>
        <v>L</v>
      </c>
      <c r="S2" s="3">
        <v>117</v>
      </c>
      <c r="T2" s="3" t="str">
        <f>IFERROR(MID(VLOOKUP($B2,Seqs!$A:$B,2,FALSE),U2,1),"")</f>
        <v>G</v>
      </c>
      <c r="U2" s="3">
        <v>118</v>
      </c>
      <c r="V2" s="3" t="str">
        <f>IFERROR(MID(VLOOKUP($B2,Seqs!$A:$B,2,FALSE),W2,1),"")</f>
        <v>D</v>
      </c>
      <c r="W2" s="3">
        <v>153</v>
      </c>
      <c r="X2" s="3" t="str">
        <f>IFERROR(MID(VLOOKUP($B2,Seqs!$A:$B,2,FALSE),Y2,1),"")</f>
        <v>A</v>
      </c>
      <c r="Y2" s="3">
        <v>154</v>
      </c>
      <c r="Z2" s="3" t="str">
        <f>IFERROR(MID(VLOOKUP($B2,Seqs!$A:$B,2,FALSE),AA2,1),"")</f>
        <v>R</v>
      </c>
      <c r="AA2" s="3">
        <v>161</v>
      </c>
      <c r="AB2" s="3" t="str">
        <f>IFERROR(MID(VLOOKUP($B2,Seqs!$A:$B,2,FALSE),AC2,1),"")</f>
        <v>P</v>
      </c>
      <c r="AC2" s="3">
        <v>163</v>
      </c>
      <c r="AD2" s="3" t="str">
        <f>IFERROR(MID(VLOOKUP($B2,Seqs!$A:$B,2,FALSE),AE2,1),"")</f>
        <v>W</v>
      </c>
      <c r="AE2" s="3">
        <v>187</v>
      </c>
      <c r="AF2" s="3" t="str">
        <f>IFERROR(MID(VLOOKUP($B2,Seqs!$A:$B,2,FALSE),AG2,1),"")</f>
        <v>C</v>
      </c>
      <c r="AG2" s="3">
        <v>199</v>
      </c>
      <c r="AH2" s="3" t="str">
        <f>IFERROR(MID(VLOOKUP($B2,Seqs!$A:$B,2,FALSE),AI2,1),"")</f>
        <v>V</v>
      </c>
      <c r="AI2" s="3">
        <v>201</v>
      </c>
      <c r="AJ2" s="3" t="str">
        <f>IFERROR(MID(VLOOKUP($B2,Seqs!$A:$B,2,FALSE),AK2,1),"")</f>
        <v>H</v>
      </c>
      <c r="AK2" s="3">
        <v>205</v>
      </c>
      <c r="AL2" s="3" t="str">
        <f>IFERROR(MID(VLOOKUP($B2,Seqs!$A:$B,2,FALSE),AM2,1),"")</f>
        <v>P</v>
      </c>
      <c r="AM2" s="3">
        <v>244</v>
      </c>
      <c r="AN2" s="3" t="str">
        <f>IFERROR(MID(VLOOKUP($B2,Seqs!$A:$B,2,FALSE),AO2,1),"")</f>
        <v>K</v>
      </c>
      <c r="AO2" s="3">
        <v>303</v>
      </c>
      <c r="AP2" s="3" t="str">
        <f>IFERROR(MID(VLOOKUP($B2,Seqs!$A:$B,2,FALSE),AQ2,1),"")</f>
        <v>I</v>
      </c>
      <c r="AQ2" s="3">
        <v>339</v>
      </c>
      <c r="AR2" s="3" t="str">
        <f>IFERROR(MID(VLOOKUP($B2,Seqs!$A:$B,2,FALSE),AS2,1),"")</f>
        <v>H</v>
      </c>
      <c r="AS2" s="3">
        <v>347</v>
      </c>
      <c r="AT2" s="3" t="str">
        <f>IFERROR(MID(VLOOKUP($B2,Seqs!$A:$B,2,FALSE),AU2,1),"")</f>
        <v>S</v>
      </c>
      <c r="AU2" s="3">
        <v>372</v>
      </c>
      <c r="AV2" s="3" t="str">
        <f>IFERROR(MID(VLOOKUP($B2,Seqs!$A:$B,2,FALSE),AW2,1),"")</f>
        <v>N</v>
      </c>
      <c r="AW2" s="3">
        <v>373</v>
      </c>
      <c r="AX2" s="3" t="str">
        <f>IFERROR(MID(VLOOKUP($B2,Seqs!$A:$B,2,FALSE),AY2,1),"")</f>
        <v>I</v>
      </c>
      <c r="AY2" s="3">
        <v>384</v>
      </c>
      <c r="AZ2" s="83" t="str">
        <f>VLOOKUP(B2,Classification!A:D,2,FALSE)</f>
        <v>A</v>
      </c>
      <c r="BB2" s="82">
        <f>S2-Q2+1</f>
        <v>4</v>
      </c>
      <c r="BC2" s="57">
        <f t="shared" ref="BC2:BC36" si="1">_xlfn.AGGREGATE(9,6,CC2:CN2)-_xlfn.AGGREGATE(9,6,BQ2:CB2)+12</f>
        <v>258</v>
      </c>
      <c r="BD2" s="63" t="b">
        <f t="shared" ref="BD2:BD36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68" t="s">
        <v>1514</v>
      </c>
      <c r="BF2" s="75" t="s">
        <v>1514</v>
      </c>
      <c r="BG2" s="75" t="s">
        <v>1514</v>
      </c>
      <c r="BH2" s="75" t="s">
        <v>1514</v>
      </c>
      <c r="BI2" s="75" t="s">
        <v>1514</v>
      </c>
      <c r="BJ2" s="75" t="s">
        <v>1514</v>
      </c>
      <c r="BK2" s="75" t="s">
        <v>1514</v>
      </c>
      <c r="BL2" s="75" t="s">
        <v>1514</v>
      </c>
      <c r="BM2" s="75" t="s">
        <v>1514</v>
      </c>
      <c r="BN2" s="75" t="s">
        <v>1514</v>
      </c>
      <c r="BO2" s="75" t="s">
        <v>1514</v>
      </c>
      <c r="BP2" s="75" t="s">
        <v>1514</v>
      </c>
      <c r="BQ2" s="68">
        <f t="shared" ref="BQ2:BQ34" si="3">E2</f>
        <v>46</v>
      </c>
      <c r="BR2" s="69">
        <f t="shared" ref="BR2:BR34" si="4">I2</f>
        <v>78</v>
      </c>
      <c r="BS2" s="70">
        <f t="shared" ref="BS2:BS34" si="5">M2</f>
        <v>82</v>
      </c>
      <c r="BT2" s="69">
        <f t="shared" ref="BT2:BT34" si="6">Q2</f>
        <v>114</v>
      </c>
      <c r="BU2" s="70">
        <f t="shared" ref="BU2:BU34" si="7">U2</f>
        <v>118</v>
      </c>
      <c r="BV2" s="69">
        <f t="shared" ref="BV2:BV34" si="8">Y2</f>
        <v>154</v>
      </c>
      <c r="BW2" s="70">
        <f t="shared" ref="BW2:BW34" si="9">AC2</f>
        <v>163</v>
      </c>
      <c r="BX2" s="69">
        <f t="shared" ref="BX2:BX34" si="10">AG2</f>
        <v>199</v>
      </c>
      <c r="BY2" s="70">
        <f t="shared" ref="BY2:BY34" si="11">AK2</f>
        <v>205</v>
      </c>
      <c r="BZ2" s="69">
        <f t="shared" ref="BZ2:BZ34" si="12">AO2</f>
        <v>303</v>
      </c>
      <c r="CA2" s="70">
        <f t="shared" ref="CA2:CA34" si="13">AS2</f>
        <v>347</v>
      </c>
      <c r="CB2" s="69">
        <f t="shared" ref="CB2:CB34" si="14">AW2</f>
        <v>373</v>
      </c>
      <c r="CC2" s="68">
        <f t="shared" ref="CC2:CC34" si="15">G2</f>
        <v>77</v>
      </c>
      <c r="CD2" s="69">
        <f t="shared" ref="CD2:CD34" si="16">K2</f>
        <v>81</v>
      </c>
      <c r="CE2" s="70">
        <f t="shared" ref="CE2:CE34" si="17">O2</f>
        <v>112</v>
      </c>
      <c r="CF2" s="70">
        <f t="shared" ref="CF2:CF34" si="18">S2</f>
        <v>117</v>
      </c>
      <c r="CG2" s="70">
        <f t="shared" ref="CG2:CG34" si="19">W2</f>
        <v>153</v>
      </c>
      <c r="CH2" s="70">
        <f t="shared" ref="CH2:CH34" si="20">AA2</f>
        <v>161</v>
      </c>
      <c r="CI2" s="70">
        <f t="shared" ref="CI2:CI34" si="21">AE2</f>
        <v>187</v>
      </c>
      <c r="CJ2" s="70">
        <f t="shared" ref="CJ2:CJ34" si="22">AI2</f>
        <v>201</v>
      </c>
      <c r="CK2" s="70">
        <f t="shared" ref="CK2:CK34" si="23">AM2</f>
        <v>244</v>
      </c>
      <c r="CL2" s="70">
        <f t="shared" ref="CL2:CL34" si="24">AQ2</f>
        <v>339</v>
      </c>
      <c r="CM2" s="70">
        <f t="shared" ref="CM2:CM34" si="25">AU2</f>
        <v>372</v>
      </c>
      <c r="CN2" s="70">
        <f t="shared" ref="CN2:CN34" si="26">AY2</f>
        <v>384</v>
      </c>
      <c r="CO2" s="57">
        <f t="shared" ref="CO2:CO34" si="27">M2-K2</f>
        <v>1</v>
      </c>
    </row>
    <row r="3" spans="1:93" x14ac:dyDescent="0.2">
      <c r="A3" s="3" t="str">
        <f t="shared" si="0"/>
        <v>5ht1b_human_4IAQ</v>
      </c>
      <c r="B3" s="3" t="s">
        <v>208</v>
      </c>
      <c r="C3" s="3" t="s">
        <v>1249</v>
      </c>
      <c r="D3" s="3" t="str">
        <f>IFERROR(MID(VLOOKUP($B3,Seqs!$A:$B,2,FALSE),E3,1),"")</f>
        <v>L</v>
      </c>
      <c r="E3" s="3">
        <v>46</v>
      </c>
      <c r="F3" s="3" t="str">
        <f>IFERROR(MID(VLOOKUP($B3,Seqs!$A:$B,2,FALSE),G3,1),"")</f>
        <v>T</v>
      </c>
      <c r="G3" s="3">
        <v>77</v>
      </c>
      <c r="H3" s="3" t="str">
        <f>IFERROR(MID(VLOOKUP($B3,Seqs!$A:$B,2,FALSE),I3,1),"")</f>
        <v>R</v>
      </c>
      <c r="I3" s="57">
        <v>78</v>
      </c>
      <c r="J3" s="3" t="str">
        <f>IFERROR(MID(VLOOKUP($B3,Seqs!$A:$B,2,FALSE),K3,1),"")</f>
        <v>H</v>
      </c>
      <c r="K3" s="57">
        <v>81</v>
      </c>
      <c r="L3" s="3" t="str">
        <f>IFERROR(MID(VLOOKUP($B3,Seqs!$A:$B,2,FALSE),M3,1),"")</f>
        <v>T</v>
      </c>
      <c r="M3" s="3">
        <v>82</v>
      </c>
      <c r="N3" s="3" t="str">
        <f>IFERROR(MID(VLOOKUP($B3,Seqs!$A:$B,2,FALSE),O3,1),"")</f>
        <v>T</v>
      </c>
      <c r="O3" s="3">
        <v>112</v>
      </c>
      <c r="P3" s="3" t="str">
        <f>IFERROR(MID(VLOOKUP($B3,Seqs!$A:$B,2,FALSE),Q3,1),"")</f>
        <v>R</v>
      </c>
      <c r="Q3" s="3">
        <v>114</v>
      </c>
      <c r="R3" s="3" t="str">
        <f>IFERROR(MID(VLOOKUP($B3,Seqs!$A:$B,2,FALSE),S3,1),"")</f>
        <v>L</v>
      </c>
      <c r="S3" s="3">
        <v>117</v>
      </c>
      <c r="T3" s="3" t="str">
        <f>IFERROR(MID(VLOOKUP($B3,Seqs!$A:$B,2,FALSE),U3,1),"")</f>
        <v>G</v>
      </c>
      <c r="U3" s="3">
        <v>118</v>
      </c>
      <c r="V3" s="3" t="str">
        <f>IFERROR(MID(VLOOKUP($B3,Seqs!$A:$B,2,FALSE),W3,1),"")</f>
        <v>D</v>
      </c>
      <c r="W3" s="3">
        <v>153</v>
      </c>
      <c r="X3" s="3" t="str">
        <f>IFERROR(MID(VLOOKUP($B3,Seqs!$A:$B,2,FALSE),Y3,1),"")</f>
        <v>A</v>
      </c>
      <c r="Y3" s="3">
        <v>154</v>
      </c>
      <c r="Z3" s="3" t="str">
        <f>IFERROR(MID(VLOOKUP($B3,Seqs!$A:$B,2,FALSE),AA3,1),"")</f>
        <v>R</v>
      </c>
      <c r="AA3" s="3">
        <v>161</v>
      </c>
      <c r="AB3" s="3" t="str">
        <f>IFERROR(MID(VLOOKUP($B3,Seqs!$A:$B,2,FALSE),AC3,1),"")</f>
        <v>P</v>
      </c>
      <c r="AC3" s="3">
        <v>163</v>
      </c>
      <c r="AD3" s="3" t="str">
        <f>IFERROR(MID(VLOOKUP($B3,Seqs!$A:$B,2,FALSE),AE3,1),"")</f>
        <v>P</v>
      </c>
      <c r="AE3" s="3">
        <v>184</v>
      </c>
      <c r="AF3" s="3" t="str">
        <f>IFERROR(MID(VLOOKUP($B3,Seqs!$A:$B,2,FALSE),AG3,1),"")</f>
        <v>C</v>
      </c>
      <c r="AG3" s="3">
        <v>199</v>
      </c>
      <c r="AH3" s="3" t="str">
        <f>IFERROR(MID(VLOOKUP($B3,Seqs!$A:$B,2,FALSE),AI3,1),"")</f>
        <v>V</v>
      </c>
      <c r="AI3" s="3">
        <v>201</v>
      </c>
      <c r="AJ3" s="3" t="str">
        <f>IFERROR(MID(VLOOKUP($B3,Seqs!$A:$B,2,FALSE),AK3,1),"")</f>
        <v>H</v>
      </c>
      <c r="AK3" s="3">
        <v>205</v>
      </c>
      <c r="AL3" s="3" t="str">
        <f>IFERROR(MID(VLOOKUP($B3,Seqs!$A:$B,2,FALSE),AM3,1),"")</f>
        <v>R</v>
      </c>
      <c r="AM3" s="3">
        <v>238</v>
      </c>
      <c r="AN3" s="3" t="str">
        <f>IFERROR(MID(VLOOKUP($B3,Seqs!$A:$B,2,FALSE),AO3,1),"")</f>
        <v>L</v>
      </c>
      <c r="AO3" s="3">
        <v>304</v>
      </c>
      <c r="AP3" s="3" t="str">
        <f>IFERROR(MID(VLOOKUP($B3,Seqs!$A:$B,2,FALSE),AQ3,1),"")</f>
        <v>I</v>
      </c>
      <c r="AQ3" s="3">
        <v>339</v>
      </c>
      <c r="AR3" s="3" t="str">
        <f>IFERROR(MID(VLOOKUP($B3,Seqs!$A:$B,2,FALSE),AS3,1),"")</f>
        <v>L</v>
      </c>
      <c r="AS3" s="3">
        <v>348</v>
      </c>
      <c r="AT3" s="3" t="str">
        <f>IFERROR(MID(VLOOKUP($B3,Seqs!$A:$B,2,FALSE),AU3,1),"")</f>
        <v>S</v>
      </c>
      <c r="AU3" s="3">
        <v>372</v>
      </c>
      <c r="AV3" s="3" t="str">
        <f>IFERROR(MID(VLOOKUP($B3,Seqs!$A:$B,2,FALSE),AW3,1),"")</f>
        <v>N</v>
      </c>
      <c r="AW3" s="3">
        <v>373</v>
      </c>
      <c r="AX3" s="3" t="str">
        <f>IFERROR(MID(VLOOKUP($B3,Seqs!$A:$B,2,FALSE),AY3,1),"")</f>
        <v>I</v>
      </c>
      <c r="AY3" s="3">
        <v>384</v>
      </c>
      <c r="AZ3" s="83" t="str">
        <f>VLOOKUP(B3,Classification!A:D,2,FALSE)</f>
        <v>A</v>
      </c>
      <c r="BB3" s="35" t="s">
        <v>1315</v>
      </c>
      <c r="BC3" s="57">
        <f t="shared" si="1"/>
        <v>247</v>
      </c>
      <c r="BD3" s="63" t="b">
        <f t="shared" si="2"/>
        <v>1</v>
      </c>
      <c r="BE3" s="68" t="s">
        <v>1514</v>
      </c>
      <c r="BF3" s="75" t="s">
        <v>1514</v>
      </c>
      <c r="BG3" s="75" t="s">
        <v>1514</v>
      </c>
      <c r="BH3" s="75" t="s">
        <v>1514</v>
      </c>
      <c r="BI3" s="75" t="s">
        <v>1514</v>
      </c>
      <c r="BJ3" s="75" t="s">
        <v>1514</v>
      </c>
      <c r="BK3" s="75" t="s">
        <v>1514</v>
      </c>
      <c r="BL3" s="75" t="s">
        <v>1514</v>
      </c>
      <c r="BM3" s="75" t="s">
        <v>1514</v>
      </c>
      <c r="BN3" s="75" t="s">
        <v>1514</v>
      </c>
      <c r="BO3" s="75" t="s">
        <v>1514</v>
      </c>
      <c r="BP3" s="75" t="s">
        <v>1514</v>
      </c>
      <c r="BQ3" s="68">
        <f t="shared" si="3"/>
        <v>46</v>
      </c>
      <c r="BR3" s="69">
        <f t="shared" si="4"/>
        <v>78</v>
      </c>
      <c r="BS3" s="70">
        <f t="shared" si="5"/>
        <v>82</v>
      </c>
      <c r="BT3" s="69">
        <f t="shared" si="6"/>
        <v>114</v>
      </c>
      <c r="BU3" s="70">
        <f t="shared" si="7"/>
        <v>118</v>
      </c>
      <c r="BV3" s="69">
        <f t="shared" si="8"/>
        <v>154</v>
      </c>
      <c r="BW3" s="70">
        <f t="shared" si="9"/>
        <v>163</v>
      </c>
      <c r="BX3" s="69">
        <f t="shared" si="10"/>
        <v>199</v>
      </c>
      <c r="BY3" s="70">
        <f t="shared" si="11"/>
        <v>205</v>
      </c>
      <c r="BZ3" s="69">
        <f t="shared" si="12"/>
        <v>304</v>
      </c>
      <c r="CA3" s="70">
        <f t="shared" si="13"/>
        <v>348</v>
      </c>
      <c r="CB3" s="69">
        <f t="shared" si="14"/>
        <v>373</v>
      </c>
      <c r="CC3" s="68">
        <f t="shared" si="15"/>
        <v>77</v>
      </c>
      <c r="CD3" s="69">
        <f t="shared" si="16"/>
        <v>81</v>
      </c>
      <c r="CE3" s="70">
        <f t="shared" si="17"/>
        <v>112</v>
      </c>
      <c r="CF3" s="70">
        <f t="shared" si="18"/>
        <v>117</v>
      </c>
      <c r="CG3" s="70">
        <f t="shared" si="19"/>
        <v>153</v>
      </c>
      <c r="CH3" s="70">
        <f t="shared" si="20"/>
        <v>161</v>
      </c>
      <c r="CI3" s="70">
        <f t="shared" si="21"/>
        <v>184</v>
      </c>
      <c r="CJ3" s="70">
        <f t="shared" si="22"/>
        <v>201</v>
      </c>
      <c r="CK3" s="70">
        <f t="shared" si="23"/>
        <v>238</v>
      </c>
      <c r="CL3" s="70">
        <f t="shared" si="24"/>
        <v>339</v>
      </c>
      <c r="CM3" s="70">
        <f t="shared" si="25"/>
        <v>372</v>
      </c>
      <c r="CN3" s="70">
        <f t="shared" si="26"/>
        <v>384</v>
      </c>
      <c r="CO3" s="57">
        <f t="shared" si="27"/>
        <v>1</v>
      </c>
    </row>
    <row r="4" spans="1:93" x14ac:dyDescent="0.2">
      <c r="A4" s="3" t="str">
        <f t="shared" si="0"/>
        <v>5ht1b_human_4IAR</v>
      </c>
      <c r="B4" s="3" t="s">
        <v>208</v>
      </c>
      <c r="C4" s="3" t="s">
        <v>251</v>
      </c>
      <c r="D4" s="3" t="str">
        <f>IFERROR(MID(VLOOKUP($B4,Seqs!$A:$B,2,FALSE),E4,1),"")</f>
        <v>L</v>
      </c>
      <c r="E4" s="3">
        <v>46</v>
      </c>
      <c r="F4" s="3" t="str">
        <f>IFERROR(MID(VLOOKUP($B4,Seqs!$A:$B,2,FALSE),G4,1),"")</f>
        <v>T</v>
      </c>
      <c r="G4" s="3">
        <v>77</v>
      </c>
      <c r="H4" s="3" t="str">
        <f>IFERROR(MID(VLOOKUP($B4,Seqs!$A:$B,2,FALSE),I4,1),"")</f>
        <v>R</v>
      </c>
      <c r="I4" s="57">
        <v>78</v>
      </c>
      <c r="J4" s="3" t="str">
        <f>IFERROR(MID(VLOOKUP($B4,Seqs!$A:$B,2,FALSE),K4,1),"")</f>
        <v>H</v>
      </c>
      <c r="K4" s="57">
        <v>81</v>
      </c>
      <c r="L4" s="3" t="str">
        <f>IFERROR(MID(VLOOKUP($B4,Seqs!$A:$B,2,FALSE),M4,1),"")</f>
        <v>T</v>
      </c>
      <c r="M4" s="3">
        <v>82</v>
      </c>
      <c r="N4" s="3" t="str">
        <f>IFERROR(MID(VLOOKUP($B4,Seqs!$A:$B,2,FALSE),O4,1),"")</f>
        <v>T</v>
      </c>
      <c r="O4" s="3">
        <v>112</v>
      </c>
      <c r="P4" s="3" t="str">
        <f>IFERROR(MID(VLOOKUP($B4,Seqs!$A:$B,2,FALSE),Q4,1),"")</f>
        <v>R</v>
      </c>
      <c r="Q4" s="3">
        <v>114</v>
      </c>
      <c r="R4" s="3" t="str">
        <f>IFERROR(MID(VLOOKUP($B4,Seqs!$A:$B,2,FALSE),S4,1),"")</f>
        <v>L</v>
      </c>
      <c r="S4" s="3">
        <v>117</v>
      </c>
      <c r="T4" s="3" t="str">
        <f>IFERROR(MID(VLOOKUP($B4,Seqs!$A:$B,2,FALSE),U4,1),"")</f>
        <v>G</v>
      </c>
      <c r="U4" s="3">
        <v>118</v>
      </c>
      <c r="V4" s="3" t="str">
        <f>IFERROR(MID(VLOOKUP($B4,Seqs!$A:$B,2,FALSE),W4,1),"")</f>
        <v>D</v>
      </c>
      <c r="W4" s="3">
        <v>153</v>
      </c>
      <c r="X4" s="3" t="str">
        <f>IFERROR(MID(VLOOKUP($B4,Seqs!$A:$B,2,FALSE),Y4,1),"")</f>
        <v>A</v>
      </c>
      <c r="Y4" s="3">
        <v>154</v>
      </c>
      <c r="Z4" s="3" t="str">
        <f>IFERROR(MID(VLOOKUP($B4,Seqs!$A:$B,2,FALSE),AA4,1),"")</f>
        <v>R</v>
      </c>
      <c r="AA4" s="3">
        <v>161</v>
      </c>
      <c r="AB4" s="3" t="str">
        <f>IFERROR(MID(VLOOKUP($B4,Seqs!$A:$B,2,FALSE),AC4,1),"")</f>
        <v>P</v>
      </c>
      <c r="AC4" s="3">
        <v>163</v>
      </c>
      <c r="AD4" s="3" t="str">
        <f>IFERROR(MID(VLOOKUP($B4,Seqs!$A:$B,2,FALSE),AE4,1),"")</f>
        <v>P</v>
      </c>
      <c r="AE4" s="3">
        <v>184</v>
      </c>
      <c r="AF4" s="3" t="str">
        <f>IFERROR(MID(VLOOKUP($B4,Seqs!$A:$B,2,FALSE),AG4,1),"")</f>
        <v>C</v>
      </c>
      <c r="AG4" s="3">
        <v>199</v>
      </c>
      <c r="AH4" s="3" t="str">
        <f>IFERROR(MID(VLOOKUP($B4,Seqs!$A:$B,2,FALSE),AI4,1),"")</f>
        <v>V</v>
      </c>
      <c r="AI4" s="3">
        <v>201</v>
      </c>
      <c r="AJ4" s="3" t="str">
        <f>IFERROR(MID(VLOOKUP($B4,Seqs!$A:$B,2,FALSE),AK4,1),"")</f>
        <v>H</v>
      </c>
      <c r="AK4" s="3">
        <v>205</v>
      </c>
      <c r="AL4" s="3" t="str">
        <f>IFERROR(MID(VLOOKUP($B4,Seqs!$A:$B,2,FALSE),AM4,1),"")</f>
        <v>I</v>
      </c>
      <c r="AM4" s="3">
        <v>239</v>
      </c>
      <c r="AN4" s="3" t="str">
        <f>IFERROR(MID(VLOOKUP($B4,Seqs!$A:$B,2,FALSE),AO4,1),"")</f>
        <v>R</v>
      </c>
      <c r="AO4" s="3">
        <v>310</v>
      </c>
      <c r="AP4" s="3" t="str">
        <f>IFERROR(MID(VLOOKUP($B4,Seqs!$A:$B,2,FALSE),AQ4,1),"")</f>
        <v>I</v>
      </c>
      <c r="AQ4" s="3">
        <v>339</v>
      </c>
      <c r="AR4" s="3" t="str">
        <f>IFERROR(MID(VLOOKUP($B4,Seqs!$A:$B,2,FALSE),AS4,1),"")</f>
        <v>H</v>
      </c>
      <c r="AS4" s="3">
        <v>347</v>
      </c>
      <c r="AT4" s="3" t="str">
        <f>IFERROR(MID(VLOOKUP($B4,Seqs!$A:$B,2,FALSE),AU4,1),"")</f>
        <v>M</v>
      </c>
      <c r="AU4" s="3">
        <v>371</v>
      </c>
      <c r="AV4" s="3" t="str">
        <f>IFERROR(MID(VLOOKUP($B4,Seqs!$A:$B,2,FALSE),AW4,1),"")</f>
        <v>N</v>
      </c>
      <c r="AW4" s="3">
        <v>373</v>
      </c>
      <c r="AX4" s="3" t="str">
        <f>IFERROR(MID(VLOOKUP($B4,Seqs!$A:$B,2,FALSE),AY4,1),"")</f>
        <v>I</v>
      </c>
      <c r="AY4" s="3">
        <v>384</v>
      </c>
      <c r="AZ4" s="83" t="str">
        <f>VLOOKUP(B4,Classification!A:D,2,FALSE)</f>
        <v>A</v>
      </c>
      <c r="BC4" s="57">
        <f t="shared" si="1"/>
        <v>242</v>
      </c>
      <c r="BD4" s="63" t="b">
        <f t="shared" si="2"/>
        <v>1</v>
      </c>
      <c r="BE4" s="68" t="s">
        <v>1514</v>
      </c>
      <c r="BF4" s="75" t="s">
        <v>1514</v>
      </c>
      <c r="BG4" s="75" t="s">
        <v>1514</v>
      </c>
      <c r="BH4" s="75" t="s">
        <v>1514</v>
      </c>
      <c r="BI4" s="75" t="s">
        <v>1514</v>
      </c>
      <c r="BJ4" s="75" t="s">
        <v>1514</v>
      </c>
      <c r="BK4" s="75" t="s">
        <v>1514</v>
      </c>
      <c r="BL4" s="75" t="s">
        <v>1514</v>
      </c>
      <c r="BM4" s="75" t="s">
        <v>1514</v>
      </c>
      <c r="BN4" s="75" t="s">
        <v>1514</v>
      </c>
      <c r="BO4" s="75" t="s">
        <v>1514</v>
      </c>
      <c r="BP4" s="75" t="s">
        <v>1514</v>
      </c>
      <c r="BQ4" s="68">
        <f t="shared" si="3"/>
        <v>46</v>
      </c>
      <c r="BR4" s="69">
        <f t="shared" si="4"/>
        <v>78</v>
      </c>
      <c r="BS4" s="70">
        <f t="shared" si="5"/>
        <v>82</v>
      </c>
      <c r="BT4" s="69">
        <f t="shared" si="6"/>
        <v>114</v>
      </c>
      <c r="BU4" s="70">
        <f t="shared" si="7"/>
        <v>118</v>
      </c>
      <c r="BV4" s="69">
        <f t="shared" si="8"/>
        <v>154</v>
      </c>
      <c r="BW4" s="70">
        <f t="shared" si="9"/>
        <v>163</v>
      </c>
      <c r="BX4" s="69">
        <f t="shared" si="10"/>
        <v>199</v>
      </c>
      <c r="BY4" s="70">
        <f t="shared" si="11"/>
        <v>205</v>
      </c>
      <c r="BZ4" s="69">
        <f t="shared" si="12"/>
        <v>310</v>
      </c>
      <c r="CA4" s="70">
        <f t="shared" si="13"/>
        <v>347</v>
      </c>
      <c r="CB4" s="69">
        <f t="shared" si="14"/>
        <v>373</v>
      </c>
      <c r="CC4" s="68">
        <f t="shared" si="15"/>
        <v>77</v>
      </c>
      <c r="CD4" s="69">
        <f t="shared" si="16"/>
        <v>81</v>
      </c>
      <c r="CE4" s="70">
        <f t="shared" si="17"/>
        <v>112</v>
      </c>
      <c r="CF4" s="70">
        <f t="shared" si="18"/>
        <v>117</v>
      </c>
      <c r="CG4" s="70">
        <f t="shared" si="19"/>
        <v>153</v>
      </c>
      <c r="CH4" s="70">
        <f t="shared" si="20"/>
        <v>161</v>
      </c>
      <c r="CI4" s="70">
        <f t="shared" si="21"/>
        <v>184</v>
      </c>
      <c r="CJ4" s="70">
        <f t="shared" si="22"/>
        <v>201</v>
      </c>
      <c r="CK4" s="70">
        <f t="shared" si="23"/>
        <v>239</v>
      </c>
      <c r="CL4" s="70">
        <f t="shared" si="24"/>
        <v>339</v>
      </c>
      <c r="CM4" s="70">
        <f t="shared" si="25"/>
        <v>371</v>
      </c>
      <c r="CN4" s="70">
        <f t="shared" si="26"/>
        <v>384</v>
      </c>
      <c r="CO4" s="57">
        <f t="shared" si="27"/>
        <v>1</v>
      </c>
    </row>
    <row r="5" spans="1:93" x14ac:dyDescent="0.2">
      <c r="A5" s="3" t="str">
        <f t="shared" si="0"/>
        <v>5ht2b_human__wt</v>
      </c>
      <c r="B5" s="3" t="s">
        <v>209</v>
      </c>
      <c r="C5" s="3" t="s">
        <v>294</v>
      </c>
      <c r="D5" s="3" t="str">
        <f>IFERROR(MID(VLOOKUP($B5,Seqs!$A:$B,2,FALSE),E5,1),"")</f>
        <v>L</v>
      </c>
      <c r="E5" s="3">
        <v>54</v>
      </c>
      <c r="F5" s="3" t="str">
        <f>IFERROR(MID(VLOOKUP($B5,Seqs!$A:$B,2,FALSE),G5,1),"")</f>
        <v>E</v>
      </c>
      <c r="G5" s="3">
        <v>82</v>
      </c>
      <c r="H5" s="3" t="str">
        <f>IFERROR(MID(VLOOKUP($B5,Seqs!$A:$B,2,FALSE),I5,1),"")</f>
        <v>K</v>
      </c>
      <c r="I5" s="57">
        <v>83</v>
      </c>
      <c r="J5" s="3" t="str">
        <f>IFERROR(MID(VLOOKUP($B5,Seqs!$A:$B,2,FALSE),K5,1),"")</f>
        <v>Q</v>
      </c>
      <c r="K5" s="57">
        <v>86</v>
      </c>
      <c r="L5" s="3" t="str">
        <f>IFERROR(MID(VLOOKUP($B5,Seqs!$A:$B,2,FALSE),M5,1),"")</f>
        <v>Y</v>
      </c>
      <c r="M5" s="3">
        <v>87</v>
      </c>
      <c r="N5" s="3" t="str">
        <f>IFERROR(MID(VLOOKUP($B5,Seqs!$A:$B,2,FALSE),O5,1),"")</f>
        <v>F</v>
      </c>
      <c r="O5" s="3">
        <v>117</v>
      </c>
      <c r="P5" s="3" t="str">
        <f>IFERROR(MID(VLOOKUP($B5,Seqs!$A:$B,2,FALSE),Q5,1),"")</f>
        <v>M</v>
      </c>
      <c r="Q5" s="3">
        <v>120</v>
      </c>
      <c r="R5" s="3" t="str">
        <f>IFERROR(MID(VLOOKUP($B5,Seqs!$A:$B,2,FALSE),S5,1),"")</f>
        <v>L</v>
      </c>
      <c r="S5" s="3">
        <v>123</v>
      </c>
      <c r="T5" s="3" t="str">
        <f>IFERROR(MID(VLOOKUP($B5,Seqs!$A:$B,2,FALSE),U5,1),"")</f>
        <v>P</v>
      </c>
      <c r="U5" s="3">
        <v>124</v>
      </c>
      <c r="V5" s="3" t="str">
        <f>IFERROR(MID(VLOOKUP($B5,Seqs!$A:$B,2,FALSE),W5,1),"")</f>
        <v>K</v>
      </c>
      <c r="W5" s="3">
        <v>159</v>
      </c>
      <c r="X5" s="3" t="str">
        <f>IFERROR(MID(VLOOKUP($B5,Seqs!$A:$B,2,FALSE),Y5,1),"")</f>
        <v>P</v>
      </c>
      <c r="Y5" s="3">
        <v>160</v>
      </c>
      <c r="Z5" s="3" t="str">
        <f>IFERROR(MID(VLOOKUP($B5,Seqs!$A:$B,2,FALSE),AA5,1),"")</f>
        <v>N</v>
      </c>
      <c r="AA5" s="3">
        <v>167</v>
      </c>
      <c r="AB5" s="3" t="str">
        <f>IFERROR(MID(VLOOKUP($B5,Seqs!$A:$B,2,FALSE),AC5,1),"")</f>
        <v>R</v>
      </c>
      <c r="AC5" s="3">
        <v>169</v>
      </c>
      <c r="AD5" s="3" t="str">
        <f>IFERROR(MID(VLOOKUP($B5,Seqs!$A:$B,2,FALSE),AE5,1),"")</f>
        <v>G</v>
      </c>
      <c r="AE5" s="3">
        <v>194</v>
      </c>
      <c r="AF5" s="3" t="str">
        <f>IFERROR(MID(VLOOKUP($B5,Seqs!$A:$B,2,FALSE),AG5,1),"")</f>
        <v>C</v>
      </c>
      <c r="AG5" s="3">
        <v>207</v>
      </c>
      <c r="AH5" s="3" t="str">
        <f>IFERROR(MID(VLOOKUP($B5,Seqs!$A:$B,2,FALSE),AI5,1),"")</f>
        <v>L</v>
      </c>
      <c r="AI5" s="3">
        <v>209</v>
      </c>
      <c r="AJ5" s="3" t="str">
        <f>IFERROR(MID(VLOOKUP($B5,Seqs!$A:$B,2,FALSE),AK5,1),"")</f>
        <v>F</v>
      </c>
      <c r="AK5" s="3">
        <v>214</v>
      </c>
      <c r="AL5" s="3" t="str">
        <f>IFERROR(MID(VLOOKUP($B5,Seqs!$A:$B,2,FALSE),AM5,1),"")</f>
        <v>P</v>
      </c>
      <c r="AM5" s="3">
        <v>255</v>
      </c>
      <c r="AN5" s="3" t="str">
        <f>IFERROR(MID(VLOOKUP($B5,Seqs!$A:$B,2,FALSE),AO5,1),"")</f>
        <v>V</v>
      </c>
      <c r="AO5" s="3">
        <v>313</v>
      </c>
      <c r="AP5" s="3" t="str">
        <f>IFERROR(MID(VLOOKUP($B5,Seqs!$A:$B,2,FALSE),AQ5,1),"")</f>
        <v>C</v>
      </c>
      <c r="AQ5" s="3">
        <v>350</v>
      </c>
      <c r="AR5" s="3" t="str">
        <f>IFERROR(MID(VLOOKUP($B5,Seqs!$A:$B,2,FALSE),AS5,1),"")</f>
        <v>Q</v>
      </c>
      <c r="AS5" s="3">
        <v>355</v>
      </c>
      <c r="AT5" s="3" t="str">
        <f>IFERROR(MID(VLOOKUP($B5,Seqs!$A:$B,2,FALSE),AU5,1),"")</f>
        <v>F</v>
      </c>
      <c r="AU5" s="3">
        <v>383</v>
      </c>
      <c r="AV5" s="3" t="str">
        <f>IFERROR(MID(VLOOKUP($B5,Seqs!$A:$B,2,FALSE),AW5,1),"")</f>
        <v>N</v>
      </c>
      <c r="AW5" s="3">
        <v>384</v>
      </c>
      <c r="AX5" s="3" t="str">
        <f>IFERROR(MID(VLOOKUP($B5,Seqs!$A:$B,2,FALSE),AY5,1),"")</f>
        <v>I</v>
      </c>
      <c r="AY5" s="3">
        <v>395</v>
      </c>
      <c r="AZ5" s="83" t="str">
        <f>VLOOKUP(B5,Classification!A:D,2,FALSE)</f>
        <v>A</v>
      </c>
      <c r="BB5" s="82">
        <f>S5-Q5+1</f>
        <v>4</v>
      </c>
      <c r="BC5" s="57">
        <f t="shared" si="1"/>
        <v>262</v>
      </c>
      <c r="BD5" s="63" t="b">
        <f t="shared" si="2"/>
        <v>1</v>
      </c>
      <c r="BE5" s="68" t="s">
        <v>1514</v>
      </c>
      <c r="BF5" s="75" t="s">
        <v>1514</v>
      </c>
      <c r="BG5" s="75" t="s">
        <v>1514</v>
      </c>
      <c r="BH5" s="75" t="s">
        <v>1514</v>
      </c>
      <c r="BI5" s="75" t="s">
        <v>1514</v>
      </c>
      <c r="BJ5" s="75" t="s">
        <v>1514</v>
      </c>
      <c r="BK5" s="75" t="s">
        <v>1514</v>
      </c>
      <c r="BL5" s="75" t="s">
        <v>1514</v>
      </c>
      <c r="BM5" s="75" t="s">
        <v>1514</v>
      </c>
      <c r="BN5" s="75" t="s">
        <v>1514</v>
      </c>
      <c r="BO5" s="75" t="s">
        <v>1514</v>
      </c>
      <c r="BP5" s="75" t="s">
        <v>1514</v>
      </c>
      <c r="BQ5" s="68">
        <f t="shared" si="3"/>
        <v>54</v>
      </c>
      <c r="BR5" s="69">
        <f t="shared" si="4"/>
        <v>83</v>
      </c>
      <c r="BS5" s="70">
        <f t="shared" si="5"/>
        <v>87</v>
      </c>
      <c r="BT5" s="69">
        <f t="shared" si="6"/>
        <v>120</v>
      </c>
      <c r="BU5" s="70">
        <f t="shared" si="7"/>
        <v>124</v>
      </c>
      <c r="BV5" s="69">
        <f t="shared" si="8"/>
        <v>160</v>
      </c>
      <c r="BW5" s="70">
        <f t="shared" si="9"/>
        <v>169</v>
      </c>
      <c r="BX5" s="69">
        <f t="shared" si="10"/>
        <v>207</v>
      </c>
      <c r="BY5" s="70">
        <f t="shared" si="11"/>
        <v>214</v>
      </c>
      <c r="BZ5" s="69">
        <f t="shared" si="12"/>
        <v>313</v>
      </c>
      <c r="CA5" s="70">
        <f t="shared" si="13"/>
        <v>355</v>
      </c>
      <c r="CB5" s="69">
        <f t="shared" si="14"/>
        <v>384</v>
      </c>
      <c r="CC5" s="68">
        <f t="shared" si="15"/>
        <v>82</v>
      </c>
      <c r="CD5" s="69">
        <f t="shared" si="16"/>
        <v>86</v>
      </c>
      <c r="CE5" s="70">
        <f t="shared" si="17"/>
        <v>117</v>
      </c>
      <c r="CF5" s="70">
        <f t="shared" si="18"/>
        <v>123</v>
      </c>
      <c r="CG5" s="70">
        <f t="shared" si="19"/>
        <v>159</v>
      </c>
      <c r="CH5" s="70">
        <f t="shared" si="20"/>
        <v>167</v>
      </c>
      <c r="CI5" s="70">
        <f t="shared" si="21"/>
        <v>194</v>
      </c>
      <c r="CJ5" s="70">
        <f t="shared" si="22"/>
        <v>209</v>
      </c>
      <c r="CK5" s="70">
        <f t="shared" si="23"/>
        <v>255</v>
      </c>
      <c r="CL5" s="70">
        <f t="shared" si="24"/>
        <v>350</v>
      </c>
      <c r="CM5" s="70">
        <f t="shared" si="25"/>
        <v>383</v>
      </c>
      <c r="CN5" s="70">
        <f t="shared" si="26"/>
        <v>395</v>
      </c>
      <c r="CO5" s="57">
        <f t="shared" si="27"/>
        <v>1</v>
      </c>
    </row>
    <row r="6" spans="1:93" x14ac:dyDescent="0.2">
      <c r="A6" s="3" t="str">
        <f t="shared" ref="A6" si="28">CONCATENATE(B6,"_",C6)</f>
        <v>5ht2b_human_4IB4</v>
      </c>
      <c r="B6" s="3" t="s">
        <v>209</v>
      </c>
      <c r="C6" s="3" t="s">
        <v>261</v>
      </c>
      <c r="D6" s="3" t="str">
        <f>IFERROR(MID(VLOOKUP($B6,Seqs!$A:$B,2,FALSE),E6,1),"")</f>
        <v>L</v>
      </c>
      <c r="E6" s="3">
        <v>54</v>
      </c>
      <c r="F6" s="3" t="str">
        <f>IFERROR(MID(VLOOKUP($B6,Seqs!$A:$B,2,FALSE),G6,1),"")</f>
        <v>E</v>
      </c>
      <c r="G6" s="3">
        <v>82</v>
      </c>
      <c r="H6" s="3" t="str">
        <f>IFERROR(MID(VLOOKUP($B6,Seqs!$A:$B,2,FALSE),I6,1),"")</f>
        <v>K</v>
      </c>
      <c r="I6" s="57">
        <v>83</v>
      </c>
      <c r="J6" s="3" t="str">
        <f>IFERROR(MID(VLOOKUP($B6,Seqs!$A:$B,2,FALSE),K6,1),"")</f>
        <v>Q</v>
      </c>
      <c r="K6" s="57">
        <v>86</v>
      </c>
      <c r="L6" s="3" t="str">
        <f>IFERROR(MID(VLOOKUP($B6,Seqs!$A:$B,2,FALSE),M6,1),"")</f>
        <v>Y</v>
      </c>
      <c r="M6" s="3">
        <v>87</v>
      </c>
      <c r="N6" s="3" t="str">
        <f>IFERROR(MID(VLOOKUP($B6,Seqs!$A:$B,2,FALSE),O6,1),"")</f>
        <v>F</v>
      </c>
      <c r="O6" s="3">
        <v>117</v>
      </c>
      <c r="P6" s="3" t="str">
        <f>IFERROR(MID(VLOOKUP($B6,Seqs!$A:$B,2,FALSE),Q6,1),"")</f>
        <v>M</v>
      </c>
      <c r="Q6" s="3">
        <v>120</v>
      </c>
      <c r="R6" s="3" t="str">
        <f>IFERROR(MID(VLOOKUP($B6,Seqs!$A:$B,2,FALSE),S6,1),"")</f>
        <v>L</v>
      </c>
      <c r="S6" s="3">
        <v>123</v>
      </c>
      <c r="T6" s="3" t="str">
        <f>IFERROR(MID(VLOOKUP($B6,Seqs!$A:$B,2,FALSE),U6,1),"")</f>
        <v>P</v>
      </c>
      <c r="U6" s="3">
        <v>124</v>
      </c>
      <c r="V6" s="3" t="str">
        <f>IFERROR(MID(VLOOKUP($B6,Seqs!$A:$B,2,FALSE),W6,1),"")</f>
        <v>K</v>
      </c>
      <c r="W6" s="3">
        <v>159</v>
      </c>
      <c r="X6" s="3" t="str">
        <f>IFERROR(MID(VLOOKUP($B6,Seqs!$A:$B,2,FALSE),Y6,1),"")</f>
        <v/>
      </c>
      <c r="Y6" s="3" t="s">
        <v>129</v>
      </c>
      <c r="Z6" s="3" t="str">
        <f>IFERROR(MID(VLOOKUP($B6,Seqs!$A:$B,2,FALSE),AA6,1),"")</f>
        <v/>
      </c>
      <c r="AA6" s="3" t="s">
        <v>129</v>
      </c>
      <c r="AB6" s="3" t="str">
        <f>IFERROR(MID(VLOOKUP($B6,Seqs!$A:$B,2,FALSE),AC6,1),"")</f>
        <v>A</v>
      </c>
      <c r="AC6" s="3">
        <v>170</v>
      </c>
      <c r="AD6" s="3" t="str">
        <f>IFERROR(MID(VLOOKUP($B6,Seqs!$A:$B,2,FALSE),AE6,1),"")</f>
        <v>G</v>
      </c>
      <c r="AE6" s="3">
        <v>194</v>
      </c>
      <c r="AF6" s="3" t="str">
        <f>IFERROR(MID(VLOOKUP($B6,Seqs!$A:$B,2,FALSE),AG6,1),"")</f>
        <v>C</v>
      </c>
      <c r="AG6" s="3">
        <v>207</v>
      </c>
      <c r="AH6" s="3" t="str">
        <f>IFERROR(MID(VLOOKUP($B6,Seqs!$A:$B,2,FALSE),AI6,1),"")</f>
        <v>L</v>
      </c>
      <c r="AI6" s="3">
        <v>209</v>
      </c>
      <c r="AJ6" s="3" t="str">
        <f>IFERROR(MID(VLOOKUP($B6,Seqs!$A:$B,2,FALSE),AK6,1),"")</f>
        <v>F</v>
      </c>
      <c r="AK6" s="3">
        <v>214</v>
      </c>
      <c r="AL6" s="3" t="str">
        <f>IFERROR(MID(VLOOKUP($B6,Seqs!$A:$B,2,FALSE),AM6,1),"")</f>
        <v>K</v>
      </c>
      <c r="AM6" s="3">
        <v>246</v>
      </c>
      <c r="AN6" s="3" t="str">
        <f>IFERROR(MID(VLOOKUP($B6,Seqs!$A:$B,2,FALSE),AO6,1),"")</f>
        <v>S</v>
      </c>
      <c r="AO6" s="3">
        <v>317</v>
      </c>
      <c r="AP6" s="3" t="str">
        <f>IFERROR(MID(VLOOKUP($B6,Seqs!$A:$B,2,FALSE),AQ6,1),"")</f>
        <v>C</v>
      </c>
      <c r="AQ6" s="3">
        <v>350</v>
      </c>
      <c r="AR6" s="3" t="str">
        <f>IFERROR(MID(VLOOKUP($B6,Seqs!$A:$B,2,FALSE),AS6,1),"")</f>
        <v>Q</v>
      </c>
      <c r="AS6" s="3">
        <v>355</v>
      </c>
      <c r="AT6" s="3" t="str">
        <f>IFERROR(MID(VLOOKUP($B6,Seqs!$A:$B,2,FALSE),AU6,1),"")</f>
        <v>F</v>
      </c>
      <c r="AU6" s="3">
        <v>383</v>
      </c>
      <c r="AV6" s="3" t="str">
        <f>IFERROR(MID(VLOOKUP($B6,Seqs!$A:$B,2,FALSE),AW6,1),"")</f>
        <v>N</v>
      </c>
      <c r="AW6" s="3">
        <v>384</v>
      </c>
      <c r="AX6" s="3" t="str">
        <f>IFERROR(MID(VLOOKUP($B6,Seqs!$A:$B,2,FALSE),AY6,1),"")</f>
        <v>I</v>
      </c>
      <c r="AY6" s="3">
        <v>395</v>
      </c>
      <c r="AZ6" s="83" t="str">
        <f>VLOOKUP(B6,Classification!A:D,2,FALSE)</f>
        <v>A</v>
      </c>
      <c r="BB6" s="35" t="s">
        <v>1315</v>
      </c>
      <c r="BC6" s="57">
        <f t="shared" ref="BC6" si="29">_xlfn.AGGREGATE(9,6,CC6:CN6)-_xlfn.AGGREGATE(9,6,BQ6:CB6)+12</f>
        <v>241</v>
      </c>
      <c r="BD6" s="63" t="b">
        <f t="shared" ref="BD6" si="30"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E6" s="68" t="s">
        <v>1514</v>
      </c>
      <c r="BF6" s="75" t="s">
        <v>1514</v>
      </c>
      <c r="BG6" s="75" t="s">
        <v>1514</v>
      </c>
      <c r="BH6" s="75" t="s">
        <v>1514</v>
      </c>
      <c r="BI6" s="75" t="s">
        <v>1514</v>
      </c>
      <c r="BJ6" s="75" t="s">
        <v>1514</v>
      </c>
      <c r="BK6" s="75" t="s">
        <v>1514</v>
      </c>
      <c r="BL6" s="75" t="s">
        <v>1514</v>
      </c>
      <c r="BM6" s="75" t="s">
        <v>1514</v>
      </c>
      <c r="BN6" s="75" t="s">
        <v>1514</v>
      </c>
      <c r="BO6" s="75" t="s">
        <v>1514</v>
      </c>
      <c r="BP6" s="75" t="s">
        <v>1514</v>
      </c>
      <c r="BQ6" s="68">
        <f t="shared" ref="BQ6" si="31">E6</f>
        <v>54</v>
      </c>
      <c r="BR6" s="69">
        <f t="shared" ref="BR6" si="32">I6</f>
        <v>83</v>
      </c>
      <c r="BS6" s="70">
        <f t="shared" ref="BS6" si="33">M6</f>
        <v>87</v>
      </c>
      <c r="BT6" s="69">
        <f t="shared" ref="BT6" si="34">Q6</f>
        <v>120</v>
      </c>
      <c r="BU6" s="70">
        <f t="shared" ref="BU6" si="35">U6</f>
        <v>124</v>
      </c>
      <c r="BV6" s="69" t="str">
        <f t="shared" ref="BV6" si="36">Y6</f>
        <v>-</v>
      </c>
      <c r="BW6" s="70">
        <f t="shared" ref="BW6" si="37">AC6</f>
        <v>170</v>
      </c>
      <c r="BX6" s="69">
        <f t="shared" ref="BX6" si="38">AG6</f>
        <v>207</v>
      </c>
      <c r="BY6" s="70">
        <f t="shared" ref="BY6" si="39">AK6</f>
        <v>214</v>
      </c>
      <c r="BZ6" s="69">
        <f t="shared" ref="BZ6" si="40">AO6</f>
        <v>317</v>
      </c>
      <c r="CA6" s="70">
        <f t="shared" ref="CA6" si="41">AS6</f>
        <v>355</v>
      </c>
      <c r="CB6" s="69">
        <f t="shared" ref="CB6" si="42">AW6</f>
        <v>384</v>
      </c>
      <c r="CC6" s="68">
        <f t="shared" ref="CC6" si="43">G6</f>
        <v>82</v>
      </c>
      <c r="CD6" s="69">
        <f t="shared" ref="CD6" si="44">K6</f>
        <v>86</v>
      </c>
      <c r="CE6" s="70">
        <f t="shared" ref="CE6" si="45">O6</f>
        <v>117</v>
      </c>
      <c r="CF6" s="70">
        <f t="shared" ref="CF6" si="46">S6</f>
        <v>123</v>
      </c>
      <c r="CG6" s="70">
        <f t="shared" ref="CG6" si="47">W6</f>
        <v>159</v>
      </c>
      <c r="CH6" s="70" t="str">
        <f t="shared" ref="CH6" si="48">AA6</f>
        <v>-</v>
      </c>
      <c r="CI6" s="70">
        <f t="shared" ref="CI6" si="49">AE6</f>
        <v>194</v>
      </c>
      <c r="CJ6" s="70">
        <f t="shared" ref="CJ6" si="50">AI6</f>
        <v>209</v>
      </c>
      <c r="CK6" s="70">
        <f t="shared" ref="CK6" si="51">AM6</f>
        <v>246</v>
      </c>
      <c r="CL6" s="70">
        <f t="shared" ref="CL6" si="52">AQ6</f>
        <v>350</v>
      </c>
      <c r="CM6" s="70">
        <f t="shared" ref="CM6" si="53">AU6</f>
        <v>383</v>
      </c>
      <c r="CN6" s="70">
        <f t="shared" ref="CN6" si="54">AY6</f>
        <v>395</v>
      </c>
      <c r="CO6" s="57">
        <f t="shared" ref="CO6" si="55">M6-K6</f>
        <v>1</v>
      </c>
    </row>
    <row r="7" spans="1:93" x14ac:dyDescent="0.2">
      <c r="A7" s="3" t="str">
        <f t="shared" si="0"/>
        <v>5ht2b_human_4NC3</v>
      </c>
      <c r="B7" s="3" t="s">
        <v>209</v>
      </c>
      <c r="C7" s="3" t="s">
        <v>1535</v>
      </c>
      <c r="D7" s="3" t="str">
        <f>IFERROR(MID(VLOOKUP($B7,Seqs!$A:$B,2,FALSE),E7,1),"")</f>
        <v>L</v>
      </c>
      <c r="E7" s="3">
        <v>54</v>
      </c>
      <c r="F7" s="3" t="str">
        <f>IFERROR(MID(VLOOKUP($B7,Seqs!$A:$B,2,FALSE),G7,1),"")</f>
        <v>E</v>
      </c>
      <c r="G7" s="3">
        <v>82</v>
      </c>
      <c r="H7" s="3" t="str">
        <f>IFERROR(MID(VLOOKUP($B7,Seqs!$A:$B,2,FALSE),I7,1),"")</f>
        <v>K</v>
      </c>
      <c r="I7" s="57">
        <v>83</v>
      </c>
      <c r="J7" s="3" t="str">
        <f>IFERROR(MID(VLOOKUP($B7,Seqs!$A:$B,2,FALSE),K7,1),"")</f>
        <v>Q</v>
      </c>
      <c r="K7" s="57">
        <v>86</v>
      </c>
      <c r="L7" s="3" t="str">
        <f>IFERROR(MID(VLOOKUP($B7,Seqs!$A:$B,2,FALSE),M7,1),"")</f>
        <v>Y</v>
      </c>
      <c r="M7" s="3">
        <v>87</v>
      </c>
      <c r="N7" s="3" t="str">
        <f>IFERROR(MID(VLOOKUP($B7,Seqs!$A:$B,2,FALSE),O7,1),"")</f>
        <v>F</v>
      </c>
      <c r="O7" s="3">
        <v>117</v>
      </c>
      <c r="P7" s="3" t="str">
        <f>IFERROR(MID(VLOOKUP($B7,Seqs!$A:$B,2,FALSE),Q7,1),"")</f>
        <v>M</v>
      </c>
      <c r="Q7" s="3">
        <v>120</v>
      </c>
      <c r="R7" s="3" t="str">
        <f>IFERROR(MID(VLOOKUP($B7,Seqs!$A:$B,2,FALSE),S7,1),"")</f>
        <v>L</v>
      </c>
      <c r="S7" s="3">
        <v>123</v>
      </c>
      <c r="T7" s="3" t="str">
        <f>IFERROR(MID(VLOOKUP($B7,Seqs!$A:$B,2,FALSE),U7,1),"")</f>
        <v>P</v>
      </c>
      <c r="U7" s="3">
        <v>124</v>
      </c>
      <c r="V7" s="3" t="str">
        <f>IFERROR(MID(VLOOKUP($B7,Seqs!$A:$B,2,FALSE),W7,1),"")</f>
        <v>K</v>
      </c>
      <c r="W7" s="3">
        <v>159</v>
      </c>
      <c r="X7" s="3" t="str">
        <f>IFERROR(MID(VLOOKUP($B7,Seqs!$A:$B,2,FALSE),Y7,1),"")</f>
        <v/>
      </c>
      <c r="Y7" s="3" t="s">
        <v>129</v>
      </c>
      <c r="Z7" s="3" t="str">
        <f>IFERROR(MID(VLOOKUP($B7,Seqs!$A:$B,2,FALSE),AA7,1),"")</f>
        <v/>
      </c>
      <c r="AA7" s="3" t="s">
        <v>129</v>
      </c>
      <c r="AB7" s="3" t="str">
        <f>IFERROR(MID(VLOOKUP($B7,Seqs!$A:$B,2,FALSE),AC7,1),"")</f>
        <v>A</v>
      </c>
      <c r="AC7" s="3">
        <v>170</v>
      </c>
      <c r="AD7" s="3" t="str">
        <f>IFERROR(MID(VLOOKUP($B7,Seqs!$A:$B,2,FALSE),AE7,1),"")</f>
        <v>G</v>
      </c>
      <c r="AE7" s="3">
        <v>194</v>
      </c>
      <c r="AF7" s="3" t="str">
        <f>IFERROR(MID(VLOOKUP($B7,Seqs!$A:$B,2,FALSE),AG7,1),"")</f>
        <v>C</v>
      </c>
      <c r="AG7" s="3">
        <v>207</v>
      </c>
      <c r="AH7" s="3" t="str">
        <f>IFERROR(MID(VLOOKUP($B7,Seqs!$A:$B,2,FALSE),AI7,1),"")</f>
        <v>L</v>
      </c>
      <c r="AI7" s="3">
        <v>209</v>
      </c>
      <c r="AJ7" s="3" t="str">
        <f>IFERROR(MID(VLOOKUP($B7,Seqs!$A:$B,2,FALSE),AK7,1),"")</f>
        <v>F</v>
      </c>
      <c r="AK7" s="3">
        <v>214</v>
      </c>
      <c r="AL7" s="3" t="str">
        <f>IFERROR(MID(VLOOKUP($B7,Seqs!$A:$B,2,FALSE),AM7,1),"")</f>
        <v>K</v>
      </c>
      <c r="AM7" s="3">
        <v>246</v>
      </c>
      <c r="AN7" s="3" t="str">
        <f>IFERROR(MID(VLOOKUP($B7,Seqs!$A:$B,2,FALSE),AO7,1),"")</f>
        <v>S</v>
      </c>
      <c r="AO7" s="3">
        <v>317</v>
      </c>
      <c r="AP7" s="3" t="str">
        <f>IFERROR(MID(VLOOKUP($B7,Seqs!$A:$B,2,FALSE),AQ7,1),"")</f>
        <v>C</v>
      </c>
      <c r="AQ7" s="3">
        <v>350</v>
      </c>
      <c r="AR7" s="3" t="str">
        <f>IFERROR(MID(VLOOKUP($B7,Seqs!$A:$B,2,FALSE),AS7,1),"")</f>
        <v>Q</v>
      </c>
      <c r="AS7" s="3">
        <v>355</v>
      </c>
      <c r="AT7" s="3" t="str">
        <f>IFERROR(MID(VLOOKUP($B7,Seqs!$A:$B,2,FALSE),AU7,1),"")</f>
        <v>F</v>
      </c>
      <c r="AU7" s="3">
        <v>383</v>
      </c>
      <c r="AV7" s="3" t="str">
        <f>IFERROR(MID(VLOOKUP($B7,Seqs!$A:$B,2,FALSE),AW7,1),"")</f>
        <v>N</v>
      </c>
      <c r="AW7" s="3">
        <v>384</v>
      </c>
      <c r="AX7" s="3" t="str">
        <f>IFERROR(MID(VLOOKUP($B7,Seqs!$A:$B,2,FALSE),AY7,1),"")</f>
        <v>I</v>
      </c>
      <c r="AY7" s="3">
        <v>395</v>
      </c>
      <c r="AZ7" s="83" t="str">
        <f>VLOOKUP(B7,Classification!A:D,2,FALSE)</f>
        <v>A</v>
      </c>
      <c r="BC7" s="57">
        <f t="shared" si="1"/>
        <v>241</v>
      </c>
      <c r="BD7" s="63" t="b">
        <f t="shared" si="2"/>
        <v>1</v>
      </c>
      <c r="BE7" s="68" t="s">
        <v>1514</v>
      </c>
      <c r="BF7" s="75" t="s">
        <v>1514</v>
      </c>
      <c r="BG7" s="75" t="s">
        <v>1514</v>
      </c>
      <c r="BH7" s="75" t="s">
        <v>1514</v>
      </c>
      <c r="BI7" s="75" t="s">
        <v>1514</v>
      </c>
      <c r="BJ7" s="75" t="s">
        <v>1514</v>
      </c>
      <c r="BK7" s="75" t="s">
        <v>1514</v>
      </c>
      <c r="BL7" s="75" t="s">
        <v>1514</v>
      </c>
      <c r="BM7" s="75" t="s">
        <v>1514</v>
      </c>
      <c r="BN7" s="75" t="s">
        <v>1514</v>
      </c>
      <c r="BO7" s="75" t="s">
        <v>1514</v>
      </c>
      <c r="BP7" s="75" t="s">
        <v>1514</v>
      </c>
      <c r="BQ7" s="68">
        <f t="shared" si="3"/>
        <v>54</v>
      </c>
      <c r="BR7" s="69">
        <f t="shared" si="4"/>
        <v>83</v>
      </c>
      <c r="BS7" s="70">
        <f t="shared" si="5"/>
        <v>87</v>
      </c>
      <c r="BT7" s="69">
        <f t="shared" si="6"/>
        <v>120</v>
      </c>
      <c r="BU7" s="70">
        <f t="shared" si="7"/>
        <v>124</v>
      </c>
      <c r="BV7" s="69" t="str">
        <f t="shared" si="8"/>
        <v>-</v>
      </c>
      <c r="BW7" s="70">
        <f t="shared" si="9"/>
        <v>170</v>
      </c>
      <c r="BX7" s="69">
        <f t="shared" si="10"/>
        <v>207</v>
      </c>
      <c r="BY7" s="70">
        <f t="shared" si="11"/>
        <v>214</v>
      </c>
      <c r="BZ7" s="69">
        <f t="shared" si="12"/>
        <v>317</v>
      </c>
      <c r="CA7" s="70">
        <f t="shared" si="13"/>
        <v>355</v>
      </c>
      <c r="CB7" s="69">
        <f t="shared" si="14"/>
        <v>384</v>
      </c>
      <c r="CC7" s="68">
        <f t="shared" si="15"/>
        <v>82</v>
      </c>
      <c r="CD7" s="69">
        <f t="shared" si="16"/>
        <v>86</v>
      </c>
      <c r="CE7" s="70">
        <f t="shared" si="17"/>
        <v>117</v>
      </c>
      <c r="CF7" s="70">
        <f t="shared" si="18"/>
        <v>123</v>
      </c>
      <c r="CG7" s="70">
        <f t="shared" si="19"/>
        <v>159</v>
      </c>
      <c r="CH7" s="70" t="str">
        <f t="shared" si="20"/>
        <v>-</v>
      </c>
      <c r="CI7" s="70">
        <f t="shared" si="21"/>
        <v>194</v>
      </c>
      <c r="CJ7" s="70">
        <f t="shared" si="22"/>
        <v>209</v>
      </c>
      <c r="CK7" s="70">
        <f t="shared" si="23"/>
        <v>246</v>
      </c>
      <c r="CL7" s="70">
        <f t="shared" si="24"/>
        <v>350</v>
      </c>
      <c r="CM7" s="70">
        <f t="shared" si="25"/>
        <v>383</v>
      </c>
      <c r="CN7" s="70">
        <f t="shared" si="26"/>
        <v>395</v>
      </c>
      <c r="CO7" s="57">
        <f t="shared" si="27"/>
        <v>1</v>
      </c>
    </row>
    <row r="8" spans="1:93" x14ac:dyDescent="0.2">
      <c r="A8" s="3" t="str">
        <f t="shared" si="0"/>
        <v>5ht2b_human_4IB4_dist</v>
      </c>
      <c r="B8" s="3" t="s">
        <v>209</v>
      </c>
      <c r="C8" s="3" t="s">
        <v>1384</v>
      </c>
      <c r="D8" s="3" t="str">
        <f>IFERROR(MID(VLOOKUP($B8,Seqs!$A:$B,2,FALSE),E8,1),"")</f>
        <v>L</v>
      </c>
      <c r="E8" s="3">
        <v>54</v>
      </c>
      <c r="F8" s="3" t="str">
        <f>IFERROR(MID(VLOOKUP($B8,Seqs!$A:$B,2,FALSE),G8,1),"")</f>
        <v>E</v>
      </c>
      <c r="G8" s="3">
        <v>82</v>
      </c>
      <c r="H8" s="3" t="str">
        <f>IFERROR(MID(VLOOKUP($B8,Seqs!$A:$B,2,FALSE),I8,1),"")</f>
        <v>K</v>
      </c>
      <c r="I8" s="57">
        <v>83</v>
      </c>
      <c r="J8" s="3" t="str">
        <f>IFERROR(MID(VLOOKUP($B8,Seqs!$A:$B,2,FALSE),K8,1),"")</f>
        <v>Q</v>
      </c>
      <c r="K8" s="57">
        <v>86</v>
      </c>
      <c r="L8" s="3" t="str">
        <f>IFERROR(MID(VLOOKUP($B8,Seqs!$A:$B,2,FALSE),M8,1),"")</f>
        <v>Y</v>
      </c>
      <c r="M8" s="3">
        <v>87</v>
      </c>
      <c r="N8" s="3" t="str">
        <f>IFERROR(MID(VLOOKUP($B8,Seqs!$A:$B,2,FALSE),O8,1),"")</f>
        <v>F</v>
      </c>
      <c r="O8" s="3">
        <v>117</v>
      </c>
      <c r="P8" s="3" t="str">
        <f>IFERROR(MID(VLOOKUP($B8,Seqs!$A:$B,2,FALSE),Q8,1),"")</f>
        <v>M</v>
      </c>
      <c r="Q8" s="3">
        <v>120</v>
      </c>
      <c r="R8" s="3" t="str">
        <f>IFERROR(MID(VLOOKUP($B8,Seqs!$A:$B,2,FALSE),S8,1),"")</f>
        <v>L</v>
      </c>
      <c r="S8" s="3">
        <v>123</v>
      </c>
      <c r="T8" s="3" t="str">
        <f>IFERROR(MID(VLOOKUP($B8,Seqs!$A:$B,2,FALSE),U8,1),"")</f>
        <v>P</v>
      </c>
      <c r="U8" s="3">
        <v>124</v>
      </c>
      <c r="V8" s="3" t="str">
        <f>IFERROR(MID(VLOOKUP($B8,Seqs!$A:$B,2,FALSE),W8,1),"")</f>
        <v>K</v>
      </c>
      <c r="W8" s="3">
        <v>159</v>
      </c>
      <c r="X8" s="3" t="str">
        <f>IFERROR(MID(VLOOKUP($B8,Seqs!$A:$B,2,FALSE),Y8,1),"")</f>
        <v/>
      </c>
      <c r="Y8" s="3" t="s">
        <v>129</v>
      </c>
      <c r="Z8" s="3" t="str">
        <f>IFERROR(MID(VLOOKUP($B8,Seqs!$A:$B,2,FALSE),AA8,1),"")</f>
        <v/>
      </c>
      <c r="AA8" s="3" t="s">
        <v>129</v>
      </c>
      <c r="AB8" s="3" t="str">
        <f>IFERROR(MID(VLOOKUP($B8,Seqs!$A:$B,2,FALSE),AC8,1),"")</f>
        <v>Q</v>
      </c>
      <c r="AC8" s="3">
        <v>165</v>
      </c>
      <c r="AD8" s="3" t="str">
        <f>IFERROR(MID(VLOOKUP($B8,Seqs!$A:$B,2,FALSE),AE8,1),"")</f>
        <v>G</v>
      </c>
      <c r="AE8" s="3">
        <v>194</v>
      </c>
      <c r="AF8" s="3" t="str">
        <f>IFERROR(MID(VLOOKUP($B8,Seqs!$A:$B,2,FALSE),AG8,1),"")</f>
        <v>C</v>
      </c>
      <c r="AG8" s="3">
        <v>207</v>
      </c>
      <c r="AH8" s="3" t="str">
        <f>IFERROR(MID(VLOOKUP($B8,Seqs!$A:$B,2,FALSE),AI8,1),"")</f>
        <v>L</v>
      </c>
      <c r="AI8" s="3">
        <v>209</v>
      </c>
      <c r="AJ8" s="3" t="str">
        <f>IFERROR(MID(VLOOKUP($B8,Seqs!$A:$B,2,FALSE),AK8,1),"")</f>
        <v>F</v>
      </c>
      <c r="AK8" s="3">
        <v>214</v>
      </c>
      <c r="AL8" s="3" t="str">
        <f>IFERROR(MID(VLOOKUP($B8,Seqs!$A:$B,2,FALSE),AM8,1),"")</f>
        <v>K</v>
      </c>
      <c r="AM8" s="3">
        <v>246</v>
      </c>
      <c r="AN8" s="3" t="str">
        <f>IFERROR(MID(VLOOKUP($B8,Seqs!$A:$B,2,FALSE),AO8,1),"")</f>
        <v>S</v>
      </c>
      <c r="AO8" s="3">
        <v>317</v>
      </c>
      <c r="AP8" s="3" t="str">
        <f>IFERROR(MID(VLOOKUP($B8,Seqs!$A:$B,2,FALSE),AQ8,1),"")</f>
        <v>C</v>
      </c>
      <c r="AQ8" s="3">
        <v>350</v>
      </c>
      <c r="AR8" s="3" t="str">
        <f>IFERROR(MID(VLOOKUP($B8,Seqs!$A:$B,2,FALSE),AS8,1),"")</f>
        <v>Q</v>
      </c>
      <c r="AS8" s="3">
        <v>355</v>
      </c>
      <c r="AT8" s="3" t="str">
        <f>IFERROR(MID(VLOOKUP($B8,Seqs!$A:$B,2,FALSE),AU8,1),"")</f>
        <v>F</v>
      </c>
      <c r="AU8" s="3">
        <v>383</v>
      </c>
      <c r="AV8" s="3" t="str">
        <f>IFERROR(MID(VLOOKUP($B8,Seqs!$A:$B,2,FALSE),AW8,1),"")</f>
        <v>N</v>
      </c>
      <c r="AW8" s="3">
        <v>384</v>
      </c>
      <c r="AX8" s="3" t="str">
        <f>IFERROR(MID(VLOOKUP($B8,Seqs!$A:$B,2,FALSE),AY8,1),"")</f>
        <v>I</v>
      </c>
      <c r="AY8" s="3">
        <v>395</v>
      </c>
      <c r="AZ8" s="83" t="str">
        <f>VLOOKUP(B8,Classification!A:D,2,FALSE)</f>
        <v>A</v>
      </c>
      <c r="BC8" s="57">
        <f t="shared" si="1"/>
        <v>246</v>
      </c>
      <c r="BD8" s="63" t="b">
        <f t="shared" si="2"/>
        <v>1</v>
      </c>
      <c r="BE8" s="68" t="s">
        <v>1514</v>
      </c>
      <c r="BF8" s="75" t="s">
        <v>1514</v>
      </c>
      <c r="BG8" s="75" t="s">
        <v>1514</v>
      </c>
      <c r="BH8" s="75" t="s">
        <v>1514</v>
      </c>
      <c r="BI8" s="75" t="s">
        <v>1514</v>
      </c>
      <c r="BJ8" s="75" t="s">
        <v>1514</v>
      </c>
      <c r="BK8" s="75" t="s">
        <v>1514</v>
      </c>
      <c r="BL8" s="75" t="s">
        <v>1514</v>
      </c>
      <c r="BM8" s="75" t="s">
        <v>1514</v>
      </c>
      <c r="BN8" s="75" t="s">
        <v>1514</v>
      </c>
      <c r="BO8" s="75" t="s">
        <v>1514</v>
      </c>
      <c r="BP8" s="75" t="s">
        <v>1514</v>
      </c>
      <c r="BQ8" s="68">
        <f t="shared" si="3"/>
        <v>54</v>
      </c>
      <c r="BR8" s="69">
        <f t="shared" si="4"/>
        <v>83</v>
      </c>
      <c r="BS8" s="70">
        <f t="shared" si="5"/>
        <v>87</v>
      </c>
      <c r="BT8" s="69">
        <f t="shared" si="6"/>
        <v>120</v>
      </c>
      <c r="BU8" s="70">
        <f t="shared" si="7"/>
        <v>124</v>
      </c>
      <c r="BV8" s="69" t="str">
        <f t="shared" si="8"/>
        <v>-</v>
      </c>
      <c r="BW8" s="70">
        <f t="shared" si="9"/>
        <v>165</v>
      </c>
      <c r="BX8" s="69">
        <f t="shared" si="10"/>
        <v>207</v>
      </c>
      <c r="BY8" s="70">
        <f t="shared" si="11"/>
        <v>214</v>
      </c>
      <c r="BZ8" s="69">
        <f t="shared" si="12"/>
        <v>317</v>
      </c>
      <c r="CA8" s="70">
        <f t="shared" si="13"/>
        <v>355</v>
      </c>
      <c r="CB8" s="69">
        <f t="shared" si="14"/>
        <v>384</v>
      </c>
      <c r="CC8" s="68">
        <f t="shared" si="15"/>
        <v>82</v>
      </c>
      <c r="CD8" s="69">
        <f t="shared" si="16"/>
        <v>86</v>
      </c>
      <c r="CE8" s="70">
        <f t="shared" si="17"/>
        <v>117</v>
      </c>
      <c r="CF8" s="70">
        <f t="shared" si="18"/>
        <v>123</v>
      </c>
      <c r="CG8" s="70">
        <f t="shared" si="19"/>
        <v>159</v>
      </c>
      <c r="CH8" s="70" t="str">
        <f t="shared" si="20"/>
        <v>-</v>
      </c>
      <c r="CI8" s="70">
        <f t="shared" si="21"/>
        <v>194</v>
      </c>
      <c r="CJ8" s="70">
        <f t="shared" si="22"/>
        <v>209</v>
      </c>
      <c r="CK8" s="70">
        <f t="shared" si="23"/>
        <v>246</v>
      </c>
      <c r="CL8" s="70">
        <f t="shared" si="24"/>
        <v>350</v>
      </c>
      <c r="CM8" s="70">
        <f t="shared" si="25"/>
        <v>383</v>
      </c>
      <c r="CN8" s="70">
        <f t="shared" si="26"/>
        <v>395</v>
      </c>
      <c r="CO8" s="57">
        <f t="shared" si="27"/>
        <v>1</v>
      </c>
    </row>
    <row r="9" spans="1:93" x14ac:dyDescent="0.2">
      <c r="A9" s="3" t="str">
        <f t="shared" si="0"/>
        <v>aa2ar_human__wt</v>
      </c>
      <c r="B9" s="3" t="s">
        <v>333</v>
      </c>
      <c r="C9" s="3" t="s">
        <v>294</v>
      </c>
      <c r="D9" s="3" t="str">
        <f>IFERROR(MID(VLOOKUP($B9,Seqs!$A:$B,2,FALSE),E9,1),"")</f>
        <v>P</v>
      </c>
      <c r="E9" s="3">
        <v>2</v>
      </c>
      <c r="F9" s="3" t="str">
        <f>IFERROR(MID(VLOOKUP($B9,Seqs!$A:$B,2,FALSE),G9,1),"")</f>
        <v>N</v>
      </c>
      <c r="G9" s="3">
        <v>34</v>
      </c>
      <c r="H9" s="3" t="str">
        <f>IFERROR(MID(VLOOKUP($B9,Seqs!$A:$B,2,FALSE),I9,1),"")</f>
        <v>S</v>
      </c>
      <c r="I9" s="57">
        <v>35</v>
      </c>
      <c r="J9" s="3" t="str">
        <f>IFERROR(MID(VLOOKUP($B9,Seqs!$A:$B,2,FALSE),K9,1),"")</f>
        <v>Q</v>
      </c>
      <c r="K9" s="57">
        <v>38</v>
      </c>
      <c r="L9" s="3" t="str">
        <f>IFERROR(MID(VLOOKUP($B9,Seqs!$A:$B,2,FALSE),M9,1),"")</f>
        <v>N</v>
      </c>
      <c r="M9" s="3">
        <v>39</v>
      </c>
      <c r="N9" s="3" t="str">
        <f>IFERROR(MID(VLOOKUP($B9,Seqs!$A:$B,2,FALSE),O9,1),"")</f>
        <v>G</v>
      </c>
      <c r="O9" s="3">
        <v>69</v>
      </c>
      <c r="P9" s="3" t="str">
        <f>IFERROR(MID(VLOOKUP($B9,Seqs!$A:$B,2,FALSE),Q9,1),"")</f>
        <v>F</v>
      </c>
      <c r="Q9" s="3">
        <v>70</v>
      </c>
      <c r="R9" s="3" t="str">
        <f>IFERROR(MID(VLOOKUP($B9,Seqs!$A:$B,2,FALSE),S9,1),"")</f>
        <v>A</v>
      </c>
      <c r="S9" s="3">
        <v>72</v>
      </c>
      <c r="T9" s="3" t="str">
        <f>IFERROR(MID(VLOOKUP($B9,Seqs!$A:$B,2,FALSE),U9,1),"")</f>
        <v>A</v>
      </c>
      <c r="U9" s="3">
        <v>73</v>
      </c>
      <c r="V9" s="3" t="str">
        <f>IFERROR(MID(VLOOKUP($B9,Seqs!$A:$B,2,FALSE),W9,1),"")</f>
        <v>I</v>
      </c>
      <c r="W9" s="3">
        <v>108</v>
      </c>
      <c r="X9" s="3" t="str">
        <f>IFERROR(MID(VLOOKUP($B9,Seqs!$A:$B,2,FALSE),Y9,1),"")</f>
        <v>P</v>
      </c>
      <c r="Y9" s="3">
        <v>109</v>
      </c>
      <c r="Z9" s="3" t="str">
        <f>IFERROR(MID(VLOOKUP($B9,Seqs!$A:$B,2,FALSE),AA9,1),"")</f>
        <v>V</v>
      </c>
      <c r="AA9" s="3">
        <v>116</v>
      </c>
      <c r="AB9" s="3" t="str">
        <f>IFERROR(MID(VLOOKUP($B9,Seqs!$A:$B,2,FALSE),AC9,1),"")</f>
        <v>G</v>
      </c>
      <c r="AC9" s="3">
        <v>118</v>
      </c>
      <c r="AD9" s="3" t="str">
        <f>IFERROR(MID(VLOOKUP($B9,Seqs!$A:$B,2,FALSE),AE9,1),"")</f>
        <v>G</v>
      </c>
      <c r="AE9" s="3">
        <v>142</v>
      </c>
      <c r="AF9" s="3" t="str">
        <f>IFERROR(MID(VLOOKUP($B9,Seqs!$A:$B,2,FALSE),AG9,1),"")</f>
        <v>C</v>
      </c>
      <c r="AG9" s="3">
        <v>166</v>
      </c>
      <c r="AH9" s="3" t="str">
        <f>IFERROR(MID(VLOOKUP($B9,Seqs!$A:$B,2,FALSE),AI9,1),"")</f>
        <v>F</v>
      </c>
      <c r="AI9" s="3">
        <v>168</v>
      </c>
      <c r="AJ9" s="3" t="str">
        <f>IFERROR(MID(VLOOKUP($B9,Seqs!$A:$B,2,FALSE),AK9,1),"")</f>
        <v>P</v>
      </c>
      <c r="AK9" s="3">
        <v>173</v>
      </c>
      <c r="AL9" s="3" t="str">
        <f>IFERROR(MID(VLOOKUP($B9,Seqs!$A:$B,2,FALSE),AM9,1),"")</f>
        <v>S</v>
      </c>
      <c r="AM9" s="3">
        <v>213</v>
      </c>
      <c r="AN9" s="3" t="str">
        <f>IFERROR(MID(VLOOKUP($B9,Seqs!$A:$B,2,FALSE),AO9,1),"")</f>
        <v>E</v>
      </c>
      <c r="AO9" s="3">
        <v>219</v>
      </c>
      <c r="AP9" s="3" t="str">
        <f>IFERROR(MID(VLOOKUP($B9,Seqs!$A:$B,2,FALSE),AQ9,1),"")</f>
        <v>C</v>
      </c>
      <c r="AQ9" s="3">
        <v>259</v>
      </c>
      <c r="AR9" s="3" t="str">
        <f>IFERROR(MID(VLOOKUP($B9,Seqs!$A:$B,2,FALSE),AS9,1),"")</f>
        <v>P</v>
      </c>
      <c r="AS9" s="3">
        <v>266</v>
      </c>
      <c r="AT9" s="3" t="str">
        <f>IFERROR(MID(VLOOKUP($B9,Seqs!$A:$B,2,FALSE),AU9,1),"")</f>
        <v>R</v>
      </c>
      <c r="AU9" s="3">
        <v>291</v>
      </c>
      <c r="AV9" s="3" t="str">
        <f>IFERROR(MID(VLOOKUP($B9,Seqs!$A:$B,2,FALSE),AW9,1),"")</f>
        <v>I</v>
      </c>
      <c r="AW9" s="3">
        <v>292</v>
      </c>
      <c r="AX9" s="3" t="str">
        <f>IFERROR(MID(VLOOKUP($B9,Seqs!$A:$B,2,FALSE),AY9,1),"")</f>
        <v>F</v>
      </c>
      <c r="AY9" s="3">
        <v>314</v>
      </c>
      <c r="AZ9" s="83" t="str">
        <f>VLOOKUP(B9,Classification!A:D,2,FALSE)</f>
        <v>A</v>
      </c>
      <c r="BB9" s="82">
        <f>S9-Q9+1</f>
        <v>3</v>
      </c>
      <c r="BC9" s="57">
        <f t="shared" si="1"/>
        <v>274</v>
      </c>
      <c r="BD9" s="63" t="b">
        <f t="shared" si="2"/>
        <v>1</v>
      </c>
      <c r="BE9" s="68" t="s">
        <v>1514</v>
      </c>
      <c r="BF9" s="75" t="s">
        <v>1514</v>
      </c>
      <c r="BG9" s="75" t="s">
        <v>1514</v>
      </c>
      <c r="BH9" s="75" t="s">
        <v>1514</v>
      </c>
      <c r="BI9" s="75" t="s">
        <v>1514</v>
      </c>
      <c r="BJ9" s="75" t="s">
        <v>1514</v>
      </c>
      <c r="BK9" s="75" t="s">
        <v>1514</v>
      </c>
      <c r="BL9" s="75" t="s">
        <v>1514</v>
      </c>
      <c r="BM9" s="75" t="s">
        <v>1514</v>
      </c>
      <c r="BN9" s="75" t="s">
        <v>1514</v>
      </c>
      <c r="BO9" s="75" t="s">
        <v>1514</v>
      </c>
      <c r="BP9" s="75" t="s">
        <v>1514</v>
      </c>
      <c r="BQ9" s="68">
        <f t="shared" si="3"/>
        <v>2</v>
      </c>
      <c r="BR9" s="69">
        <f t="shared" si="4"/>
        <v>35</v>
      </c>
      <c r="BS9" s="70">
        <f t="shared" si="5"/>
        <v>39</v>
      </c>
      <c r="BT9" s="69">
        <f t="shared" si="6"/>
        <v>70</v>
      </c>
      <c r="BU9" s="70">
        <f t="shared" si="7"/>
        <v>73</v>
      </c>
      <c r="BV9" s="69">
        <f t="shared" si="8"/>
        <v>109</v>
      </c>
      <c r="BW9" s="70">
        <f t="shared" si="9"/>
        <v>118</v>
      </c>
      <c r="BX9" s="69">
        <f t="shared" si="10"/>
        <v>166</v>
      </c>
      <c r="BY9" s="70">
        <f t="shared" si="11"/>
        <v>173</v>
      </c>
      <c r="BZ9" s="69">
        <f t="shared" si="12"/>
        <v>219</v>
      </c>
      <c r="CA9" s="70">
        <f t="shared" si="13"/>
        <v>266</v>
      </c>
      <c r="CB9" s="69">
        <f t="shared" si="14"/>
        <v>292</v>
      </c>
      <c r="CC9" s="68">
        <f t="shared" si="15"/>
        <v>34</v>
      </c>
      <c r="CD9" s="69">
        <f t="shared" si="16"/>
        <v>38</v>
      </c>
      <c r="CE9" s="70">
        <f t="shared" si="17"/>
        <v>69</v>
      </c>
      <c r="CF9" s="70">
        <f t="shared" si="18"/>
        <v>72</v>
      </c>
      <c r="CG9" s="70">
        <f t="shared" si="19"/>
        <v>108</v>
      </c>
      <c r="CH9" s="70">
        <f t="shared" si="20"/>
        <v>116</v>
      </c>
      <c r="CI9" s="70">
        <f t="shared" si="21"/>
        <v>142</v>
      </c>
      <c r="CJ9" s="70">
        <f t="shared" si="22"/>
        <v>168</v>
      </c>
      <c r="CK9" s="70">
        <f t="shared" si="23"/>
        <v>213</v>
      </c>
      <c r="CL9" s="70">
        <f t="shared" si="24"/>
        <v>259</v>
      </c>
      <c r="CM9" s="70">
        <f t="shared" si="25"/>
        <v>291</v>
      </c>
      <c r="CN9" s="70">
        <f t="shared" si="26"/>
        <v>314</v>
      </c>
      <c r="CO9" s="57">
        <f t="shared" si="27"/>
        <v>1</v>
      </c>
    </row>
    <row r="10" spans="1:93" x14ac:dyDescent="0.2">
      <c r="A10" s="3" t="str">
        <f t="shared" si="0"/>
        <v>aa2ar_human_2YDO</v>
      </c>
      <c r="B10" s="3" t="s">
        <v>333</v>
      </c>
      <c r="C10" s="3" t="s">
        <v>1235</v>
      </c>
      <c r="D10" s="3" t="str">
        <f>IFERROR(MID(VLOOKUP($B10,Seqs!$A:$B,2,FALSE),E10,1),"")</f>
        <v>S</v>
      </c>
      <c r="E10" s="3">
        <v>7</v>
      </c>
      <c r="F10" s="3" t="str">
        <f>IFERROR(MID(VLOOKUP($B10,Seqs!$A:$B,2,FALSE),G10,1),"")</f>
        <v>N</v>
      </c>
      <c r="G10" s="3">
        <v>34</v>
      </c>
      <c r="H10" s="3" t="str">
        <f>IFERROR(MID(VLOOKUP($B10,Seqs!$A:$B,2,FALSE),I10,1),"")</f>
        <v>S</v>
      </c>
      <c r="I10" s="57">
        <v>35</v>
      </c>
      <c r="J10" s="3" t="str">
        <f>IFERROR(MID(VLOOKUP($B10,Seqs!$A:$B,2,FALSE),K10,1),"")</f>
        <v>Q</v>
      </c>
      <c r="K10" s="57">
        <v>38</v>
      </c>
      <c r="L10" s="3" t="str">
        <f>IFERROR(MID(VLOOKUP($B10,Seqs!$A:$B,2,FALSE),M10,1),"")</f>
        <v>N</v>
      </c>
      <c r="M10" s="3">
        <v>39</v>
      </c>
      <c r="N10" s="3" t="str">
        <f>IFERROR(MID(VLOOKUP($B10,Seqs!$A:$B,2,FALSE),O10,1),"")</f>
        <v>G</v>
      </c>
      <c r="O10" s="3">
        <v>69</v>
      </c>
      <c r="P10" s="3" t="str">
        <f>IFERROR(MID(VLOOKUP($B10,Seqs!$A:$B,2,FALSE),Q10,1),"")</f>
        <v>F</v>
      </c>
      <c r="Q10" s="3">
        <v>70</v>
      </c>
      <c r="R10" s="3" t="str">
        <f>IFERROR(MID(VLOOKUP($B10,Seqs!$A:$B,2,FALSE),S10,1),"")</f>
        <v>A</v>
      </c>
      <c r="S10" s="3">
        <v>72</v>
      </c>
      <c r="T10" s="3" t="str">
        <f>IFERROR(MID(VLOOKUP($B10,Seqs!$A:$B,2,FALSE),U10,1),"")</f>
        <v>A</v>
      </c>
      <c r="U10" s="3">
        <v>73</v>
      </c>
      <c r="V10" s="3" t="str">
        <f>IFERROR(MID(VLOOKUP($B10,Seqs!$A:$B,2,FALSE),W10,1),"")</f>
        <v>I</v>
      </c>
      <c r="W10" s="3">
        <v>108</v>
      </c>
      <c r="X10" s="3" t="str">
        <f>IFERROR(MID(VLOOKUP($B10,Seqs!$A:$B,2,FALSE),Y10,1),"")</f>
        <v>P</v>
      </c>
      <c r="Y10" s="3">
        <v>109</v>
      </c>
      <c r="Z10" s="3" t="str">
        <f>IFERROR(MID(VLOOKUP($B10,Seqs!$A:$B,2,FALSE),AA10,1),"")</f>
        <v>V</v>
      </c>
      <c r="AA10" s="3">
        <v>116</v>
      </c>
      <c r="AB10" s="3" t="str">
        <f>IFERROR(MID(VLOOKUP($B10,Seqs!$A:$B,2,FALSE),AC10,1),"")</f>
        <v>G</v>
      </c>
      <c r="AC10" s="3">
        <v>118</v>
      </c>
      <c r="AD10" s="3" t="str">
        <f>IFERROR(MID(VLOOKUP($B10,Seqs!$A:$B,2,FALSE),AE10,1),"")</f>
        <v>G</v>
      </c>
      <c r="AE10" s="3">
        <v>142</v>
      </c>
      <c r="AF10" s="3" t="str">
        <f>IFERROR(MID(VLOOKUP($B10,Seqs!$A:$B,2,FALSE),AG10,1),"")</f>
        <v>C</v>
      </c>
      <c r="AG10" s="3">
        <v>166</v>
      </c>
      <c r="AH10" s="3" t="str">
        <f>IFERROR(MID(VLOOKUP($B10,Seqs!$A:$B,2,FALSE),AI10,1),"")</f>
        <v>F</v>
      </c>
      <c r="AI10" s="3">
        <v>168</v>
      </c>
      <c r="AJ10" s="3" t="str">
        <f>IFERROR(MID(VLOOKUP($B10,Seqs!$A:$B,2,FALSE),AK10,1),"")</f>
        <v>P</v>
      </c>
      <c r="AK10" s="3">
        <v>173</v>
      </c>
      <c r="AL10" s="3" t="str">
        <f>IFERROR(MID(VLOOKUP($B10,Seqs!$A:$B,2,FALSE),AM10,1),"")</f>
        <v>Q</v>
      </c>
      <c r="AM10" s="3">
        <v>210</v>
      </c>
      <c r="AN10" s="3" t="str">
        <f>IFERROR(MID(VLOOKUP($B10,Seqs!$A:$B,2,FALSE),AO10,1),"")</f>
        <v>L</v>
      </c>
      <c r="AO10" s="3">
        <v>225</v>
      </c>
      <c r="AP10" s="3" t="str">
        <f>IFERROR(MID(VLOOKUP($B10,Seqs!$A:$B,2,FALSE),AQ10,1),"")</f>
        <v>C</v>
      </c>
      <c r="AQ10" s="3">
        <v>259</v>
      </c>
      <c r="AR10" s="3" t="str">
        <f>IFERROR(MID(VLOOKUP($B10,Seqs!$A:$B,2,FALSE),AS10,1),"")</f>
        <v>P</v>
      </c>
      <c r="AS10" s="3">
        <v>266</v>
      </c>
      <c r="AT10" s="3" t="str">
        <f>IFERROR(MID(VLOOKUP($B10,Seqs!$A:$B,2,FALSE),AU10,1),"")</f>
        <v>R</v>
      </c>
      <c r="AU10" s="3">
        <v>291</v>
      </c>
      <c r="AV10" s="3" t="str">
        <f>IFERROR(MID(VLOOKUP($B10,Seqs!$A:$B,2,FALSE),AW10,1),"")</f>
        <v>I</v>
      </c>
      <c r="AW10" s="3">
        <v>292</v>
      </c>
      <c r="AX10" s="3" t="str">
        <f>IFERROR(MID(VLOOKUP($B10,Seqs!$A:$B,2,FALSE),AY10,1),"")</f>
        <v>A</v>
      </c>
      <c r="AY10" s="3">
        <v>317</v>
      </c>
      <c r="AZ10" s="83" t="str">
        <f>VLOOKUP(B10,Classification!A:D,2,FALSE)</f>
        <v>A</v>
      </c>
      <c r="BC10" s="57">
        <f t="shared" si="1"/>
        <v>263</v>
      </c>
      <c r="BD10" s="63" t="b">
        <f t="shared" si="2"/>
        <v>1</v>
      </c>
      <c r="BE10" s="68" t="s">
        <v>1514</v>
      </c>
      <c r="BF10" s="75" t="s">
        <v>1514</v>
      </c>
      <c r="BG10" s="75" t="s">
        <v>1514</v>
      </c>
      <c r="BH10" s="75" t="s">
        <v>1514</v>
      </c>
      <c r="BI10" s="75" t="s">
        <v>1514</v>
      </c>
      <c r="BJ10" s="75" t="s">
        <v>1514</v>
      </c>
      <c r="BK10" s="75" t="s">
        <v>1514</v>
      </c>
      <c r="BL10" s="75" t="s">
        <v>1514</v>
      </c>
      <c r="BM10" s="75" t="s">
        <v>1514</v>
      </c>
      <c r="BN10" s="75" t="s">
        <v>1514</v>
      </c>
      <c r="BO10" s="75" t="s">
        <v>1514</v>
      </c>
      <c r="BP10" s="75" t="s">
        <v>1514</v>
      </c>
      <c r="BQ10" s="68">
        <f t="shared" si="3"/>
        <v>7</v>
      </c>
      <c r="BR10" s="69">
        <f t="shared" si="4"/>
        <v>35</v>
      </c>
      <c r="BS10" s="70">
        <f t="shared" si="5"/>
        <v>39</v>
      </c>
      <c r="BT10" s="69">
        <f t="shared" si="6"/>
        <v>70</v>
      </c>
      <c r="BU10" s="70">
        <f t="shared" si="7"/>
        <v>73</v>
      </c>
      <c r="BV10" s="69">
        <f t="shared" si="8"/>
        <v>109</v>
      </c>
      <c r="BW10" s="70">
        <f t="shared" si="9"/>
        <v>118</v>
      </c>
      <c r="BX10" s="69">
        <f t="shared" si="10"/>
        <v>166</v>
      </c>
      <c r="BY10" s="70">
        <f t="shared" si="11"/>
        <v>173</v>
      </c>
      <c r="BZ10" s="69">
        <f t="shared" si="12"/>
        <v>225</v>
      </c>
      <c r="CA10" s="70">
        <f t="shared" si="13"/>
        <v>266</v>
      </c>
      <c r="CB10" s="69">
        <f t="shared" si="14"/>
        <v>292</v>
      </c>
      <c r="CC10" s="68">
        <f t="shared" si="15"/>
        <v>34</v>
      </c>
      <c r="CD10" s="69">
        <f t="shared" si="16"/>
        <v>38</v>
      </c>
      <c r="CE10" s="70">
        <f t="shared" si="17"/>
        <v>69</v>
      </c>
      <c r="CF10" s="70">
        <f t="shared" si="18"/>
        <v>72</v>
      </c>
      <c r="CG10" s="70">
        <f t="shared" si="19"/>
        <v>108</v>
      </c>
      <c r="CH10" s="70">
        <f t="shared" si="20"/>
        <v>116</v>
      </c>
      <c r="CI10" s="70">
        <f t="shared" si="21"/>
        <v>142</v>
      </c>
      <c r="CJ10" s="70">
        <f t="shared" si="22"/>
        <v>168</v>
      </c>
      <c r="CK10" s="70">
        <f t="shared" si="23"/>
        <v>210</v>
      </c>
      <c r="CL10" s="70">
        <f t="shared" si="24"/>
        <v>259</v>
      </c>
      <c r="CM10" s="70">
        <f t="shared" si="25"/>
        <v>291</v>
      </c>
      <c r="CN10" s="70">
        <f t="shared" si="26"/>
        <v>317</v>
      </c>
      <c r="CO10" s="57">
        <f t="shared" si="27"/>
        <v>1</v>
      </c>
    </row>
    <row r="11" spans="1:93" x14ac:dyDescent="0.2">
      <c r="A11" s="3" t="str">
        <f t="shared" si="0"/>
        <v>aa2ar_human_2YDV</v>
      </c>
      <c r="B11" s="3" t="s">
        <v>333</v>
      </c>
      <c r="C11" s="3" t="s">
        <v>271</v>
      </c>
      <c r="D11" s="3" t="str">
        <f>IFERROR(MID(VLOOKUP($B11,Seqs!$A:$B,2,FALSE),E11,1),"")</f>
        <v>S</v>
      </c>
      <c r="E11" s="3">
        <v>7</v>
      </c>
      <c r="F11" s="3" t="str">
        <f>IFERROR(MID(VLOOKUP($B11,Seqs!$A:$B,2,FALSE),G11,1),"")</f>
        <v>N</v>
      </c>
      <c r="G11" s="3">
        <v>34</v>
      </c>
      <c r="H11" s="3" t="str">
        <f>IFERROR(MID(VLOOKUP($B11,Seqs!$A:$B,2,FALSE),I11,1),"")</f>
        <v>S</v>
      </c>
      <c r="I11" s="57">
        <v>35</v>
      </c>
      <c r="J11" s="3" t="str">
        <f>IFERROR(MID(VLOOKUP($B11,Seqs!$A:$B,2,FALSE),K11,1),"")</f>
        <v>Q</v>
      </c>
      <c r="K11" s="57">
        <v>38</v>
      </c>
      <c r="L11" s="3" t="str">
        <f>IFERROR(MID(VLOOKUP($B11,Seqs!$A:$B,2,FALSE),M11,1),"")</f>
        <v>N</v>
      </c>
      <c r="M11" s="3">
        <v>39</v>
      </c>
      <c r="N11" s="3" t="str">
        <f>IFERROR(MID(VLOOKUP($B11,Seqs!$A:$B,2,FALSE),O11,1),"")</f>
        <v>G</v>
      </c>
      <c r="O11" s="3">
        <v>69</v>
      </c>
      <c r="P11" s="3" t="str">
        <f>IFERROR(MID(VLOOKUP($B11,Seqs!$A:$B,2,FALSE),Q11,1),"")</f>
        <v>F</v>
      </c>
      <c r="Q11" s="3">
        <v>70</v>
      </c>
      <c r="R11" s="3" t="str">
        <f>IFERROR(MID(VLOOKUP($B11,Seqs!$A:$B,2,FALSE),S11,1),"")</f>
        <v>A</v>
      </c>
      <c r="S11" s="3">
        <v>72</v>
      </c>
      <c r="T11" s="3" t="str">
        <f>IFERROR(MID(VLOOKUP($B11,Seqs!$A:$B,2,FALSE),U11,1),"")</f>
        <v>A</v>
      </c>
      <c r="U11" s="3">
        <v>73</v>
      </c>
      <c r="V11" s="3" t="str">
        <f>IFERROR(MID(VLOOKUP($B11,Seqs!$A:$B,2,FALSE),W11,1),"")</f>
        <v>I</v>
      </c>
      <c r="W11" s="3">
        <v>108</v>
      </c>
      <c r="X11" s="3" t="str">
        <f>IFERROR(MID(VLOOKUP($B11,Seqs!$A:$B,2,FALSE),Y11,1),"")</f>
        <v>P</v>
      </c>
      <c r="Y11" s="3">
        <v>109</v>
      </c>
      <c r="Z11" s="3" t="str">
        <f>IFERROR(MID(VLOOKUP($B11,Seqs!$A:$B,2,FALSE),AA11,1),"")</f>
        <v>V</v>
      </c>
      <c r="AA11" s="3">
        <v>116</v>
      </c>
      <c r="AB11" s="3" t="str">
        <f>IFERROR(MID(VLOOKUP($B11,Seqs!$A:$B,2,FALSE),AC11,1),"")</f>
        <v>G</v>
      </c>
      <c r="AC11" s="3">
        <v>118</v>
      </c>
      <c r="AD11" s="3" t="str">
        <f>IFERROR(MID(VLOOKUP($B11,Seqs!$A:$B,2,FALSE),AE11,1),"")</f>
        <v>G</v>
      </c>
      <c r="AE11" s="3">
        <v>142</v>
      </c>
      <c r="AF11" s="3" t="str">
        <f>IFERROR(MID(VLOOKUP($B11,Seqs!$A:$B,2,FALSE),AG11,1),"")</f>
        <v>C</v>
      </c>
      <c r="AG11" s="3">
        <v>166</v>
      </c>
      <c r="AH11" s="3" t="str">
        <f>IFERROR(MID(VLOOKUP($B11,Seqs!$A:$B,2,FALSE),AI11,1),"")</f>
        <v>F</v>
      </c>
      <c r="AI11" s="3">
        <v>168</v>
      </c>
      <c r="AJ11" s="3" t="str">
        <f>IFERROR(MID(VLOOKUP($B11,Seqs!$A:$B,2,FALSE),AK11,1),"")</f>
        <v>P</v>
      </c>
      <c r="AK11" s="3">
        <v>173</v>
      </c>
      <c r="AL11" s="3" t="str">
        <f>IFERROR(MID(VLOOKUP($B11,Seqs!$A:$B,2,FALSE),AM11,1),"")</f>
        <v>Q</v>
      </c>
      <c r="AM11" s="3">
        <v>210</v>
      </c>
      <c r="AN11" s="3" t="str">
        <f>IFERROR(MID(VLOOKUP($B11,Seqs!$A:$B,2,FALSE),AO11,1),"")</f>
        <v>T</v>
      </c>
      <c r="AO11" s="3">
        <v>224</v>
      </c>
      <c r="AP11" s="3" t="str">
        <f>IFERROR(MID(VLOOKUP($B11,Seqs!$A:$B,2,FALSE),AQ11,1),"")</f>
        <v>C</v>
      </c>
      <c r="AQ11" s="3">
        <v>259</v>
      </c>
      <c r="AR11" s="3" t="str">
        <f>IFERROR(MID(VLOOKUP($B11,Seqs!$A:$B,2,FALSE),AS11,1),"")</f>
        <v>P</v>
      </c>
      <c r="AS11" s="3">
        <v>266</v>
      </c>
      <c r="AT11" s="3" t="str">
        <f>IFERROR(MID(VLOOKUP($B11,Seqs!$A:$B,2,FALSE),AU11,1),"")</f>
        <v>R</v>
      </c>
      <c r="AU11" s="3">
        <v>291</v>
      </c>
      <c r="AV11" s="3" t="str">
        <f>IFERROR(MID(VLOOKUP($B11,Seqs!$A:$B,2,FALSE),AW11,1),"")</f>
        <v>I</v>
      </c>
      <c r="AW11" s="3">
        <v>292</v>
      </c>
      <c r="AX11" s="3" t="str">
        <f>IFERROR(MID(VLOOKUP($B11,Seqs!$A:$B,2,FALSE),AY11,1),"")</f>
        <v>A</v>
      </c>
      <c r="AY11" s="3">
        <v>317</v>
      </c>
      <c r="AZ11" s="83" t="str">
        <f>VLOOKUP(B11,Classification!A:D,2,FALSE)</f>
        <v>A</v>
      </c>
      <c r="BC11" s="57">
        <f t="shared" si="1"/>
        <v>264</v>
      </c>
      <c r="BD11" s="63" t="b">
        <f t="shared" si="2"/>
        <v>1</v>
      </c>
      <c r="BE11" s="68" t="s">
        <v>1514</v>
      </c>
      <c r="BF11" s="75" t="s">
        <v>1514</v>
      </c>
      <c r="BG11" s="75" t="s">
        <v>1514</v>
      </c>
      <c r="BH11" s="75" t="s">
        <v>1514</v>
      </c>
      <c r="BI11" s="75" t="s">
        <v>1514</v>
      </c>
      <c r="BJ11" s="75" t="s">
        <v>1514</v>
      </c>
      <c r="BK11" s="75" t="s">
        <v>1514</v>
      </c>
      <c r="BL11" s="75" t="s">
        <v>1514</v>
      </c>
      <c r="BM11" s="75" t="s">
        <v>1514</v>
      </c>
      <c r="BN11" s="75" t="s">
        <v>1514</v>
      </c>
      <c r="BO11" s="75" t="s">
        <v>1514</v>
      </c>
      <c r="BP11" s="75" t="s">
        <v>1514</v>
      </c>
      <c r="BQ11" s="68">
        <f t="shared" si="3"/>
        <v>7</v>
      </c>
      <c r="BR11" s="69">
        <f t="shared" si="4"/>
        <v>35</v>
      </c>
      <c r="BS11" s="70">
        <f t="shared" si="5"/>
        <v>39</v>
      </c>
      <c r="BT11" s="69">
        <f t="shared" si="6"/>
        <v>70</v>
      </c>
      <c r="BU11" s="70">
        <f t="shared" si="7"/>
        <v>73</v>
      </c>
      <c r="BV11" s="69">
        <f t="shared" si="8"/>
        <v>109</v>
      </c>
      <c r="BW11" s="70">
        <f t="shared" si="9"/>
        <v>118</v>
      </c>
      <c r="BX11" s="69">
        <f t="shared" si="10"/>
        <v>166</v>
      </c>
      <c r="BY11" s="70">
        <f t="shared" si="11"/>
        <v>173</v>
      </c>
      <c r="BZ11" s="69">
        <f t="shared" si="12"/>
        <v>224</v>
      </c>
      <c r="CA11" s="70">
        <f t="shared" si="13"/>
        <v>266</v>
      </c>
      <c r="CB11" s="69">
        <f t="shared" si="14"/>
        <v>292</v>
      </c>
      <c r="CC11" s="68">
        <f t="shared" si="15"/>
        <v>34</v>
      </c>
      <c r="CD11" s="69">
        <f t="shared" si="16"/>
        <v>38</v>
      </c>
      <c r="CE11" s="70">
        <f t="shared" si="17"/>
        <v>69</v>
      </c>
      <c r="CF11" s="70">
        <f t="shared" si="18"/>
        <v>72</v>
      </c>
      <c r="CG11" s="70">
        <f t="shared" si="19"/>
        <v>108</v>
      </c>
      <c r="CH11" s="70">
        <f t="shared" si="20"/>
        <v>116</v>
      </c>
      <c r="CI11" s="70">
        <f t="shared" si="21"/>
        <v>142</v>
      </c>
      <c r="CJ11" s="70">
        <f t="shared" si="22"/>
        <v>168</v>
      </c>
      <c r="CK11" s="70">
        <f t="shared" si="23"/>
        <v>210</v>
      </c>
      <c r="CL11" s="70">
        <f t="shared" si="24"/>
        <v>259</v>
      </c>
      <c r="CM11" s="70">
        <f t="shared" si="25"/>
        <v>291</v>
      </c>
      <c r="CN11" s="70">
        <f t="shared" si="26"/>
        <v>317</v>
      </c>
      <c r="CO11" s="57">
        <f t="shared" si="27"/>
        <v>1</v>
      </c>
    </row>
    <row r="12" spans="1:93" x14ac:dyDescent="0.2">
      <c r="A12" s="3" t="str">
        <f t="shared" si="0"/>
        <v>aa2ar_human_3QAK</v>
      </c>
      <c r="B12" s="3" t="s">
        <v>333</v>
      </c>
      <c r="C12" s="3" t="s">
        <v>1240</v>
      </c>
      <c r="D12" s="3" t="str">
        <f>IFERROR(MID(VLOOKUP($B12,Seqs!$A:$B,2,FALSE),E12,1),"")</f>
        <v>G</v>
      </c>
      <c r="E12" s="3">
        <v>5</v>
      </c>
      <c r="F12" s="3" t="str">
        <f>IFERROR(MID(VLOOKUP($B12,Seqs!$A:$B,2,FALSE),G12,1),"")</f>
        <v>N</v>
      </c>
      <c r="G12" s="3">
        <v>34</v>
      </c>
      <c r="H12" s="3" t="str">
        <f>IFERROR(MID(VLOOKUP($B12,Seqs!$A:$B,2,FALSE),I12,1),"")</f>
        <v>S</v>
      </c>
      <c r="I12" s="57">
        <v>35</v>
      </c>
      <c r="J12" s="3" t="str">
        <f>IFERROR(MID(VLOOKUP($B12,Seqs!$A:$B,2,FALSE),K12,1),"")</f>
        <v>Q</v>
      </c>
      <c r="K12" s="57">
        <v>38</v>
      </c>
      <c r="L12" s="3" t="str">
        <f>IFERROR(MID(VLOOKUP($B12,Seqs!$A:$B,2,FALSE),M12,1),"")</f>
        <v>N</v>
      </c>
      <c r="M12" s="3">
        <v>39</v>
      </c>
      <c r="N12" s="3" t="str">
        <f>IFERROR(MID(VLOOKUP($B12,Seqs!$A:$B,2,FALSE),O12,1),"")</f>
        <v>G</v>
      </c>
      <c r="O12" s="3">
        <v>69</v>
      </c>
      <c r="P12" s="3" t="str">
        <f>IFERROR(MID(VLOOKUP($B12,Seqs!$A:$B,2,FALSE),Q12,1),"")</f>
        <v>F</v>
      </c>
      <c r="Q12" s="3">
        <v>70</v>
      </c>
      <c r="R12" s="3" t="str">
        <f>IFERROR(MID(VLOOKUP($B12,Seqs!$A:$B,2,FALSE),S12,1),"")</f>
        <v>A</v>
      </c>
      <c r="S12" s="3">
        <v>72</v>
      </c>
      <c r="T12" s="3" t="str">
        <f>IFERROR(MID(VLOOKUP($B12,Seqs!$A:$B,2,FALSE),U12,1),"")</f>
        <v>A</v>
      </c>
      <c r="U12" s="3">
        <v>73</v>
      </c>
      <c r="V12" s="3" t="str">
        <f>IFERROR(MID(VLOOKUP($B12,Seqs!$A:$B,2,FALSE),W12,1),"")</f>
        <v>I</v>
      </c>
      <c r="W12" s="3">
        <v>108</v>
      </c>
      <c r="X12" s="3" t="str">
        <f>IFERROR(MID(VLOOKUP($B12,Seqs!$A:$B,2,FALSE),Y12,1),"")</f>
        <v>P</v>
      </c>
      <c r="Y12" s="3">
        <v>109</v>
      </c>
      <c r="Z12" s="3" t="str">
        <f>IFERROR(MID(VLOOKUP($B12,Seqs!$A:$B,2,FALSE),AA12,1),"")</f>
        <v>V</v>
      </c>
      <c r="AA12" s="3">
        <v>116</v>
      </c>
      <c r="AB12" s="3" t="str">
        <f>IFERROR(MID(VLOOKUP($B12,Seqs!$A:$B,2,FALSE),AC12,1),"")</f>
        <v>G</v>
      </c>
      <c r="AC12" s="3">
        <v>118</v>
      </c>
      <c r="AD12" s="3" t="str">
        <f>IFERROR(MID(VLOOKUP($B12,Seqs!$A:$B,2,FALSE),AE12,1),"")</f>
        <v>G</v>
      </c>
      <c r="AE12" s="3">
        <v>142</v>
      </c>
      <c r="AF12" s="3" t="str">
        <f>IFERROR(MID(VLOOKUP($B12,Seqs!$A:$B,2,FALSE),AG12,1),"")</f>
        <v>C</v>
      </c>
      <c r="AG12" s="3">
        <v>166</v>
      </c>
      <c r="AH12" s="3" t="str">
        <f>IFERROR(MID(VLOOKUP($B12,Seqs!$A:$B,2,FALSE),AI12,1),"")</f>
        <v>F</v>
      </c>
      <c r="AI12" s="3">
        <v>168</v>
      </c>
      <c r="AJ12" s="3" t="str">
        <f>IFERROR(MID(VLOOKUP($B12,Seqs!$A:$B,2,FALSE),AK12,1),"")</f>
        <v>P</v>
      </c>
      <c r="AK12" s="3">
        <v>173</v>
      </c>
      <c r="AL12" s="3" t="str">
        <f>IFERROR(MID(VLOOKUP($B12,Seqs!$A:$B,2,FALSE),AM12,1),"")</f>
        <v>A</v>
      </c>
      <c r="AM12" s="3">
        <v>204</v>
      </c>
      <c r="AN12" s="3" t="str">
        <f>IFERROR(MID(VLOOKUP($B12,Seqs!$A:$B,2,FALSE),AO12,1),"")</f>
        <v>Q</v>
      </c>
      <c r="AO12" s="3">
        <v>226</v>
      </c>
      <c r="AP12" s="3" t="str">
        <f>IFERROR(MID(VLOOKUP($B12,Seqs!$A:$B,2,FALSE),AQ12,1),"")</f>
        <v>C</v>
      </c>
      <c r="AQ12" s="3">
        <v>259</v>
      </c>
      <c r="AR12" s="3" t="str">
        <f>IFERROR(MID(VLOOKUP($B12,Seqs!$A:$B,2,FALSE),AS12,1),"")</f>
        <v>P</v>
      </c>
      <c r="AS12" s="3">
        <v>266</v>
      </c>
      <c r="AT12" s="3" t="str">
        <f>IFERROR(MID(VLOOKUP($B12,Seqs!$A:$B,2,FALSE),AU12,1),"")</f>
        <v>R</v>
      </c>
      <c r="AU12" s="3">
        <v>291</v>
      </c>
      <c r="AV12" s="3" t="str">
        <f>IFERROR(MID(VLOOKUP($B12,Seqs!$A:$B,2,FALSE),AW12,1),"")</f>
        <v>I</v>
      </c>
      <c r="AW12" s="3">
        <v>292</v>
      </c>
      <c r="AX12" s="3" t="str">
        <f>IFERROR(MID(VLOOKUP($B12,Seqs!$A:$B,2,FALSE),AY12,1),"")</f>
        <v>L</v>
      </c>
      <c r="AY12" s="3">
        <v>308</v>
      </c>
      <c r="AZ12" s="83" t="str">
        <f>VLOOKUP(B12,Classification!A:D,2,FALSE)</f>
        <v>A</v>
      </c>
      <c r="BC12" s="57">
        <f t="shared" si="1"/>
        <v>249</v>
      </c>
      <c r="BD12" s="63" t="b">
        <f t="shared" si="2"/>
        <v>1</v>
      </c>
      <c r="BE12" s="68" t="s">
        <v>1514</v>
      </c>
      <c r="BF12" s="75" t="s">
        <v>1514</v>
      </c>
      <c r="BG12" s="75" t="s">
        <v>1514</v>
      </c>
      <c r="BH12" s="75" t="s">
        <v>1514</v>
      </c>
      <c r="BI12" s="75" t="s">
        <v>1514</v>
      </c>
      <c r="BJ12" s="75" t="s">
        <v>1514</v>
      </c>
      <c r="BK12" s="75" t="s">
        <v>1514</v>
      </c>
      <c r="BL12" s="75" t="s">
        <v>1514</v>
      </c>
      <c r="BM12" s="75" t="s">
        <v>1514</v>
      </c>
      <c r="BN12" s="75" t="s">
        <v>1514</v>
      </c>
      <c r="BO12" s="75" t="s">
        <v>1514</v>
      </c>
      <c r="BP12" s="75" t="s">
        <v>1514</v>
      </c>
      <c r="BQ12" s="68">
        <f t="shared" si="3"/>
        <v>5</v>
      </c>
      <c r="BR12" s="69">
        <f t="shared" si="4"/>
        <v>35</v>
      </c>
      <c r="BS12" s="70">
        <f t="shared" si="5"/>
        <v>39</v>
      </c>
      <c r="BT12" s="69">
        <f t="shared" si="6"/>
        <v>70</v>
      </c>
      <c r="BU12" s="70">
        <f t="shared" si="7"/>
        <v>73</v>
      </c>
      <c r="BV12" s="69">
        <f t="shared" si="8"/>
        <v>109</v>
      </c>
      <c r="BW12" s="70">
        <f t="shared" si="9"/>
        <v>118</v>
      </c>
      <c r="BX12" s="69">
        <f t="shared" si="10"/>
        <v>166</v>
      </c>
      <c r="BY12" s="70">
        <f t="shared" si="11"/>
        <v>173</v>
      </c>
      <c r="BZ12" s="69">
        <f t="shared" si="12"/>
        <v>226</v>
      </c>
      <c r="CA12" s="70">
        <f t="shared" si="13"/>
        <v>266</v>
      </c>
      <c r="CB12" s="69">
        <f t="shared" si="14"/>
        <v>292</v>
      </c>
      <c r="CC12" s="68">
        <f t="shared" si="15"/>
        <v>34</v>
      </c>
      <c r="CD12" s="69">
        <f t="shared" si="16"/>
        <v>38</v>
      </c>
      <c r="CE12" s="70">
        <f t="shared" si="17"/>
        <v>69</v>
      </c>
      <c r="CF12" s="70">
        <f t="shared" si="18"/>
        <v>72</v>
      </c>
      <c r="CG12" s="70">
        <f t="shared" si="19"/>
        <v>108</v>
      </c>
      <c r="CH12" s="70">
        <f t="shared" si="20"/>
        <v>116</v>
      </c>
      <c r="CI12" s="70">
        <f t="shared" si="21"/>
        <v>142</v>
      </c>
      <c r="CJ12" s="70">
        <f t="shared" si="22"/>
        <v>168</v>
      </c>
      <c r="CK12" s="70">
        <f t="shared" si="23"/>
        <v>204</v>
      </c>
      <c r="CL12" s="70">
        <f t="shared" si="24"/>
        <v>259</v>
      </c>
      <c r="CM12" s="70">
        <f t="shared" si="25"/>
        <v>291</v>
      </c>
      <c r="CN12" s="70">
        <f t="shared" si="26"/>
        <v>308</v>
      </c>
      <c r="CO12" s="57">
        <f t="shared" si="27"/>
        <v>1</v>
      </c>
    </row>
    <row r="13" spans="1:93" x14ac:dyDescent="0.2">
      <c r="A13" s="3" t="str">
        <f t="shared" si="0"/>
        <v>aa2ar_human_3REY</v>
      </c>
      <c r="B13" s="3" t="s">
        <v>333</v>
      </c>
      <c r="C13" s="3" t="s">
        <v>275</v>
      </c>
      <c r="D13" s="3" t="str">
        <f>IFERROR(MID(VLOOKUP($B13,Seqs!$A:$B,2,FALSE),E13,1),"")</f>
        <v>S</v>
      </c>
      <c r="E13" s="3">
        <v>7</v>
      </c>
      <c r="F13" s="3" t="str">
        <f>IFERROR(MID(VLOOKUP($B13,Seqs!$A:$B,2,FALSE),G13,1),"")</f>
        <v>N</v>
      </c>
      <c r="G13" s="3">
        <v>34</v>
      </c>
      <c r="H13" s="3" t="str">
        <f>IFERROR(MID(VLOOKUP($B13,Seqs!$A:$B,2,FALSE),I13,1),"")</f>
        <v>S</v>
      </c>
      <c r="I13" s="57">
        <v>35</v>
      </c>
      <c r="J13" s="3" t="str">
        <f>IFERROR(MID(VLOOKUP($B13,Seqs!$A:$B,2,FALSE),K13,1),"")</f>
        <v>Q</v>
      </c>
      <c r="K13" s="57">
        <v>38</v>
      </c>
      <c r="L13" s="3" t="str">
        <f>IFERROR(MID(VLOOKUP($B13,Seqs!$A:$B,2,FALSE),M13,1),"")</f>
        <v>N</v>
      </c>
      <c r="M13" s="3">
        <v>39</v>
      </c>
      <c r="N13" s="3" t="str">
        <f>IFERROR(MID(VLOOKUP($B13,Seqs!$A:$B,2,FALSE),O13,1),"")</f>
        <v>G</v>
      </c>
      <c r="O13" s="3">
        <v>69</v>
      </c>
      <c r="P13" s="3" t="str">
        <f>IFERROR(MID(VLOOKUP($B13,Seqs!$A:$B,2,FALSE),Q13,1),"")</f>
        <v>F</v>
      </c>
      <c r="Q13" s="3">
        <v>70</v>
      </c>
      <c r="R13" s="3" t="str">
        <f>IFERROR(MID(VLOOKUP($B13,Seqs!$A:$B,2,FALSE),S13,1),"")</f>
        <v>A</v>
      </c>
      <c r="S13" s="3">
        <v>72</v>
      </c>
      <c r="T13" s="3" t="str">
        <f>IFERROR(MID(VLOOKUP($B13,Seqs!$A:$B,2,FALSE),U13,1),"")</f>
        <v>A</v>
      </c>
      <c r="U13" s="3">
        <v>73</v>
      </c>
      <c r="V13" s="3" t="str">
        <f>IFERROR(MID(VLOOKUP($B13,Seqs!$A:$B,2,FALSE),W13,1),"")</f>
        <v>I</v>
      </c>
      <c r="W13" s="3">
        <v>108</v>
      </c>
      <c r="X13" s="3" t="str">
        <f>IFERROR(MID(VLOOKUP($B13,Seqs!$A:$B,2,FALSE),Y13,1),"")</f>
        <v>P</v>
      </c>
      <c r="Y13" s="3">
        <v>109</v>
      </c>
      <c r="Z13" s="3" t="str">
        <f>IFERROR(MID(VLOOKUP($B13,Seqs!$A:$B,2,FALSE),AA13,1),"")</f>
        <v>V</v>
      </c>
      <c r="AA13" s="3">
        <v>116</v>
      </c>
      <c r="AB13" s="3" t="str">
        <f>IFERROR(MID(VLOOKUP($B13,Seqs!$A:$B,2,FALSE),AC13,1),"")</f>
        <v>G</v>
      </c>
      <c r="AC13" s="3">
        <v>118</v>
      </c>
      <c r="AD13" s="3" t="str">
        <f>IFERROR(MID(VLOOKUP($B13,Seqs!$A:$B,2,FALSE),AE13,1),"")</f>
        <v>G</v>
      </c>
      <c r="AE13" s="3">
        <v>142</v>
      </c>
      <c r="AF13" s="3" t="str">
        <f>IFERROR(MID(VLOOKUP($B13,Seqs!$A:$B,2,FALSE),AG13,1),"")</f>
        <v>C</v>
      </c>
      <c r="AG13" s="3">
        <v>166</v>
      </c>
      <c r="AH13" s="3" t="str">
        <f>IFERROR(MID(VLOOKUP($B13,Seqs!$A:$B,2,FALSE),AI13,1),"")</f>
        <v>F</v>
      </c>
      <c r="AI13" s="3">
        <v>168</v>
      </c>
      <c r="AJ13" s="3" t="str">
        <f>IFERROR(MID(VLOOKUP($B13,Seqs!$A:$B,2,FALSE),AK13,1),"")</f>
        <v>P</v>
      </c>
      <c r="AK13" s="3">
        <v>173</v>
      </c>
      <c r="AL13" s="3" t="str">
        <f>IFERROR(MID(VLOOKUP($B13,Seqs!$A:$B,2,FALSE),AM13,1),"")</f>
        <v>Q</v>
      </c>
      <c r="AM13" s="3">
        <v>210</v>
      </c>
      <c r="AN13" s="3" t="str">
        <f>IFERROR(MID(VLOOKUP($B13,Seqs!$A:$B,2,FALSE),AO13,1),"")</f>
        <v>E</v>
      </c>
      <c r="AO13" s="3">
        <v>219</v>
      </c>
      <c r="AP13" s="3" t="str">
        <f>IFERROR(MID(VLOOKUP($B13,Seqs!$A:$B,2,FALSE),AQ13,1),"")</f>
        <v>C</v>
      </c>
      <c r="AQ13" s="3">
        <v>259</v>
      </c>
      <c r="AR13" s="3" t="str">
        <f>IFERROR(MID(VLOOKUP($B13,Seqs!$A:$B,2,FALSE),AS13,1),"")</f>
        <v>P</v>
      </c>
      <c r="AS13" s="3">
        <v>266</v>
      </c>
      <c r="AT13" s="3" t="str">
        <f>IFERROR(MID(VLOOKUP($B13,Seqs!$A:$B,2,FALSE),AU13,1),"")</f>
        <v>R</v>
      </c>
      <c r="AU13" s="3">
        <v>291</v>
      </c>
      <c r="AV13" s="3" t="str">
        <f>IFERROR(MID(VLOOKUP($B13,Seqs!$A:$B,2,FALSE),AW13,1),"")</f>
        <v>I</v>
      </c>
      <c r="AW13" s="3">
        <v>292</v>
      </c>
      <c r="AX13" s="3" t="str">
        <f>IFERROR(MID(VLOOKUP($B13,Seqs!$A:$B,2,FALSE),AY13,1),"")</f>
        <v>S</v>
      </c>
      <c r="AY13" s="3">
        <v>305</v>
      </c>
      <c r="AZ13" s="83" t="str">
        <f>VLOOKUP(B13,Classification!A:D,2,FALSE)</f>
        <v>A</v>
      </c>
      <c r="BC13" s="57">
        <f t="shared" si="1"/>
        <v>257</v>
      </c>
      <c r="BD13" s="63" t="b">
        <f t="shared" si="2"/>
        <v>1</v>
      </c>
      <c r="BE13" s="68" t="s">
        <v>1514</v>
      </c>
      <c r="BF13" s="75" t="s">
        <v>1514</v>
      </c>
      <c r="BG13" s="75" t="s">
        <v>1514</v>
      </c>
      <c r="BH13" s="75" t="s">
        <v>1514</v>
      </c>
      <c r="BI13" s="75" t="s">
        <v>1514</v>
      </c>
      <c r="BJ13" s="75" t="s">
        <v>1514</v>
      </c>
      <c r="BK13" s="75" t="s">
        <v>1514</v>
      </c>
      <c r="BL13" s="75" t="s">
        <v>1514</v>
      </c>
      <c r="BM13" s="75" t="s">
        <v>1514</v>
      </c>
      <c r="BN13" s="75" t="s">
        <v>1514</v>
      </c>
      <c r="BO13" s="75" t="s">
        <v>1514</v>
      </c>
      <c r="BP13" s="75" t="s">
        <v>1514</v>
      </c>
      <c r="BQ13" s="68">
        <f t="shared" si="3"/>
        <v>7</v>
      </c>
      <c r="BR13" s="69">
        <f t="shared" si="4"/>
        <v>35</v>
      </c>
      <c r="BS13" s="70">
        <f t="shared" si="5"/>
        <v>39</v>
      </c>
      <c r="BT13" s="69">
        <f t="shared" si="6"/>
        <v>70</v>
      </c>
      <c r="BU13" s="70">
        <f t="shared" si="7"/>
        <v>73</v>
      </c>
      <c r="BV13" s="69">
        <f t="shared" si="8"/>
        <v>109</v>
      </c>
      <c r="BW13" s="70">
        <f t="shared" si="9"/>
        <v>118</v>
      </c>
      <c r="BX13" s="69">
        <f t="shared" si="10"/>
        <v>166</v>
      </c>
      <c r="BY13" s="70">
        <f t="shared" si="11"/>
        <v>173</v>
      </c>
      <c r="BZ13" s="69">
        <f t="shared" si="12"/>
        <v>219</v>
      </c>
      <c r="CA13" s="70">
        <f t="shared" si="13"/>
        <v>266</v>
      </c>
      <c r="CB13" s="69">
        <f t="shared" si="14"/>
        <v>292</v>
      </c>
      <c r="CC13" s="68">
        <f t="shared" si="15"/>
        <v>34</v>
      </c>
      <c r="CD13" s="69">
        <f t="shared" si="16"/>
        <v>38</v>
      </c>
      <c r="CE13" s="70">
        <f t="shared" si="17"/>
        <v>69</v>
      </c>
      <c r="CF13" s="70">
        <f t="shared" si="18"/>
        <v>72</v>
      </c>
      <c r="CG13" s="70">
        <f t="shared" si="19"/>
        <v>108</v>
      </c>
      <c r="CH13" s="70">
        <f t="shared" si="20"/>
        <v>116</v>
      </c>
      <c r="CI13" s="70">
        <f t="shared" si="21"/>
        <v>142</v>
      </c>
      <c r="CJ13" s="70">
        <f t="shared" si="22"/>
        <v>168</v>
      </c>
      <c r="CK13" s="70">
        <f t="shared" si="23"/>
        <v>210</v>
      </c>
      <c r="CL13" s="70">
        <f t="shared" si="24"/>
        <v>259</v>
      </c>
      <c r="CM13" s="70">
        <f t="shared" si="25"/>
        <v>291</v>
      </c>
      <c r="CN13" s="70">
        <f t="shared" si="26"/>
        <v>305</v>
      </c>
      <c r="CO13" s="57">
        <f t="shared" si="27"/>
        <v>1</v>
      </c>
    </row>
    <row r="14" spans="1:93" x14ac:dyDescent="0.2">
      <c r="A14" s="3" t="str">
        <f t="shared" si="0"/>
        <v>aa2ar_human_3RFM</v>
      </c>
      <c r="B14" s="3" t="s">
        <v>333</v>
      </c>
      <c r="C14" s="3" t="s">
        <v>1241</v>
      </c>
      <c r="D14" s="3" t="str">
        <f>IFERROR(MID(VLOOKUP($B14,Seqs!$A:$B,2,FALSE),E14,1),"")</f>
        <v>S</v>
      </c>
      <c r="E14" s="3">
        <v>7</v>
      </c>
      <c r="F14" s="3" t="str">
        <f>IFERROR(MID(VLOOKUP($B14,Seqs!$A:$B,2,FALSE),G14,1),"")</f>
        <v>N</v>
      </c>
      <c r="G14" s="3">
        <v>34</v>
      </c>
      <c r="H14" s="3" t="str">
        <f>IFERROR(MID(VLOOKUP($B14,Seqs!$A:$B,2,FALSE),I14,1),"")</f>
        <v>S</v>
      </c>
      <c r="I14" s="57">
        <v>35</v>
      </c>
      <c r="J14" s="3" t="str">
        <f>IFERROR(MID(VLOOKUP($B14,Seqs!$A:$B,2,FALSE),K14,1),"")</f>
        <v>Q</v>
      </c>
      <c r="K14" s="57">
        <v>38</v>
      </c>
      <c r="L14" s="3" t="str">
        <f>IFERROR(MID(VLOOKUP($B14,Seqs!$A:$B,2,FALSE),M14,1),"")</f>
        <v>N</v>
      </c>
      <c r="M14" s="3">
        <v>39</v>
      </c>
      <c r="N14" s="3" t="str">
        <f>IFERROR(MID(VLOOKUP($B14,Seqs!$A:$B,2,FALSE),O14,1),"")</f>
        <v>G</v>
      </c>
      <c r="O14" s="3">
        <v>69</v>
      </c>
      <c r="P14" s="3" t="str">
        <f>IFERROR(MID(VLOOKUP($B14,Seqs!$A:$B,2,FALSE),Q14,1),"")</f>
        <v>F</v>
      </c>
      <c r="Q14" s="3">
        <v>70</v>
      </c>
      <c r="R14" s="3" t="str">
        <f>IFERROR(MID(VLOOKUP($B14,Seqs!$A:$B,2,FALSE),S14,1),"")</f>
        <v>A</v>
      </c>
      <c r="S14" s="3">
        <v>72</v>
      </c>
      <c r="T14" s="3" t="str">
        <f>IFERROR(MID(VLOOKUP($B14,Seqs!$A:$B,2,FALSE),U14,1),"")</f>
        <v>A</v>
      </c>
      <c r="U14" s="3">
        <v>73</v>
      </c>
      <c r="V14" s="3" t="str">
        <f>IFERROR(MID(VLOOKUP($B14,Seqs!$A:$B,2,FALSE),W14,1),"")</f>
        <v>I</v>
      </c>
      <c r="W14" s="3">
        <v>108</v>
      </c>
      <c r="X14" s="3" t="str">
        <f>IFERROR(MID(VLOOKUP($B14,Seqs!$A:$B,2,FALSE),Y14,1),"")</f>
        <v>P</v>
      </c>
      <c r="Y14" s="3">
        <v>109</v>
      </c>
      <c r="Z14" s="3" t="str">
        <f>IFERROR(MID(VLOOKUP($B14,Seqs!$A:$B,2,FALSE),AA14,1),"")</f>
        <v>V</v>
      </c>
      <c r="AA14" s="3">
        <v>116</v>
      </c>
      <c r="AB14" s="3" t="str">
        <f>IFERROR(MID(VLOOKUP($B14,Seqs!$A:$B,2,FALSE),AC14,1),"")</f>
        <v>G</v>
      </c>
      <c r="AC14" s="3">
        <v>118</v>
      </c>
      <c r="AD14" s="3" t="str">
        <f>IFERROR(MID(VLOOKUP($B14,Seqs!$A:$B,2,FALSE),AE14,1),"")</f>
        <v>G</v>
      </c>
      <c r="AE14" s="3">
        <v>142</v>
      </c>
      <c r="AF14" s="3" t="str">
        <f>IFERROR(MID(VLOOKUP($B14,Seqs!$A:$B,2,FALSE),AG14,1),"")</f>
        <v>C</v>
      </c>
      <c r="AG14" s="3">
        <v>166</v>
      </c>
      <c r="AH14" s="3" t="str">
        <f>IFERROR(MID(VLOOKUP($B14,Seqs!$A:$B,2,FALSE),AI14,1),"")</f>
        <v>F</v>
      </c>
      <c r="AI14" s="3">
        <v>168</v>
      </c>
      <c r="AJ14" s="3" t="str">
        <f>IFERROR(MID(VLOOKUP($B14,Seqs!$A:$B,2,FALSE),AK14,1),"")</f>
        <v>P</v>
      </c>
      <c r="AK14" s="3">
        <v>173</v>
      </c>
      <c r="AL14" s="3" t="str">
        <f>IFERROR(MID(VLOOKUP($B14,Seqs!$A:$B,2,FALSE),AM14,1),"")</f>
        <v>S</v>
      </c>
      <c r="AM14" s="3">
        <v>213</v>
      </c>
      <c r="AN14" s="3" t="str">
        <f>IFERROR(MID(VLOOKUP($B14,Seqs!$A:$B,2,FALSE),AO14,1),"")</f>
        <v>E</v>
      </c>
      <c r="AO14" s="3">
        <v>219</v>
      </c>
      <c r="AP14" s="3" t="str">
        <f>IFERROR(MID(VLOOKUP($B14,Seqs!$A:$B,2,FALSE),AQ14,1),"")</f>
        <v>C</v>
      </c>
      <c r="AQ14" s="3">
        <v>259</v>
      </c>
      <c r="AR14" s="3" t="str">
        <f>IFERROR(MID(VLOOKUP($B14,Seqs!$A:$B,2,FALSE),AS14,1),"")</f>
        <v>P</v>
      </c>
      <c r="AS14" s="3">
        <v>266</v>
      </c>
      <c r="AT14" s="3" t="str">
        <f>IFERROR(MID(VLOOKUP($B14,Seqs!$A:$B,2,FALSE),AU14,1),"")</f>
        <v>R</v>
      </c>
      <c r="AU14" s="3">
        <v>291</v>
      </c>
      <c r="AV14" s="3" t="str">
        <f>IFERROR(MID(VLOOKUP($B14,Seqs!$A:$B,2,FALSE),AW14,1),"")</f>
        <v>I</v>
      </c>
      <c r="AW14" s="3">
        <v>292</v>
      </c>
      <c r="AX14" s="3" t="str">
        <f>IFERROR(MID(VLOOKUP($B14,Seqs!$A:$B,2,FALSE),AY14,1),"")</f>
        <v>S</v>
      </c>
      <c r="AY14" s="3">
        <v>305</v>
      </c>
      <c r="AZ14" s="83" t="str">
        <f>VLOOKUP(B14,Classification!A:D,2,FALSE)</f>
        <v>A</v>
      </c>
      <c r="BC14" s="57">
        <f t="shared" si="1"/>
        <v>260</v>
      </c>
      <c r="BD14" s="63" t="b">
        <f t="shared" si="2"/>
        <v>1</v>
      </c>
      <c r="BE14" s="68" t="s">
        <v>1514</v>
      </c>
      <c r="BF14" s="75" t="s">
        <v>1514</v>
      </c>
      <c r="BG14" s="75" t="s">
        <v>1514</v>
      </c>
      <c r="BH14" s="75" t="s">
        <v>1514</v>
      </c>
      <c r="BI14" s="75" t="s">
        <v>1514</v>
      </c>
      <c r="BJ14" s="75" t="s">
        <v>1514</v>
      </c>
      <c r="BK14" s="75" t="s">
        <v>1514</v>
      </c>
      <c r="BL14" s="75" t="s">
        <v>1514</v>
      </c>
      <c r="BM14" s="75" t="s">
        <v>1514</v>
      </c>
      <c r="BN14" s="75" t="s">
        <v>1514</v>
      </c>
      <c r="BO14" s="75" t="s">
        <v>1514</v>
      </c>
      <c r="BP14" s="75" t="s">
        <v>1514</v>
      </c>
      <c r="BQ14" s="68">
        <f t="shared" si="3"/>
        <v>7</v>
      </c>
      <c r="BR14" s="69">
        <f t="shared" si="4"/>
        <v>35</v>
      </c>
      <c r="BS14" s="70">
        <f t="shared" si="5"/>
        <v>39</v>
      </c>
      <c r="BT14" s="69">
        <f t="shared" si="6"/>
        <v>70</v>
      </c>
      <c r="BU14" s="70">
        <f t="shared" si="7"/>
        <v>73</v>
      </c>
      <c r="BV14" s="69">
        <f t="shared" si="8"/>
        <v>109</v>
      </c>
      <c r="BW14" s="70">
        <f t="shared" si="9"/>
        <v>118</v>
      </c>
      <c r="BX14" s="69">
        <f t="shared" si="10"/>
        <v>166</v>
      </c>
      <c r="BY14" s="70">
        <f t="shared" si="11"/>
        <v>173</v>
      </c>
      <c r="BZ14" s="69">
        <f t="shared" si="12"/>
        <v>219</v>
      </c>
      <c r="CA14" s="70">
        <f t="shared" si="13"/>
        <v>266</v>
      </c>
      <c r="CB14" s="69">
        <f t="shared" si="14"/>
        <v>292</v>
      </c>
      <c r="CC14" s="68">
        <f t="shared" si="15"/>
        <v>34</v>
      </c>
      <c r="CD14" s="69">
        <f t="shared" si="16"/>
        <v>38</v>
      </c>
      <c r="CE14" s="70">
        <f t="shared" si="17"/>
        <v>69</v>
      </c>
      <c r="CF14" s="70">
        <f t="shared" si="18"/>
        <v>72</v>
      </c>
      <c r="CG14" s="70">
        <f t="shared" si="19"/>
        <v>108</v>
      </c>
      <c r="CH14" s="70">
        <f t="shared" si="20"/>
        <v>116</v>
      </c>
      <c r="CI14" s="70">
        <f t="shared" si="21"/>
        <v>142</v>
      </c>
      <c r="CJ14" s="70">
        <f t="shared" si="22"/>
        <v>168</v>
      </c>
      <c r="CK14" s="70">
        <f t="shared" si="23"/>
        <v>213</v>
      </c>
      <c r="CL14" s="70">
        <f t="shared" si="24"/>
        <v>259</v>
      </c>
      <c r="CM14" s="70">
        <f t="shared" si="25"/>
        <v>291</v>
      </c>
      <c r="CN14" s="70">
        <f t="shared" si="26"/>
        <v>305</v>
      </c>
      <c r="CO14" s="57">
        <f t="shared" si="27"/>
        <v>1</v>
      </c>
    </row>
    <row r="15" spans="1:93" x14ac:dyDescent="0.2">
      <c r="A15" s="3" t="str">
        <f t="shared" si="0"/>
        <v>aa2ar_human_3UZA</v>
      </c>
      <c r="B15" s="3" t="s">
        <v>333</v>
      </c>
      <c r="C15" s="3" t="s">
        <v>1242</v>
      </c>
      <c r="D15" s="3" t="str">
        <f>IFERROR(MID(VLOOKUP($B15,Seqs!$A:$B,2,FALSE),E15,1),"")</f>
        <v>S</v>
      </c>
      <c r="E15" s="3">
        <v>7</v>
      </c>
      <c r="F15" s="3" t="str">
        <f>IFERROR(MID(VLOOKUP($B15,Seqs!$A:$B,2,FALSE),G15,1),"")</f>
        <v>N</v>
      </c>
      <c r="G15" s="3">
        <v>34</v>
      </c>
      <c r="H15" s="3" t="str">
        <f>IFERROR(MID(VLOOKUP($B15,Seqs!$A:$B,2,FALSE),I15,1),"")</f>
        <v>S</v>
      </c>
      <c r="I15" s="57">
        <v>35</v>
      </c>
      <c r="J15" s="3" t="str">
        <f>IFERROR(MID(VLOOKUP($B15,Seqs!$A:$B,2,FALSE),K15,1),"")</f>
        <v>Q</v>
      </c>
      <c r="K15" s="57">
        <v>38</v>
      </c>
      <c r="L15" s="3" t="str">
        <f>IFERROR(MID(VLOOKUP($B15,Seqs!$A:$B,2,FALSE),M15,1),"")</f>
        <v>N</v>
      </c>
      <c r="M15" s="3">
        <v>39</v>
      </c>
      <c r="N15" s="3" t="str">
        <f>IFERROR(MID(VLOOKUP($B15,Seqs!$A:$B,2,FALSE),O15,1),"")</f>
        <v>G</v>
      </c>
      <c r="O15" s="3">
        <v>69</v>
      </c>
      <c r="P15" s="3" t="str">
        <f>IFERROR(MID(VLOOKUP($B15,Seqs!$A:$B,2,FALSE),Q15,1),"")</f>
        <v>F</v>
      </c>
      <c r="Q15" s="3">
        <v>70</v>
      </c>
      <c r="R15" s="3" t="str">
        <f>IFERROR(MID(VLOOKUP($B15,Seqs!$A:$B,2,FALSE),S15,1),"")</f>
        <v>A</v>
      </c>
      <c r="S15" s="3">
        <v>72</v>
      </c>
      <c r="T15" s="3" t="str">
        <f>IFERROR(MID(VLOOKUP($B15,Seqs!$A:$B,2,FALSE),U15,1),"")</f>
        <v>A</v>
      </c>
      <c r="U15" s="3">
        <v>73</v>
      </c>
      <c r="V15" s="3" t="str">
        <f>IFERROR(MID(VLOOKUP($B15,Seqs!$A:$B,2,FALSE),W15,1),"")</f>
        <v>I</v>
      </c>
      <c r="W15" s="3">
        <v>108</v>
      </c>
      <c r="X15" s="3" t="str">
        <f>IFERROR(MID(VLOOKUP($B15,Seqs!$A:$B,2,FALSE),Y15,1),"")</f>
        <v>P</v>
      </c>
      <c r="Y15" s="3">
        <v>109</v>
      </c>
      <c r="Z15" s="3" t="str">
        <f>IFERROR(MID(VLOOKUP($B15,Seqs!$A:$B,2,FALSE),AA15,1),"")</f>
        <v>V</v>
      </c>
      <c r="AA15" s="3">
        <v>116</v>
      </c>
      <c r="AB15" s="3" t="str">
        <f>IFERROR(MID(VLOOKUP($B15,Seqs!$A:$B,2,FALSE),AC15,1),"")</f>
        <v>G</v>
      </c>
      <c r="AC15" s="3">
        <v>118</v>
      </c>
      <c r="AD15" s="3" t="str">
        <f>IFERROR(MID(VLOOKUP($B15,Seqs!$A:$B,2,FALSE),AE15,1),"")</f>
        <v>G</v>
      </c>
      <c r="AE15" s="3">
        <v>142</v>
      </c>
      <c r="AF15" s="3" t="str">
        <f>IFERROR(MID(VLOOKUP($B15,Seqs!$A:$B,2,FALSE),AG15,1),"")</f>
        <v>C</v>
      </c>
      <c r="AG15" s="3">
        <v>166</v>
      </c>
      <c r="AH15" s="3" t="str">
        <f>IFERROR(MID(VLOOKUP($B15,Seqs!$A:$B,2,FALSE),AI15,1),"")</f>
        <v>F</v>
      </c>
      <c r="AI15" s="3">
        <v>168</v>
      </c>
      <c r="AJ15" s="3" t="str">
        <f>IFERROR(MID(VLOOKUP($B15,Seqs!$A:$B,2,FALSE),AK15,1),"")</f>
        <v>P</v>
      </c>
      <c r="AK15" s="3">
        <v>173</v>
      </c>
      <c r="AL15" s="3" t="str">
        <f>IFERROR(MID(VLOOKUP($B15,Seqs!$A:$B,2,FALSE),AM15,1),"")</f>
        <v>S</v>
      </c>
      <c r="AM15" s="3">
        <v>213</v>
      </c>
      <c r="AN15" s="3" t="str">
        <f>IFERROR(MID(VLOOKUP($B15,Seqs!$A:$B,2,FALSE),AO15,1),"")</f>
        <v>E</v>
      </c>
      <c r="AO15" s="3">
        <v>219</v>
      </c>
      <c r="AP15" s="3" t="str">
        <f>IFERROR(MID(VLOOKUP($B15,Seqs!$A:$B,2,FALSE),AQ15,1),"")</f>
        <v>C</v>
      </c>
      <c r="AQ15" s="3">
        <v>259</v>
      </c>
      <c r="AR15" s="3" t="str">
        <f>IFERROR(MID(VLOOKUP($B15,Seqs!$A:$B,2,FALSE),AS15,1),"")</f>
        <v>P</v>
      </c>
      <c r="AS15" s="3">
        <v>266</v>
      </c>
      <c r="AT15" s="3" t="str">
        <f>IFERROR(MID(VLOOKUP($B15,Seqs!$A:$B,2,FALSE),AU15,1),"")</f>
        <v>R</v>
      </c>
      <c r="AU15" s="3">
        <v>291</v>
      </c>
      <c r="AV15" s="3" t="str">
        <f>IFERROR(MID(VLOOKUP($B15,Seqs!$A:$B,2,FALSE),AW15,1),"")</f>
        <v>I</v>
      </c>
      <c r="AW15" s="3">
        <v>292</v>
      </c>
      <c r="AX15" s="3" t="str">
        <f>IFERROR(MID(VLOOKUP($B15,Seqs!$A:$B,2,FALSE),AY15,1),"")</f>
        <v>S</v>
      </c>
      <c r="AY15" s="3">
        <v>305</v>
      </c>
      <c r="AZ15" s="83" t="str">
        <f>VLOOKUP(B15,Classification!A:D,2,FALSE)</f>
        <v>A</v>
      </c>
      <c r="BC15" s="57">
        <f t="shared" si="1"/>
        <v>260</v>
      </c>
      <c r="BD15" s="63" t="b">
        <f t="shared" si="2"/>
        <v>1</v>
      </c>
      <c r="BE15" s="68" t="s">
        <v>1514</v>
      </c>
      <c r="BF15" s="75" t="s">
        <v>1514</v>
      </c>
      <c r="BG15" s="75" t="s">
        <v>1514</v>
      </c>
      <c r="BH15" s="75" t="s">
        <v>1514</v>
      </c>
      <c r="BI15" s="75" t="s">
        <v>1514</v>
      </c>
      <c r="BJ15" s="75" t="s">
        <v>1514</v>
      </c>
      <c r="BK15" s="75" t="s">
        <v>1514</v>
      </c>
      <c r="BL15" s="75" t="s">
        <v>1514</v>
      </c>
      <c r="BM15" s="75" t="s">
        <v>1514</v>
      </c>
      <c r="BN15" s="75" t="s">
        <v>1514</v>
      </c>
      <c r="BO15" s="75" t="s">
        <v>1514</v>
      </c>
      <c r="BP15" s="75" t="s">
        <v>1514</v>
      </c>
      <c r="BQ15" s="68">
        <f t="shared" si="3"/>
        <v>7</v>
      </c>
      <c r="BR15" s="69">
        <f t="shared" si="4"/>
        <v>35</v>
      </c>
      <c r="BS15" s="70">
        <f t="shared" si="5"/>
        <v>39</v>
      </c>
      <c r="BT15" s="69">
        <f t="shared" si="6"/>
        <v>70</v>
      </c>
      <c r="BU15" s="70">
        <f t="shared" si="7"/>
        <v>73</v>
      </c>
      <c r="BV15" s="69">
        <f t="shared" si="8"/>
        <v>109</v>
      </c>
      <c r="BW15" s="70">
        <f t="shared" si="9"/>
        <v>118</v>
      </c>
      <c r="BX15" s="69">
        <f t="shared" si="10"/>
        <v>166</v>
      </c>
      <c r="BY15" s="70">
        <f t="shared" si="11"/>
        <v>173</v>
      </c>
      <c r="BZ15" s="69">
        <f t="shared" si="12"/>
        <v>219</v>
      </c>
      <c r="CA15" s="70">
        <f t="shared" si="13"/>
        <v>266</v>
      </c>
      <c r="CB15" s="69">
        <f t="shared" si="14"/>
        <v>292</v>
      </c>
      <c r="CC15" s="68">
        <f t="shared" si="15"/>
        <v>34</v>
      </c>
      <c r="CD15" s="69">
        <f t="shared" si="16"/>
        <v>38</v>
      </c>
      <c r="CE15" s="70">
        <f t="shared" si="17"/>
        <v>69</v>
      </c>
      <c r="CF15" s="70">
        <f t="shared" si="18"/>
        <v>72</v>
      </c>
      <c r="CG15" s="70">
        <f t="shared" si="19"/>
        <v>108</v>
      </c>
      <c r="CH15" s="70">
        <f t="shared" si="20"/>
        <v>116</v>
      </c>
      <c r="CI15" s="70">
        <f t="shared" si="21"/>
        <v>142</v>
      </c>
      <c r="CJ15" s="70">
        <f t="shared" si="22"/>
        <v>168</v>
      </c>
      <c r="CK15" s="70">
        <f t="shared" si="23"/>
        <v>213</v>
      </c>
      <c r="CL15" s="70">
        <f t="shared" si="24"/>
        <v>259</v>
      </c>
      <c r="CM15" s="70">
        <f t="shared" si="25"/>
        <v>291</v>
      </c>
      <c r="CN15" s="70">
        <f t="shared" si="26"/>
        <v>305</v>
      </c>
      <c r="CO15" s="57">
        <f t="shared" si="27"/>
        <v>1</v>
      </c>
    </row>
    <row r="16" spans="1:93" x14ac:dyDescent="0.2">
      <c r="A16" s="3" t="str">
        <f t="shared" si="0"/>
        <v>aa2ar_human_3UZC</v>
      </c>
      <c r="B16" s="3" t="s">
        <v>333</v>
      </c>
      <c r="C16" s="3" t="s">
        <v>1243</v>
      </c>
      <c r="D16" s="3" t="str">
        <f>IFERROR(MID(VLOOKUP($B16,Seqs!$A:$B,2,FALSE),E16,1),"")</f>
        <v>S</v>
      </c>
      <c r="E16" s="3">
        <v>7</v>
      </c>
      <c r="F16" s="3" t="str">
        <f>IFERROR(MID(VLOOKUP($B16,Seqs!$A:$B,2,FALSE),G16,1),"")</f>
        <v>N</v>
      </c>
      <c r="G16" s="3">
        <v>34</v>
      </c>
      <c r="H16" s="3" t="str">
        <f>IFERROR(MID(VLOOKUP($B16,Seqs!$A:$B,2,FALSE),I16,1),"")</f>
        <v>S</v>
      </c>
      <c r="I16" s="57">
        <v>35</v>
      </c>
      <c r="J16" s="3" t="str">
        <f>IFERROR(MID(VLOOKUP($B16,Seqs!$A:$B,2,FALSE),K16,1),"")</f>
        <v>Q</v>
      </c>
      <c r="K16" s="57">
        <v>38</v>
      </c>
      <c r="L16" s="3" t="str">
        <f>IFERROR(MID(VLOOKUP($B16,Seqs!$A:$B,2,FALSE),M16,1),"")</f>
        <v>N</v>
      </c>
      <c r="M16" s="3">
        <v>39</v>
      </c>
      <c r="N16" s="3" t="str">
        <f>IFERROR(MID(VLOOKUP($B16,Seqs!$A:$B,2,FALSE),O16,1),"")</f>
        <v>G</v>
      </c>
      <c r="O16" s="3">
        <v>69</v>
      </c>
      <c r="P16" s="3" t="str">
        <f>IFERROR(MID(VLOOKUP($B16,Seqs!$A:$B,2,FALSE),Q16,1),"")</f>
        <v>F</v>
      </c>
      <c r="Q16" s="3">
        <v>70</v>
      </c>
      <c r="R16" s="3" t="str">
        <f>IFERROR(MID(VLOOKUP($B16,Seqs!$A:$B,2,FALSE),S16,1),"")</f>
        <v>A</v>
      </c>
      <c r="S16" s="3">
        <v>72</v>
      </c>
      <c r="T16" s="3" t="str">
        <f>IFERROR(MID(VLOOKUP($B16,Seqs!$A:$B,2,FALSE),U16,1),"")</f>
        <v>A</v>
      </c>
      <c r="U16" s="3">
        <v>73</v>
      </c>
      <c r="V16" s="3" t="str">
        <f>IFERROR(MID(VLOOKUP($B16,Seqs!$A:$B,2,FALSE),W16,1),"")</f>
        <v>I</v>
      </c>
      <c r="W16" s="3">
        <v>108</v>
      </c>
      <c r="X16" s="3" t="str">
        <f>IFERROR(MID(VLOOKUP($B16,Seqs!$A:$B,2,FALSE),Y16,1),"")</f>
        <v>P</v>
      </c>
      <c r="Y16" s="3">
        <v>109</v>
      </c>
      <c r="Z16" s="3" t="str">
        <f>IFERROR(MID(VLOOKUP($B16,Seqs!$A:$B,2,FALSE),AA16,1),"")</f>
        <v>V</v>
      </c>
      <c r="AA16" s="3">
        <v>116</v>
      </c>
      <c r="AB16" s="3" t="str">
        <f>IFERROR(MID(VLOOKUP($B16,Seqs!$A:$B,2,FALSE),AC16,1),"")</f>
        <v>G</v>
      </c>
      <c r="AC16" s="3">
        <v>118</v>
      </c>
      <c r="AD16" s="3" t="str">
        <f>IFERROR(MID(VLOOKUP($B16,Seqs!$A:$B,2,FALSE),AE16,1),"")</f>
        <v>G</v>
      </c>
      <c r="AE16" s="3">
        <v>142</v>
      </c>
      <c r="AF16" s="3" t="str">
        <f>IFERROR(MID(VLOOKUP($B16,Seqs!$A:$B,2,FALSE),AG16,1),"")</f>
        <v>C</v>
      </c>
      <c r="AG16" s="3">
        <v>166</v>
      </c>
      <c r="AH16" s="3" t="str">
        <f>IFERROR(MID(VLOOKUP($B16,Seqs!$A:$B,2,FALSE),AI16,1),"")</f>
        <v>F</v>
      </c>
      <c r="AI16" s="3">
        <v>168</v>
      </c>
      <c r="AJ16" s="3" t="str">
        <f>IFERROR(MID(VLOOKUP($B16,Seqs!$A:$B,2,FALSE),AK16,1),"")</f>
        <v>P</v>
      </c>
      <c r="AK16" s="3">
        <v>173</v>
      </c>
      <c r="AL16" s="3" t="str">
        <f>IFERROR(MID(VLOOKUP($B16,Seqs!$A:$B,2,FALSE),AM16,1),"")</f>
        <v>Q</v>
      </c>
      <c r="AM16" s="3">
        <v>210</v>
      </c>
      <c r="AN16" s="3" t="str">
        <f>IFERROR(MID(VLOOKUP($B16,Seqs!$A:$B,2,FALSE),AO16,1),"")</f>
        <v>E</v>
      </c>
      <c r="AO16" s="3">
        <v>219</v>
      </c>
      <c r="AP16" s="3" t="str">
        <f>IFERROR(MID(VLOOKUP($B16,Seqs!$A:$B,2,FALSE),AQ16,1),"")</f>
        <v>C</v>
      </c>
      <c r="AQ16" s="3">
        <v>259</v>
      </c>
      <c r="AR16" s="3" t="str">
        <f>IFERROR(MID(VLOOKUP($B16,Seqs!$A:$B,2,FALSE),AS16,1),"")</f>
        <v>P</v>
      </c>
      <c r="AS16" s="3">
        <v>266</v>
      </c>
      <c r="AT16" s="3" t="str">
        <f>IFERROR(MID(VLOOKUP($B16,Seqs!$A:$B,2,FALSE),AU16,1),"")</f>
        <v>R</v>
      </c>
      <c r="AU16" s="3">
        <v>291</v>
      </c>
      <c r="AV16" s="3" t="str">
        <f>IFERROR(MID(VLOOKUP($B16,Seqs!$A:$B,2,FALSE),AW16,1),"")</f>
        <v>I</v>
      </c>
      <c r="AW16" s="3">
        <v>292</v>
      </c>
      <c r="AX16" s="3" t="str">
        <f>IFERROR(MID(VLOOKUP($B16,Seqs!$A:$B,2,FALSE),AY16,1),"")</f>
        <v>S</v>
      </c>
      <c r="AY16" s="3">
        <v>305</v>
      </c>
      <c r="AZ16" s="83" t="str">
        <f>VLOOKUP(B16,Classification!A:D,2,FALSE)</f>
        <v>A</v>
      </c>
      <c r="BC16" s="57">
        <f t="shared" si="1"/>
        <v>257</v>
      </c>
      <c r="BD16" s="63" t="b">
        <f t="shared" si="2"/>
        <v>1</v>
      </c>
      <c r="BE16" s="68" t="s">
        <v>1514</v>
      </c>
      <c r="BF16" s="75" t="s">
        <v>1514</v>
      </c>
      <c r="BG16" s="75" t="s">
        <v>1514</v>
      </c>
      <c r="BH16" s="75" t="s">
        <v>1514</v>
      </c>
      <c r="BI16" s="75" t="s">
        <v>1514</v>
      </c>
      <c r="BJ16" s="75" t="s">
        <v>1514</v>
      </c>
      <c r="BK16" s="75" t="s">
        <v>1514</v>
      </c>
      <c r="BL16" s="75" t="s">
        <v>1514</v>
      </c>
      <c r="BM16" s="75" t="s">
        <v>1514</v>
      </c>
      <c r="BN16" s="75" t="s">
        <v>1514</v>
      </c>
      <c r="BO16" s="75" t="s">
        <v>1514</v>
      </c>
      <c r="BP16" s="75" t="s">
        <v>1514</v>
      </c>
      <c r="BQ16" s="68">
        <f t="shared" si="3"/>
        <v>7</v>
      </c>
      <c r="BR16" s="69">
        <f t="shared" si="4"/>
        <v>35</v>
      </c>
      <c r="BS16" s="70">
        <f t="shared" si="5"/>
        <v>39</v>
      </c>
      <c r="BT16" s="69">
        <f t="shared" si="6"/>
        <v>70</v>
      </c>
      <c r="BU16" s="70">
        <f t="shared" si="7"/>
        <v>73</v>
      </c>
      <c r="BV16" s="69">
        <f t="shared" si="8"/>
        <v>109</v>
      </c>
      <c r="BW16" s="70">
        <f t="shared" si="9"/>
        <v>118</v>
      </c>
      <c r="BX16" s="69">
        <f t="shared" si="10"/>
        <v>166</v>
      </c>
      <c r="BY16" s="70">
        <f t="shared" si="11"/>
        <v>173</v>
      </c>
      <c r="BZ16" s="69">
        <f t="shared" si="12"/>
        <v>219</v>
      </c>
      <c r="CA16" s="70">
        <f t="shared" si="13"/>
        <v>266</v>
      </c>
      <c r="CB16" s="69">
        <f t="shared" si="14"/>
        <v>292</v>
      </c>
      <c r="CC16" s="68">
        <f t="shared" si="15"/>
        <v>34</v>
      </c>
      <c r="CD16" s="69">
        <f t="shared" si="16"/>
        <v>38</v>
      </c>
      <c r="CE16" s="70">
        <f t="shared" si="17"/>
        <v>69</v>
      </c>
      <c r="CF16" s="70">
        <f t="shared" si="18"/>
        <v>72</v>
      </c>
      <c r="CG16" s="70">
        <f t="shared" si="19"/>
        <v>108</v>
      </c>
      <c r="CH16" s="70">
        <f t="shared" si="20"/>
        <v>116</v>
      </c>
      <c r="CI16" s="70">
        <f t="shared" si="21"/>
        <v>142</v>
      </c>
      <c r="CJ16" s="70">
        <f t="shared" si="22"/>
        <v>168</v>
      </c>
      <c r="CK16" s="70">
        <f t="shared" si="23"/>
        <v>210</v>
      </c>
      <c r="CL16" s="70">
        <f t="shared" si="24"/>
        <v>259</v>
      </c>
      <c r="CM16" s="70">
        <f t="shared" si="25"/>
        <v>291</v>
      </c>
      <c r="CN16" s="70">
        <f t="shared" si="26"/>
        <v>305</v>
      </c>
      <c r="CO16" s="57">
        <f t="shared" si="27"/>
        <v>1</v>
      </c>
    </row>
    <row r="17" spans="1:93" x14ac:dyDescent="0.2">
      <c r="A17" s="3" t="str">
        <f t="shared" si="0"/>
        <v>aa2ar_human_4EIY</v>
      </c>
      <c r="B17" s="3" t="s">
        <v>333</v>
      </c>
      <c r="C17" s="3" t="s">
        <v>272</v>
      </c>
      <c r="D17" s="3" t="str">
        <f>IFERROR(MID(VLOOKUP($B17,Seqs!$A:$B,2,FALSE),E17,1),"")</f>
        <v>P</v>
      </c>
      <c r="E17" s="3">
        <v>2</v>
      </c>
      <c r="F17" s="3" t="str">
        <f>IFERROR(MID(VLOOKUP($B17,Seqs!$A:$B,2,FALSE),G17,1),"")</f>
        <v>N</v>
      </c>
      <c r="G17" s="3">
        <v>34</v>
      </c>
      <c r="H17" s="3" t="str">
        <f>IFERROR(MID(VLOOKUP($B17,Seqs!$A:$B,2,FALSE),I17,1),"")</f>
        <v>S</v>
      </c>
      <c r="I17" s="57">
        <v>35</v>
      </c>
      <c r="J17" s="3" t="str">
        <f>IFERROR(MID(VLOOKUP($B17,Seqs!$A:$B,2,FALSE),K17,1),"")</f>
        <v>Q</v>
      </c>
      <c r="K17" s="57">
        <v>38</v>
      </c>
      <c r="L17" s="3" t="str">
        <f>IFERROR(MID(VLOOKUP($B17,Seqs!$A:$B,2,FALSE),M17,1),"")</f>
        <v>N</v>
      </c>
      <c r="M17" s="3">
        <v>39</v>
      </c>
      <c r="N17" s="3" t="str">
        <f>IFERROR(MID(VLOOKUP($B17,Seqs!$A:$B,2,FALSE),O17,1),"")</f>
        <v>G</v>
      </c>
      <c r="O17" s="3">
        <v>69</v>
      </c>
      <c r="P17" s="3" t="str">
        <f>IFERROR(MID(VLOOKUP($B17,Seqs!$A:$B,2,FALSE),Q17,1),"")</f>
        <v>F</v>
      </c>
      <c r="Q17" s="3">
        <v>70</v>
      </c>
      <c r="R17" s="3" t="str">
        <f>IFERROR(MID(VLOOKUP($B17,Seqs!$A:$B,2,FALSE),S17,1),"")</f>
        <v>A</v>
      </c>
      <c r="S17" s="3">
        <v>72</v>
      </c>
      <c r="T17" s="3" t="str">
        <f>IFERROR(MID(VLOOKUP($B17,Seqs!$A:$B,2,FALSE),U17,1),"")</f>
        <v>A</v>
      </c>
      <c r="U17" s="3">
        <v>73</v>
      </c>
      <c r="V17" s="3" t="str">
        <f>IFERROR(MID(VLOOKUP($B17,Seqs!$A:$B,2,FALSE),W17,1),"")</f>
        <v>I</v>
      </c>
      <c r="W17" s="3">
        <v>108</v>
      </c>
      <c r="X17" s="3" t="str">
        <f>IFERROR(MID(VLOOKUP($B17,Seqs!$A:$B,2,FALSE),Y17,1),"")</f>
        <v>P</v>
      </c>
      <c r="Y17" s="3">
        <v>109</v>
      </c>
      <c r="Z17" s="3" t="str">
        <f>IFERROR(MID(VLOOKUP($B17,Seqs!$A:$B,2,FALSE),AA17,1),"")</f>
        <v>V</v>
      </c>
      <c r="AA17" s="3">
        <v>116</v>
      </c>
      <c r="AB17" s="3" t="str">
        <f>IFERROR(MID(VLOOKUP($B17,Seqs!$A:$B,2,FALSE),AC17,1),"")</f>
        <v>G</v>
      </c>
      <c r="AC17" s="3">
        <v>118</v>
      </c>
      <c r="AD17" s="3" t="str">
        <f>IFERROR(MID(VLOOKUP($B17,Seqs!$A:$B,2,FALSE),AE17,1),"")</f>
        <v>G</v>
      </c>
      <c r="AE17" s="3">
        <v>142</v>
      </c>
      <c r="AF17" s="3" t="str">
        <f>IFERROR(MID(VLOOKUP($B17,Seqs!$A:$B,2,FALSE),AG17,1),"")</f>
        <v>C</v>
      </c>
      <c r="AG17" s="3">
        <v>166</v>
      </c>
      <c r="AH17" s="3" t="str">
        <f>IFERROR(MID(VLOOKUP($B17,Seqs!$A:$B,2,FALSE),AI17,1),"")</f>
        <v>F</v>
      </c>
      <c r="AI17" s="3">
        <v>168</v>
      </c>
      <c r="AJ17" s="3" t="str">
        <f>IFERROR(MID(VLOOKUP($B17,Seqs!$A:$B,2,FALSE),AK17,1),"")</f>
        <v>P</v>
      </c>
      <c r="AK17" s="3">
        <v>173</v>
      </c>
      <c r="AL17" s="3" t="str">
        <f>IFERROR(MID(VLOOKUP($B17,Seqs!$A:$B,2,FALSE),AM17,1),"")</f>
        <v>Q</v>
      </c>
      <c r="AM17" s="3">
        <v>207</v>
      </c>
      <c r="AN17" s="3" t="str">
        <f>IFERROR(MID(VLOOKUP($B17,Seqs!$A:$B,2,FALSE),AO17,1),"")</f>
        <v>E</v>
      </c>
      <c r="AO17" s="3">
        <v>219</v>
      </c>
      <c r="AP17" s="3" t="str">
        <f>IFERROR(MID(VLOOKUP($B17,Seqs!$A:$B,2,FALSE),AQ17,1),"")</f>
        <v>C</v>
      </c>
      <c r="AQ17" s="3">
        <v>259</v>
      </c>
      <c r="AR17" s="3" t="str">
        <f>IFERROR(MID(VLOOKUP($B17,Seqs!$A:$B,2,FALSE),AS17,1),"")</f>
        <v>P</v>
      </c>
      <c r="AS17" s="3">
        <v>266</v>
      </c>
      <c r="AT17" s="3" t="str">
        <f>IFERROR(MID(VLOOKUP($B17,Seqs!$A:$B,2,FALSE),AU17,1),"")</f>
        <v>R</v>
      </c>
      <c r="AU17" s="3">
        <v>291</v>
      </c>
      <c r="AV17" s="3" t="str">
        <f>IFERROR(MID(VLOOKUP($B17,Seqs!$A:$B,2,FALSE),AW17,1),"")</f>
        <v>I</v>
      </c>
      <c r="AW17" s="3">
        <v>292</v>
      </c>
      <c r="AX17" s="3" t="str">
        <f>IFERROR(MID(VLOOKUP($B17,Seqs!$A:$B,2,FALSE),AY17,1),"")</f>
        <v>V</v>
      </c>
      <c r="AY17" s="3">
        <v>307</v>
      </c>
      <c r="AZ17" s="83" t="str">
        <f>VLOOKUP(B17,Classification!A:D,2,FALSE)</f>
        <v>A</v>
      </c>
      <c r="BC17" s="57">
        <f t="shared" si="1"/>
        <v>261</v>
      </c>
      <c r="BD17" s="63" t="b">
        <f t="shared" si="2"/>
        <v>1</v>
      </c>
      <c r="BE17" s="68" t="s">
        <v>1514</v>
      </c>
      <c r="BF17" s="75" t="s">
        <v>1514</v>
      </c>
      <c r="BG17" s="75" t="s">
        <v>1514</v>
      </c>
      <c r="BH17" s="75" t="s">
        <v>1514</v>
      </c>
      <c r="BI17" s="75" t="s">
        <v>1514</v>
      </c>
      <c r="BJ17" s="75" t="s">
        <v>1514</v>
      </c>
      <c r="BK17" s="75" t="s">
        <v>1514</v>
      </c>
      <c r="BL17" s="75" t="s">
        <v>1514</v>
      </c>
      <c r="BM17" s="75" t="s">
        <v>1514</v>
      </c>
      <c r="BN17" s="75" t="s">
        <v>1514</v>
      </c>
      <c r="BO17" s="75" t="s">
        <v>1514</v>
      </c>
      <c r="BP17" s="75" t="s">
        <v>1514</v>
      </c>
      <c r="BQ17" s="68">
        <f t="shared" si="3"/>
        <v>2</v>
      </c>
      <c r="BR17" s="69">
        <f t="shared" si="4"/>
        <v>35</v>
      </c>
      <c r="BS17" s="70">
        <f t="shared" si="5"/>
        <v>39</v>
      </c>
      <c r="BT17" s="69">
        <f t="shared" si="6"/>
        <v>70</v>
      </c>
      <c r="BU17" s="70">
        <f t="shared" si="7"/>
        <v>73</v>
      </c>
      <c r="BV17" s="69">
        <f t="shared" si="8"/>
        <v>109</v>
      </c>
      <c r="BW17" s="70">
        <f t="shared" si="9"/>
        <v>118</v>
      </c>
      <c r="BX17" s="69">
        <f t="shared" si="10"/>
        <v>166</v>
      </c>
      <c r="BY17" s="70">
        <f t="shared" si="11"/>
        <v>173</v>
      </c>
      <c r="BZ17" s="69">
        <f t="shared" si="12"/>
        <v>219</v>
      </c>
      <c r="CA17" s="70">
        <f t="shared" si="13"/>
        <v>266</v>
      </c>
      <c r="CB17" s="69">
        <f t="shared" si="14"/>
        <v>292</v>
      </c>
      <c r="CC17" s="68">
        <f t="shared" si="15"/>
        <v>34</v>
      </c>
      <c r="CD17" s="69">
        <f t="shared" si="16"/>
        <v>38</v>
      </c>
      <c r="CE17" s="70">
        <f t="shared" si="17"/>
        <v>69</v>
      </c>
      <c r="CF17" s="70">
        <f t="shared" si="18"/>
        <v>72</v>
      </c>
      <c r="CG17" s="70">
        <f t="shared" si="19"/>
        <v>108</v>
      </c>
      <c r="CH17" s="70">
        <f t="shared" si="20"/>
        <v>116</v>
      </c>
      <c r="CI17" s="70">
        <f t="shared" si="21"/>
        <v>142</v>
      </c>
      <c r="CJ17" s="70">
        <f t="shared" si="22"/>
        <v>168</v>
      </c>
      <c r="CK17" s="70">
        <f t="shared" si="23"/>
        <v>207</v>
      </c>
      <c r="CL17" s="70">
        <f t="shared" si="24"/>
        <v>259</v>
      </c>
      <c r="CM17" s="70">
        <f t="shared" si="25"/>
        <v>291</v>
      </c>
      <c r="CN17" s="70">
        <f t="shared" si="26"/>
        <v>307</v>
      </c>
      <c r="CO17" s="57">
        <f t="shared" si="27"/>
        <v>1</v>
      </c>
    </row>
    <row r="18" spans="1:93" x14ac:dyDescent="0.2">
      <c r="A18" s="3" t="str">
        <f>CONCATENATE(B18,"_",C18)</f>
        <v>aa2ar_human_4UHR</v>
      </c>
      <c r="B18" s="3" t="s">
        <v>333</v>
      </c>
      <c r="C18" s="3" t="s">
        <v>1261</v>
      </c>
      <c r="D18" s="3" t="str">
        <f>IFERROR(MID(VLOOKUP($B18,Seqs!$A:$B,2,FALSE),E18,1),"")</f>
        <v>S</v>
      </c>
      <c r="E18" s="3">
        <v>6</v>
      </c>
      <c r="F18" s="3" t="str">
        <f>IFERROR(MID(VLOOKUP($B18,Seqs!$A:$B,2,FALSE),G18,1),"")</f>
        <v>N</v>
      </c>
      <c r="G18" s="3">
        <v>34</v>
      </c>
      <c r="H18" s="3" t="str">
        <f>IFERROR(MID(VLOOKUP($B18,Seqs!$A:$B,2,FALSE),I18,1),"")</f>
        <v>S</v>
      </c>
      <c r="I18" s="57">
        <v>35</v>
      </c>
      <c r="J18" s="3" t="str">
        <f>IFERROR(MID(VLOOKUP($B18,Seqs!$A:$B,2,FALSE),K18,1),"")</f>
        <v>Q</v>
      </c>
      <c r="K18" s="57">
        <v>38</v>
      </c>
      <c r="L18" s="3" t="str">
        <f>IFERROR(MID(VLOOKUP($B18,Seqs!$A:$B,2,FALSE),M18,1),"")</f>
        <v>N</v>
      </c>
      <c r="M18" s="3">
        <v>39</v>
      </c>
      <c r="N18" s="3" t="str">
        <f>IFERROR(MID(VLOOKUP($B18,Seqs!$A:$B,2,FALSE),O18,1),"")</f>
        <v>G</v>
      </c>
      <c r="O18" s="3">
        <v>69</v>
      </c>
      <c r="P18" s="3" t="str">
        <f>IFERROR(MID(VLOOKUP($B18,Seqs!$A:$B,2,FALSE),Q18,1),"")</f>
        <v>F</v>
      </c>
      <c r="Q18" s="3">
        <v>70</v>
      </c>
      <c r="R18" s="3" t="str">
        <f>IFERROR(MID(VLOOKUP($B18,Seqs!$A:$B,2,FALSE),S18,1),"")</f>
        <v>A</v>
      </c>
      <c r="S18" s="3">
        <v>72</v>
      </c>
      <c r="T18" s="3" t="str">
        <f>IFERROR(MID(VLOOKUP($B18,Seqs!$A:$B,2,FALSE),U18,1),"")</f>
        <v>A</v>
      </c>
      <c r="U18" s="3">
        <v>73</v>
      </c>
      <c r="V18" s="3" t="str">
        <f>IFERROR(MID(VLOOKUP($B18,Seqs!$A:$B,2,FALSE),W18,1),"")</f>
        <v>I</v>
      </c>
      <c r="W18" s="3">
        <v>108</v>
      </c>
      <c r="X18" s="3" t="str">
        <f>IFERROR(MID(VLOOKUP($B18,Seqs!$A:$B,2,FALSE),Y18,1),"")</f>
        <v>P</v>
      </c>
      <c r="Y18" s="3">
        <v>109</v>
      </c>
      <c r="Z18" s="3" t="str">
        <f>IFERROR(MID(VLOOKUP($B18,Seqs!$A:$B,2,FALSE),AA18,1),"")</f>
        <v>V</v>
      </c>
      <c r="AA18" s="3">
        <v>116</v>
      </c>
      <c r="AB18" s="3" t="str">
        <f>IFERROR(MID(VLOOKUP($B18,Seqs!$A:$B,2,FALSE),AC18,1),"")</f>
        <v>G</v>
      </c>
      <c r="AC18" s="3">
        <v>118</v>
      </c>
      <c r="AD18" s="3" t="str">
        <f>IFERROR(MID(VLOOKUP($B18,Seqs!$A:$B,2,FALSE),AE18,1),"")</f>
        <v>G</v>
      </c>
      <c r="AE18" s="3">
        <v>142</v>
      </c>
      <c r="AF18" s="3" t="str">
        <f>IFERROR(MID(VLOOKUP($B18,Seqs!$A:$B,2,FALSE),AG18,1),"")</f>
        <v>C</v>
      </c>
      <c r="AG18" s="3">
        <v>166</v>
      </c>
      <c r="AH18" s="3" t="str">
        <f>IFERROR(MID(VLOOKUP($B18,Seqs!$A:$B,2,FALSE),AI18,1),"")</f>
        <v>F</v>
      </c>
      <c r="AI18" s="3">
        <v>168</v>
      </c>
      <c r="AJ18" s="3" t="str">
        <f>IFERROR(MID(VLOOKUP($B18,Seqs!$A:$B,2,FALSE),AK18,1),"")</f>
        <v>P</v>
      </c>
      <c r="AK18" s="3">
        <v>173</v>
      </c>
      <c r="AL18" s="3" t="str">
        <f>IFERROR(MID(VLOOKUP($B18,Seqs!$A:$B,2,FALSE),AM18,1),"")</f>
        <v>S</v>
      </c>
      <c r="AM18" s="3">
        <v>213</v>
      </c>
      <c r="AN18" s="3" t="str">
        <f>IFERROR(MID(VLOOKUP($B18,Seqs!$A:$B,2,FALSE),AO18,1),"")</f>
        <v>E</v>
      </c>
      <c r="AO18" s="3">
        <v>219</v>
      </c>
      <c r="AP18" s="3" t="str">
        <f>IFERROR(MID(VLOOKUP($B18,Seqs!$A:$B,2,FALSE),AQ18,1),"")</f>
        <v>C</v>
      </c>
      <c r="AQ18" s="3">
        <v>259</v>
      </c>
      <c r="AR18" s="3" t="str">
        <f>IFERROR(MID(VLOOKUP($B18,Seqs!$A:$B,2,FALSE),AS18,1),"")</f>
        <v>P</v>
      </c>
      <c r="AS18" s="3">
        <v>266</v>
      </c>
      <c r="AT18" s="3" t="str">
        <f>IFERROR(MID(VLOOKUP($B18,Seqs!$A:$B,2,FALSE),AU18,1),"")</f>
        <v>R</v>
      </c>
      <c r="AU18" s="3">
        <v>291</v>
      </c>
      <c r="AV18" s="3" t="str">
        <f>IFERROR(MID(VLOOKUP($B18,Seqs!$A:$B,2,FALSE),AW18,1),"")</f>
        <v>I</v>
      </c>
      <c r="AW18" s="3">
        <v>292</v>
      </c>
      <c r="AX18" s="3" t="str">
        <f>IFERROR(MID(VLOOKUP($B18,Seqs!$A:$B,2,FALSE),AY18,1),"")</f>
        <v>Q</v>
      </c>
      <c r="AY18" s="3">
        <v>311</v>
      </c>
      <c r="AZ18" s="83" t="str">
        <f>VLOOKUP(B18,Classification!A:D,2,FALSE)</f>
        <v>A</v>
      </c>
      <c r="BB18" s="35" t="s">
        <v>1315</v>
      </c>
      <c r="BC18" s="57">
        <f>_xlfn.AGGREGATE(9,6,CC18:CN18)-_xlfn.AGGREGATE(9,6,BQ18:CB18)+12</f>
        <v>267</v>
      </c>
      <c r="BD18" s="63" t="b">
        <f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E18" s="68" t="s">
        <v>1514</v>
      </c>
      <c r="BF18" s="75" t="s">
        <v>1514</v>
      </c>
      <c r="BG18" s="75" t="s">
        <v>1514</v>
      </c>
      <c r="BH18" s="75" t="s">
        <v>1514</v>
      </c>
      <c r="BI18" s="75" t="s">
        <v>1514</v>
      </c>
      <c r="BJ18" s="75" t="s">
        <v>1514</v>
      </c>
      <c r="BK18" s="75" t="s">
        <v>1514</v>
      </c>
      <c r="BL18" s="75" t="s">
        <v>1514</v>
      </c>
      <c r="BM18" s="75" t="s">
        <v>1514</v>
      </c>
      <c r="BN18" s="75" t="s">
        <v>1514</v>
      </c>
      <c r="BO18" s="75" t="s">
        <v>1514</v>
      </c>
      <c r="BP18" s="75" t="s">
        <v>1514</v>
      </c>
      <c r="BQ18" s="68">
        <f t="shared" si="3"/>
        <v>6</v>
      </c>
      <c r="BR18" s="69">
        <f t="shared" si="4"/>
        <v>35</v>
      </c>
      <c r="BS18" s="70">
        <f t="shared" si="5"/>
        <v>39</v>
      </c>
      <c r="BT18" s="69">
        <f t="shared" si="6"/>
        <v>70</v>
      </c>
      <c r="BU18" s="70">
        <f t="shared" si="7"/>
        <v>73</v>
      </c>
      <c r="BV18" s="69">
        <f t="shared" si="8"/>
        <v>109</v>
      </c>
      <c r="BW18" s="70">
        <f t="shared" si="9"/>
        <v>118</v>
      </c>
      <c r="BX18" s="69">
        <f t="shared" si="10"/>
        <v>166</v>
      </c>
      <c r="BY18" s="70">
        <f t="shared" si="11"/>
        <v>173</v>
      </c>
      <c r="BZ18" s="69">
        <f t="shared" si="12"/>
        <v>219</v>
      </c>
      <c r="CA18" s="70">
        <f t="shared" si="13"/>
        <v>266</v>
      </c>
      <c r="CB18" s="69">
        <f t="shared" si="14"/>
        <v>292</v>
      </c>
      <c r="CC18" s="68">
        <f t="shared" si="15"/>
        <v>34</v>
      </c>
      <c r="CD18" s="69">
        <f t="shared" si="16"/>
        <v>38</v>
      </c>
      <c r="CE18" s="70">
        <f t="shared" si="17"/>
        <v>69</v>
      </c>
      <c r="CF18" s="70">
        <f t="shared" si="18"/>
        <v>72</v>
      </c>
      <c r="CG18" s="70">
        <f t="shared" si="19"/>
        <v>108</v>
      </c>
      <c r="CH18" s="70">
        <f t="shared" si="20"/>
        <v>116</v>
      </c>
      <c r="CI18" s="70">
        <f t="shared" si="21"/>
        <v>142</v>
      </c>
      <c r="CJ18" s="70">
        <f t="shared" si="22"/>
        <v>168</v>
      </c>
      <c r="CK18" s="70">
        <f t="shared" si="23"/>
        <v>213</v>
      </c>
      <c r="CL18" s="70">
        <f t="shared" si="24"/>
        <v>259</v>
      </c>
      <c r="CM18" s="70">
        <f t="shared" si="25"/>
        <v>291</v>
      </c>
      <c r="CN18" s="70">
        <f t="shared" si="26"/>
        <v>311</v>
      </c>
      <c r="CO18" s="57">
        <f t="shared" si="27"/>
        <v>1</v>
      </c>
    </row>
    <row r="19" spans="1:93" x14ac:dyDescent="0.2">
      <c r="A19" s="3" t="str">
        <f t="shared" ref="A19" si="56">CONCATENATE(B19,"_",C19)</f>
        <v>aa2ar_human_5G53</v>
      </c>
      <c r="B19" s="3" t="s">
        <v>333</v>
      </c>
      <c r="C19" s="3" t="s">
        <v>1519</v>
      </c>
      <c r="D19" s="3" t="str">
        <f>IFERROR(MID(VLOOKUP($B19,Seqs!$A:$B,2,FALSE),E19,1),"")</f>
        <v>S</v>
      </c>
      <c r="E19" s="3">
        <v>6</v>
      </c>
      <c r="F19" s="3" t="str">
        <f>IFERROR(MID(VLOOKUP($B19,Seqs!$A:$B,2,FALSE),G19,1),"")</f>
        <v>N</v>
      </c>
      <c r="G19" s="3">
        <v>34</v>
      </c>
      <c r="H19" s="3" t="str">
        <f>IFERROR(MID(VLOOKUP($B19,Seqs!$A:$B,2,FALSE),I19,1),"")</f>
        <v>S</v>
      </c>
      <c r="I19" s="57">
        <v>35</v>
      </c>
      <c r="J19" s="3" t="str">
        <f>IFERROR(MID(VLOOKUP($B19,Seqs!$A:$B,2,FALSE),K19,1),"")</f>
        <v>Q</v>
      </c>
      <c r="K19" s="57">
        <v>38</v>
      </c>
      <c r="L19" s="3" t="str">
        <f>IFERROR(MID(VLOOKUP($B19,Seqs!$A:$B,2,FALSE),M19,1),"")</f>
        <v>N</v>
      </c>
      <c r="M19" s="3">
        <v>39</v>
      </c>
      <c r="N19" s="3" t="str">
        <f>IFERROR(MID(VLOOKUP($B19,Seqs!$A:$B,2,FALSE),O19,1),"")</f>
        <v>G</v>
      </c>
      <c r="O19" s="3">
        <v>69</v>
      </c>
      <c r="P19" s="3" t="str">
        <f>IFERROR(MID(VLOOKUP($B19,Seqs!$A:$B,2,FALSE),Q19,1),"")</f>
        <v>F</v>
      </c>
      <c r="Q19" s="3">
        <v>70</v>
      </c>
      <c r="R19" s="3" t="str">
        <f>IFERROR(MID(VLOOKUP($B19,Seqs!$A:$B,2,FALSE),S19,1),"")</f>
        <v>A</v>
      </c>
      <c r="S19" s="3">
        <v>72</v>
      </c>
      <c r="T19" s="3" t="str">
        <f>IFERROR(MID(VLOOKUP($B19,Seqs!$A:$B,2,FALSE),U19,1),"")</f>
        <v>A</v>
      </c>
      <c r="U19" s="3">
        <v>73</v>
      </c>
      <c r="V19" s="3" t="str">
        <f>IFERROR(MID(VLOOKUP($B19,Seqs!$A:$B,2,FALSE),W19,1),"")</f>
        <v>I</v>
      </c>
      <c r="W19" s="3">
        <v>108</v>
      </c>
      <c r="X19" s="3" t="str">
        <f>IFERROR(MID(VLOOKUP($B19,Seqs!$A:$B,2,FALSE),Y19,1),"")</f>
        <v>P</v>
      </c>
      <c r="Y19" s="3">
        <v>109</v>
      </c>
      <c r="Z19" s="3" t="str">
        <f>IFERROR(MID(VLOOKUP($B19,Seqs!$A:$B,2,FALSE),AA19,1),"")</f>
        <v>V</v>
      </c>
      <c r="AA19" s="3">
        <v>116</v>
      </c>
      <c r="AB19" s="3" t="str">
        <f>IFERROR(MID(VLOOKUP($B19,Seqs!$A:$B,2,FALSE),AC19,1),"")</f>
        <v>G</v>
      </c>
      <c r="AC19" s="3">
        <v>118</v>
      </c>
      <c r="AD19" s="3" t="str">
        <f>IFERROR(MID(VLOOKUP($B19,Seqs!$A:$B,2,FALSE),AE19,1),"")</f>
        <v>G</v>
      </c>
      <c r="AE19" s="3">
        <v>142</v>
      </c>
      <c r="AF19" s="3" t="str">
        <f>IFERROR(MID(VLOOKUP($B19,Seqs!$A:$B,2,FALSE),AG19,1),"")</f>
        <v>C</v>
      </c>
      <c r="AG19" s="3">
        <v>166</v>
      </c>
      <c r="AH19" s="3" t="str">
        <f>IFERROR(MID(VLOOKUP($B19,Seqs!$A:$B,2,FALSE),AI19,1),"")</f>
        <v>F</v>
      </c>
      <c r="AI19" s="3">
        <v>168</v>
      </c>
      <c r="AJ19" s="3" t="str">
        <f>IFERROR(MID(VLOOKUP($B19,Seqs!$A:$B,2,FALSE),AK19,1),"")</f>
        <v>P</v>
      </c>
      <c r="AK19" s="3">
        <v>173</v>
      </c>
      <c r="AL19" s="3" t="str">
        <f>IFERROR(MID(VLOOKUP($B19,Seqs!$A:$B,2,FALSE),AM19,1),"")</f>
        <v>M</v>
      </c>
      <c r="AM19" s="3">
        <v>211</v>
      </c>
      <c r="AN19" s="3" t="str">
        <f>IFERROR(MID(VLOOKUP($B19,Seqs!$A:$B,2,FALSE),AO19,1),"")</f>
        <v>Q</v>
      </c>
      <c r="AO19" s="3">
        <v>226</v>
      </c>
      <c r="AP19" s="3" t="str">
        <f>IFERROR(MID(VLOOKUP($B19,Seqs!$A:$B,2,FALSE),AQ19,1),"")</f>
        <v>C</v>
      </c>
      <c r="AQ19" s="3">
        <v>259</v>
      </c>
      <c r="AR19" s="3" t="str">
        <f>IFERROR(MID(VLOOKUP($B19,Seqs!$A:$B,2,FALSE),AS19,1),"")</f>
        <v>P</v>
      </c>
      <c r="AS19" s="3">
        <v>266</v>
      </c>
      <c r="AT19" s="3" t="str">
        <f>IFERROR(MID(VLOOKUP($B19,Seqs!$A:$B,2,FALSE),AU19,1),"")</f>
        <v>R</v>
      </c>
      <c r="AU19" s="3">
        <v>291</v>
      </c>
      <c r="AV19" s="3" t="str">
        <f>IFERROR(MID(VLOOKUP($B19,Seqs!$A:$B,2,FALSE),AW19,1),"")</f>
        <v>I</v>
      </c>
      <c r="AW19" s="3">
        <v>292</v>
      </c>
      <c r="AX19" s="3" t="str">
        <f>IFERROR(MID(VLOOKUP($B19,Seqs!$A:$B,2,FALSE),AY19,1),"")</f>
        <v>Q</v>
      </c>
      <c r="AY19" s="3">
        <v>311</v>
      </c>
      <c r="AZ19" s="83" t="str">
        <f>VLOOKUP(B19,Classification!A:D,2,FALSE)</f>
        <v>A</v>
      </c>
      <c r="BC19" s="57">
        <f t="shared" ref="BC19" si="57">_xlfn.AGGREGATE(9,6,CC19:CN19)-_xlfn.AGGREGATE(9,6,BQ19:CB19)+12</f>
        <v>258</v>
      </c>
      <c r="BD19" s="63" t="b">
        <f t="shared" ref="BD19" si="58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E19" s="68" t="s">
        <v>1514</v>
      </c>
      <c r="BF19" s="75" t="s">
        <v>1514</v>
      </c>
      <c r="BG19" s="75" t="s">
        <v>1514</v>
      </c>
      <c r="BH19" s="75" t="s">
        <v>1514</v>
      </c>
      <c r="BI19" s="75" t="s">
        <v>1514</v>
      </c>
      <c r="BJ19" s="75" t="s">
        <v>1514</v>
      </c>
      <c r="BK19" s="75" t="s">
        <v>1514</v>
      </c>
      <c r="BL19" s="75" t="s">
        <v>1514</v>
      </c>
      <c r="BM19" s="75" t="s">
        <v>1514</v>
      </c>
      <c r="BN19" s="75" t="s">
        <v>1514</v>
      </c>
      <c r="BO19" s="75" t="s">
        <v>1514</v>
      </c>
      <c r="BP19" s="75" t="s">
        <v>1514</v>
      </c>
      <c r="BQ19" s="68">
        <f t="shared" si="3"/>
        <v>6</v>
      </c>
      <c r="BR19" s="69">
        <f t="shared" si="4"/>
        <v>35</v>
      </c>
      <c r="BS19" s="70">
        <f t="shared" si="5"/>
        <v>39</v>
      </c>
      <c r="BT19" s="69">
        <f t="shared" si="6"/>
        <v>70</v>
      </c>
      <c r="BU19" s="70">
        <f t="shared" si="7"/>
        <v>73</v>
      </c>
      <c r="BV19" s="69">
        <f t="shared" si="8"/>
        <v>109</v>
      </c>
      <c r="BW19" s="70">
        <f t="shared" si="9"/>
        <v>118</v>
      </c>
      <c r="BX19" s="69">
        <f t="shared" si="10"/>
        <v>166</v>
      </c>
      <c r="BY19" s="70">
        <f t="shared" si="11"/>
        <v>173</v>
      </c>
      <c r="BZ19" s="69">
        <f t="shared" si="12"/>
        <v>226</v>
      </c>
      <c r="CA19" s="70">
        <f t="shared" si="13"/>
        <v>266</v>
      </c>
      <c r="CB19" s="69">
        <f t="shared" si="14"/>
        <v>292</v>
      </c>
      <c r="CC19" s="68">
        <f t="shared" si="15"/>
        <v>34</v>
      </c>
      <c r="CD19" s="69">
        <f t="shared" si="16"/>
        <v>38</v>
      </c>
      <c r="CE19" s="70">
        <f t="shared" si="17"/>
        <v>69</v>
      </c>
      <c r="CF19" s="70">
        <f t="shared" si="18"/>
        <v>72</v>
      </c>
      <c r="CG19" s="70">
        <f t="shared" si="19"/>
        <v>108</v>
      </c>
      <c r="CH19" s="70">
        <f t="shared" si="20"/>
        <v>116</v>
      </c>
      <c r="CI19" s="70">
        <f t="shared" si="21"/>
        <v>142</v>
      </c>
      <c r="CJ19" s="70">
        <f t="shared" si="22"/>
        <v>168</v>
      </c>
      <c r="CK19" s="70">
        <f t="shared" si="23"/>
        <v>211</v>
      </c>
      <c r="CL19" s="70">
        <f t="shared" si="24"/>
        <v>259</v>
      </c>
      <c r="CM19" s="70">
        <f t="shared" si="25"/>
        <v>291</v>
      </c>
      <c r="CN19" s="70">
        <f t="shared" si="26"/>
        <v>311</v>
      </c>
      <c r="CO19" s="57">
        <f t="shared" si="27"/>
        <v>1</v>
      </c>
    </row>
    <row r="20" spans="1:93" x14ac:dyDescent="0.2">
      <c r="A20" s="3" t="str">
        <f t="shared" ref="A20" si="59">CONCATENATE(B20,"_",C20)</f>
        <v>aa2ar_human_3VG9</v>
      </c>
      <c r="B20" s="3" t="s">
        <v>333</v>
      </c>
      <c r="C20" s="3" t="s">
        <v>1319</v>
      </c>
      <c r="D20" s="3" t="str">
        <f>IFERROR(MID(VLOOKUP($B20,Seqs!$A:$B,2,FALSE),E20,1),"")</f>
        <v>S</v>
      </c>
      <c r="E20" s="3">
        <v>6</v>
      </c>
      <c r="F20" s="3" t="str">
        <f>IFERROR(MID(VLOOKUP($B20,Seqs!$A:$B,2,FALSE),G20,1),"")</f>
        <v>N</v>
      </c>
      <c r="G20" s="3">
        <v>34</v>
      </c>
      <c r="H20" s="3" t="str">
        <f>IFERROR(MID(VLOOKUP($B20,Seqs!$A:$B,2,FALSE),I20,1),"")</f>
        <v>S</v>
      </c>
      <c r="I20" s="57">
        <v>35</v>
      </c>
      <c r="J20" s="3" t="str">
        <f>IFERROR(MID(VLOOKUP($B20,Seqs!$A:$B,2,FALSE),K20,1),"")</f>
        <v>Q</v>
      </c>
      <c r="K20" s="57">
        <v>38</v>
      </c>
      <c r="L20" s="3" t="str">
        <f>IFERROR(MID(VLOOKUP($B20,Seqs!$A:$B,2,FALSE),M20,1),"")</f>
        <v>N</v>
      </c>
      <c r="M20" s="3">
        <v>39</v>
      </c>
      <c r="N20" s="3" t="str">
        <f>IFERROR(MID(VLOOKUP($B20,Seqs!$A:$B,2,FALSE),O20,1),"")</f>
        <v>G</v>
      </c>
      <c r="O20" s="3">
        <v>69</v>
      </c>
      <c r="P20" s="3" t="str">
        <f>IFERROR(MID(VLOOKUP($B20,Seqs!$A:$B,2,FALSE),Q20,1),"")</f>
        <v>F</v>
      </c>
      <c r="Q20" s="3">
        <v>70</v>
      </c>
      <c r="R20" s="3" t="str">
        <f>IFERROR(MID(VLOOKUP($B20,Seqs!$A:$B,2,FALSE),S20,1),"")</f>
        <v>A</v>
      </c>
      <c r="S20" s="3">
        <v>72</v>
      </c>
      <c r="T20" s="3" t="str">
        <f>IFERROR(MID(VLOOKUP($B20,Seqs!$A:$B,2,FALSE),U20,1),"")</f>
        <v>A</v>
      </c>
      <c r="U20" s="3">
        <v>73</v>
      </c>
      <c r="V20" s="3" t="str">
        <f>IFERROR(MID(VLOOKUP($B20,Seqs!$A:$B,2,FALSE),W20,1),"")</f>
        <v>I</v>
      </c>
      <c r="W20" s="3">
        <v>108</v>
      </c>
      <c r="X20" s="3" t="str">
        <f>IFERROR(MID(VLOOKUP($B20,Seqs!$A:$B,2,FALSE),Y20,1),"")</f>
        <v>P</v>
      </c>
      <c r="Y20" s="3">
        <v>109</v>
      </c>
      <c r="Z20" s="3" t="str">
        <f>IFERROR(MID(VLOOKUP($B20,Seqs!$A:$B,2,FALSE),AA20,1),"")</f>
        <v>V</v>
      </c>
      <c r="AA20" s="3">
        <v>116</v>
      </c>
      <c r="AB20" s="3" t="str">
        <f>IFERROR(MID(VLOOKUP($B20,Seqs!$A:$B,2,FALSE),AC20,1),"")</f>
        <v>G</v>
      </c>
      <c r="AC20" s="3">
        <v>118</v>
      </c>
      <c r="AD20" s="3" t="str">
        <f>IFERROR(MID(VLOOKUP($B20,Seqs!$A:$B,2,FALSE),AE20,1),"")</f>
        <v>G</v>
      </c>
      <c r="AE20" s="3">
        <v>142</v>
      </c>
      <c r="AF20" s="3" t="str">
        <f>IFERROR(MID(VLOOKUP($B20,Seqs!$A:$B,2,FALSE),AG20,1),"")</f>
        <v>C</v>
      </c>
      <c r="AG20" s="3">
        <v>166</v>
      </c>
      <c r="AH20" s="3" t="str">
        <f>IFERROR(MID(VLOOKUP($B20,Seqs!$A:$B,2,FALSE),AI20,1),"")</f>
        <v>F</v>
      </c>
      <c r="AI20" s="3">
        <v>168</v>
      </c>
      <c r="AJ20" s="3" t="str">
        <f>IFERROR(MID(VLOOKUP($B20,Seqs!$A:$B,2,FALSE),AK20,1),"")</f>
        <v>P</v>
      </c>
      <c r="AK20" s="3">
        <v>173</v>
      </c>
      <c r="AL20" s="3" t="str">
        <f>IFERROR(MID(VLOOKUP($B20,Seqs!$A:$B,2,FALSE),AM20,1),"")</f>
        <v>Q</v>
      </c>
      <c r="AM20" s="3">
        <v>214</v>
      </c>
      <c r="AN20" s="3" t="str">
        <f>IFERROR(MID(VLOOKUP($B20,Seqs!$A:$B,2,FALSE),AO20,1),"")</f>
        <v>A</v>
      </c>
      <c r="AO20" s="3">
        <v>221</v>
      </c>
      <c r="AP20" s="3" t="str">
        <f>IFERROR(MID(VLOOKUP($B20,Seqs!$A:$B,2,FALSE),AQ20,1),"")</f>
        <v>C</v>
      </c>
      <c r="AQ20" s="3">
        <v>259</v>
      </c>
      <c r="AR20" s="3" t="str">
        <f>IFERROR(MID(VLOOKUP($B20,Seqs!$A:$B,2,FALSE),AS20,1),"")</f>
        <v>P</v>
      </c>
      <c r="AS20" s="3">
        <v>266</v>
      </c>
      <c r="AT20" s="3" t="str">
        <f>IFERROR(MID(VLOOKUP($B20,Seqs!$A:$B,2,FALSE),AU20,1),"")</f>
        <v>R</v>
      </c>
      <c r="AU20" s="3">
        <v>291</v>
      </c>
      <c r="AV20" s="3" t="str">
        <f>IFERROR(MID(VLOOKUP($B20,Seqs!$A:$B,2,FALSE),AW20,1),"")</f>
        <v>I</v>
      </c>
      <c r="AW20" s="3">
        <v>292</v>
      </c>
      <c r="AX20" s="3" t="str">
        <f>IFERROR(MID(VLOOKUP($B20,Seqs!$A:$B,2,FALSE),AY20,1),"")</f>
        <v>Q</v>
      </c>
      <c r="AY20" s="3">
        <v>311</v>
      </c>
      <c r="AZ20" s="83" t="str">
        <f>VLOOKUP(B20,Classification!A:D,2,FALSE)</f>
        <v>A</v>
      </c>
      <c r="BC20" s="57">
        <f t="shared" ref="BC20" si="60">_xlfn.AGGREGATE(9,6,CC20:CN20)-_xlfn.AGGREGATE(9,6,BQ20:CB20)+12</f>
        <v>266</v>
      </c>
      <c r="BD20" s="63" t="b">
        <f t="shared" ref="BD20" si="61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E20" s="68" t="s">
        <v>1514</v>
      </c>
      <c r="BF20" s="75" t="s">
        <v>1514</v>
      </c>
      <c r="BG20" s="75" t="s">
        <v>1514</v>
      </c>
      <c r="BH20" s="75" t="s">
        <v>1514</v>
      </c>
      <c r="BI20" s="75" t="s">
        <v>1514</v>
      </c>
      <c r="BJ20" s="75" t="s">
        <v>1514</v>
      </c>
      <c r="BK20" s="75" t="s">
        <v>1514</v>
      </c>
      <c r="BL20" s="75" t="s">
        <v>1514</v>
      </c>
      <c r="BM20" s="75" t="s">
        <v>1514</v>
      </c>
      <c r="BN20" s="75" t="s">
        <v>1514</v>
      </c>
      <c r="BO20" s="75" t="s">
        <v>1514</v>
      </c>
      <c r="BP20" s="75" t="s">
        <v>1514</v>
      </c>
      <c r="BQ20" s="68">
        <f t="shared" si="3"/>
        <v>6</v>
      </c>
      <c r="BR20" s="69">
        <f t="shared" si="4"/>
        <v>35</v>
      </c>
      <c r="BS20" s="70">
        <f t="shared" si="5"/>
        <v>39</v>
      </c>
      <c r="BT20" s="69">
        <f t="shared" si="6"/>
        <v>70</v>
      </c>
      <c r="BU20" s="70">
        <f t="shared" si="7"/>
        <v>73</v>
      </c>
      <c r="BV20" s="69">
        <f t="shared" si="8"/>
        <v>109</v>
      </c>
      <c r="BW20" s="70">
        <f t="shared" si="9"/>
        <v>118</v>
      </c>
      <c r="BX20" s="69">
        <f t="shared" si="10"/>
        <v>166</v>
      </c>
      <c r="BY20" s="70">
        <f t="shared" si="11"/>
        <v>173</v>
      </c>
      <c r="BZ20" s="69">
        <f t="shared" si="12"/>
        <v>221</v>
      </c>
      <c r="CA20" s="70">
        <f t="shared" si="13"/>
        <v>266</v>
      </c>
      <c r="CB20" s="69">
        <f t="shared" si="14"/>
        <v>292</v>
      </c>
      <c r="CC20" s="68">
        <f t="shared" si="15"/>
        <v>34</v>
      </c>
      <c r="CD20" s="69">
        <f t="shared" si="16"/>
        <v>38</v>
      </c>
      <c r="CE20" s="70">
        <f t="shared" si="17"/>
        <v>69</v>
      </c>
      <c r="CF20" s="70">
        <f t="shared" si="18"/>
        <v>72</v>
      </c>
      <c r="CG20" s="70">
        <f t="shared" si="19"/>
        <v>108</v>
      </c>
      <c r="CH20" s="70">
        <f t="shared" si="20"/>
        <v>116</v>
      </c>
      <c r="CI20" s="70">
        <f t="shared" si="21"/>
        <v>142</v>
      </c>
      <c r="CJ20" s="70">
        <f t="shared" si="22"/>
        <v>168</v>
      </c>
      <c r="CK20" s="70">
        <f t="shared" si="23"/>
        <v>214</v>
      </c>
      <c r="CL20" s="70">
        <f t="shared" si="24"/>
        <v>259</v>
      </c>
      <c r="CM20" s="70">
        <f t="shared" si="25"/>
        <v>291</v>
      </c>
      <c r="CN20" s="70">
        <f t="shared" si="26"/>
        <v>311</v>
      </c>
      <c r="CO20" s="57">
        <f t="shared" si="27"/>
        <v>1</v>
      </c>
    </row>
    <row r="21" spans="1:93" x14ac:dyDescent="0.2">
      <c r="A21" s="3" t="str">
        <f t="shared" si="0"/>
        <v>acm1_human__wt</v>
      </c>
      <c r="B21" s="3" t="s">
        <v>340</v>
      </c>
      <c r="C21" s="3" t="s">
        <v>294</v>
      </c>
      <c r="D21" s="3" t="str">
        <f>IFERROR(MID(VLOOKUP($B21,Seqs!$A:$B,2,FALSE),E21,1),"")</f>
        <v>P</v>
      </c>
      <c r="E21" s="3">
        <v>22</v>
      </c>
      <c r="F21" s="3" t="str">
        <f>IFERROR(MID(VLOOKUP($B21,Seqs!$A:$B,2,FALSE),G21,1),"")</f>
        <v>N</v>
      </c>
      <c r="G21" s="3">
        <v>53</v>
      </c>
      <c r="H21" s="3" t="str">
        <f>IFERROR(MID(VLOOKUP($B21,Seqs!$A:$B,2,FALSE),I21,1),"")</f>
        <v>T</v>
      </c>
      <c r="I21" s="57">
        <v>54</v>
      </c>
      <c r="J21" s="3" t="str">
        <f>IFERROR(MID(VLOOKUP($B21,Seqs!$A:$B,2,FALSE),K21,1),"")</f>
        <v>K</v>
      </c>
      <c r="K21" s="57">
        <v>57</v>
      </c>
      <c r="L21" s="3" t="str">
        <f>IFERROR(MID(VLOOKUP($B21,Seqs!$A:$B,2,FALSE),M21,1),"")</f>
        <v>T</v>
      </c>
      <c r="M21" s="3">
        <v>58</v>
      </c>
      <c r="N21" s="3" t="str">
        <f>IFERROR(MID(VLOOKUP($B21,Seqs!$A:$B,2,FALSE),O21,1),"")</f>
        <v>M</v>
      </c>
      <c r="O21" s="3">
        <v>88</v>
      </c>
      <c r="P21" s="3" t="str">
        <f>IFERROR(MID(VLOOKUP($B21,Seqs!$A:$B,2,FALSE),Q21,1),"")</f>
        <v>H</v>
      </c>
      <c r="Q21" s="3">
        <v>90</v>
      </c>
      <c r="R21" s="3" t="str">
        <f>IFERROR(MID(VLOOKUP($B21,Seqs!$A:$B,2,FALSE),S21,1),"")</f>
        <v>L</v>
      </c>
      <c r="S21" s="3">
        <v>93</v>
      </c>
      <c r="T21" s="3" t="str">
        <f>IFERROR(MID(VLOOKUP($B21,Seqs!$A:$B,2,FALSE),U21,1),"")</f>
        <v>G</v>
      </c>
      <c r="U21" s="3">
        <v>94</v>
      </c>
      <c r="V21" s="3" t="str">
        <f>IFERROR(MID(VLOOKUP($B21,Seqs!$A:$B,2,FALSE),W21,1),"")</f>
        <v>R</v>
      </c>
      <c r="W21" s="3">
        <v>129</v>
      </c>
      <c r="X21" s="3" t="str">
        <f>IFERROR(MID(VLOOKUP($B21,Seqs!$A:$B,2,FALSE),Y21,1),"")</f>
        <v>P</v>
      </c>
      <c r="Y21" s="3">
        <v>130</v>
      </c>
      <c r="Z21" s="3" t="str">
        <f>IFERROR(MID(VLOOKUP($B21,Seqs!$A:$B,2,FALSE),AA21,1),"")</f>
        <v>R</v>
      </c>
      <c r="AA21" s="3">
        <v>137</v>
      </c>
      <c r="AB21" s="3" t="str">
        <f>IFERROR(MID(VLOOKUP($B21,Seqs!$A:$B,2,FALSE),AC21,1),"")</f>
        <v>P</v>
      </c>
      <c r="AC21" s="3">
        <v>139</v>
      </c>
      <c r="AD21" s="3" t="str">
        <f>IFERROR(MID(VLOOKUP($B21,Seqs!$A:$B,2,FALSE),AE21,1),"")</f>
        <v>G</v>
      </c>
      <c r="AE21" s="3">
        <v>169</v>
      </c>
      <c r="AF21" s="3" t="str">
        <f>IFERROR(MID(VLOOKUP($B21,Seqs!$A:$B,2,FALSE),AG21,1),"")</f>
        <v>C</v>
      </c>
      <c r="AG21" s="3">
        <v>178</v>
      </c>
      <c r="AH21" s="3" t="str">
        <f>IFERROR(MID(VLOOKUP($B21,Seqs!$A:$B,2,FALSE),AI21,1),"")</f>
        <v>I</v>
      </c>
      <c r="AI21" s="3">
        <v>180</v>
      </c>
      <c r="AJ21" s="3" t="str">
        <f>IFERROR(MID(VLOOKUP($B21,Seqs!$A:$B,2,FALSE),AK21,1),"")</f>
        <v>Q</v>
      </c>
      <c r="AK21" s="3">
        <v>185</v>
      </c>
      <c r="AL21" s="3" t="str">
        <f>IFERROR(MID(VLOOKUP($B21,Seqs!$A:$B,2,FALSE),AM21,1),"")</f>
        <v>L</v>
      </c>
      <c r="AM21" s="3">
        <v>225</v>
      </c>
      <c r="AN21" s="3" t="str">
        <f>IFERROR(MID(VLOOKUP($B21,Seqs!$A:$B,2,FALSE),AO21,1),"")</f>
        <v>T</v>
      </c>
      <c r="AO21" s="3">
        <v>354</v>
      </c>
      <c r="AP21" s="3" t="str">
        <f>IFERROR(MID(VLOOKUP($B21,Seqs!$A:$B,2,FALSE),AQ21,1),"")</f>
        <v>C</v>
      </c>
      <c r="AQ21" s="3">
        <v>391</v>
      </c>
      <c r="AR21" s="3" t="str">
        <f>IFERROR(MID(VLOOKUP($B21,Seqs!$A:$B,2,FALSE),AS21,1),"")</f>
        <v>P</v>
      </c>
      <c r="AS21" s="3">
        <v>396</v>
      </c>
      <c r="AT21" s="3" t="str">
        <f>IFERROR(MID(VLOOKUP($B21,Seqs!$A:$B,2,FALSE),AU21,1),"")</f>
        <v>C</v>
      </c>
      <c r="AU21" s="3">
        <v>421</v>
      </c>
      <c r="AV21" s="3" t="str">
        <f>IFERROR(MID(VLOOKUP($B21,Seqs!$A:$B,2,FALSE),AW21,1),"")</f>
        <v>N</v>
      </c>
      <c r="AW21" s="3">
        <v>422</v>
      </c>
      <c r="AX21" s="3" t="str">
        <f>IFERROR(MID(VLOOKUP($B21,Seqs!$A:$B,2,FALSE),AY21,1),"")</f>
        <v>L</v>
      </c>
      <c r="AY21" s="3">
        <v>434</v>
      </c>
      <c r="AZ21" s="83" t="str">
        <f>VLOOKUP(B21,Classification!A:D,2,FALSE)</f>
        <v>A</v>
      </c>
      <c r="BB21" s="82">
        <f>S21-Q21+1</f>
        <v>4</v>
      </c>
      <c r="BC21" s="57">
        <f t="shared" si="1"/>
        <v>267</v>
      </c>
      <c r="BD21" s="63" t="b">
        <f t="shared" si="2"/>
        <v>1</v>
      </c>
      <c r="BE21" s="68" t="s">
        <v>1514</v>
      </c>
      <c r="BF21" s="75" t="s">
        <v>1514</v>
      </c>
      <c r="BG21" s="75" t="s">
        <v>1514</v>
      </c>
      <c r="BH21" s="75" t="s">
        <v>1514</v>
      </c>
      <c r="BI21" s="75" t="s">
        <v>1514</v>
      </c>
      <c r="BJ21" s="75" t="s">
        <v>1514</v>
      </c>
      <c r="BK21" s="75" t="s">
        <v>1514</v>
      </c>
      <c r="BL21" s="75" t="s">
        <v>1514</v>
      </c>
      <c r="BM21" s="75" t="s">
        <v>1514</v>
      </c>
      <c r="BN21" s="75" t="s">
        <v>1514</v>
      </c>
      <c r="BO21" s="75" t="s">
        <v>1514</v>
      </c>
      <c r="BP21" s="75" t="s">
        <v>1514</v>
      </c>
      <c r="BQ21" s="68">
        <f t="shared" si="3"/>
        <v>22</v>
      </c>
      <c r="BR21" s="69">
        <f t="shared" si="4"/>
        <v>54</v>
      </c>
      <c r="BS21" s="70">
        <f t="shared" si="5"/>
        <v>58</v>
      </c>
      <c r="BT21" s="69">
        <f t="shared" si="6"/>
        <v>90</v>
      </c>
      <c r="BU21" s="70">
        <f t="shared" si="7"/>
        <v>94</v>
      </c>
      <c r="BV21" s="69">
        <f t="shared" si="8"/>
        <v>130</v>
      </c>
      <c r="BW21" s="70">
        <f t="shared" si="9"/>
        <v>139</v>
      </c>
      <c r="BX21" s="69">
        <f t="shared" si="10"/>
        <v>178</v>
      </c>
      <c r="BY21" s="70">
        <f t="shared" si="11"/>
        <v>185</v>
      </c>
      <c r="BZ21" s="69">
        <f t="shared" si="12"/>
        <v>354</v>
      </c>
      <c r="CA21" s="70">
        <f t="shared" si="13"/>
        <v>396</v>
      </c>
      <c r="CB21" s="69">
        <f t="shared" si="14"/>
        <v>422</v>
      </c>
      <c r="CC21" s="68">
        <f t="shared" si="15"/>
        <v>53</v>
      </c>
      <c r="CD21" s="69">
        <f t="shared" si="16"/>
        <v>57</v>
      </c>
      <c r="CE21" s="70">
        <f t="shared" si="17"/>
        <v>88</v>
      </c>
      <c r="CF21" s="70">
        <f t="shared" si="18"/>
        <v>93</v>
      </c>
      <c r="CG21" s="70">
        <f t="shared" si="19"/>
        <v>129</v>
      </c>
      <c r="CH21" s="70">
        <f t="shared" si="20"/>
        <v>137</v>
      </c>
      <c r="CI21" s="70">
        <f t="shared" si="21"/>
        <v>169</v>
      </c>
      <c r="CJ21" s="70">
        <f t="shared" si="22"/>
        <v>180</v>
      </c>
      <c r="CK21" s="70">
        <f t="shared" si="23"/>
        <v>225</v>
      </c>
      <c r="CL21" s="70">
        <f t="shared" si="24"/>
        <v>391</v>
      </c>
      <c r="CM21" s="70">
        <f t="shared" si="25"/>
        <v>421</v>
      </c>
      <c r="CN21" s="70">
        <f t="shared" si="26"/>
        <v>434</v>
      </c>
      <c r="CO21" s="57">
        <f t="shared" si="27"/>
        <v>1</v>
      </c>
    </row>
    <row r="22" spans="1:93" x14ac:dyDescent="0.2">
      <c r="A22" s="3" t="str">
        <f t="shared" si="0"/>
        <v>acm1_human_5CXV</v>
      </c>
      <c r="B22" s="3" t="s">
        <v>340</v>
      </c>
      <c r="C22" s="3" t="s">
        <v>253</v>
      </c>
      <c r="D22" s="3" t="str">
        <f>IFERROR(MID(VLOOKUP($B22,Seqs!$A:$B,2,FALSE),E22,1),"")</f>
        <v>P</v>
      </c>
      <c r="E22" s="3">
        <v>22</v>
      </c>
      <c r="F22" s="3" t="str">
        <f>IFERROR(MID(VLOOKUP($B22,Seqs!$A:$B,2,FALSE),G22,1),"")</f>
        <v>N</v>
      </c>
      <c r="G22" s="3">
        <v>53</v>
      </c>
      <c r="H22" s="3" t="str">
        <f>IFERROR(MID(VLOOKUP($B22,Seqs!$A:$B,2,FALSE),I22,1),"")</f>
        <v>T</v>
      </c>
      <c r="I22" s="57">
        <v>54</v>
      </c>
      <c r="J22" s="3" t="str">
        <f>IFERROR(MID(VLOOKUP($B22,Seqs!$A:$B,2,FALSE),K22,1),"")</f>
        <v>K</v>
      </c>
      <c r="K22" s="57">
        <v>57</v>
      </c>
      <c r="L22" s="3" t="str">
        <f>IFERROR(MID(VLOOKUP($B22,Seqs!$A:$B,2,FALSE),M22,1),"")</f>
        <v>T</v>
      </c>
      <c r="M22" s="3">
        <v>58</v>
      </c>
      <c r="N22" s="3" t="str">
        <f>IFERROR(MID(VLOOKUP($B22,Seqs!$A:$B,2,FALSE),O22,1),"")</f>
        <v>M</v>
      </c>
      <c r="O22" s="3">
        <v>88</v>
      </c>
      <c r="P22" s="3" t="str">
        <f>IFERROR(MID(VLOOKUP($B22,Seqs!$A:$B,2,FALSE),Q22,1),"")</f>
        <v>H</v>
      </c>
      <c r="Q22" s="3">
        <v>90</v>
      </c>
      <c r="R22" s="3" t="str">
        <f>IFERROR(MID(VLOOKUP($B22,Seqs!$A:$B,2,FALSE),S22,1),"")</f>
        <v>L</v>
      </c>
      <c r="S22" s="3">
        <v>93</v>
      </c>
      <c r="T22" s="3" t="str">
        <f>IFERROR(MID(VLOOKUP($B22,Seqs!$A:$B,2,FALSE),U22,1),"")</f>
        <v>G</v>
      </c>
      <c r="U22" s="3">
        <v>94</v>
      </c>
      <c r="V22" s="3" t="str">
        <f>IFERROR(MID(VLOOKUP($B22,Seqs!$A:$B,2,FALSE),W22,1),"")</f>
        <v>R</v>
      </c>
      <c r="W22" s="3">
        <v>129</v>
      </c>
      <c r="X22" s="3" t="str">
        <f>IFERROR(MID(VLOOKUP($B22,Seqs!$A:$B,2,FALSE),Y22,1),"")</f>
        <v>P</v>
      </c>
      <c r="Y22" s="3">
        <v>130</v>
      </c>
      <c r="Z22" s="3" t="str">
        <f>IFERROR(MID(VLOOKUP($B22,Seqs!$A:$B,2,FALSE),AA22,1),"")</f>
        <v>R</v>
      </c>
      <c r="AA22" s="3">
        <v>137</v>
      </c>
      <c r="AB22" s="3" t="str">
        <f>IFERROR(MID(VLOOKUP($B22,Seqs!$A:$B,2,FALSE),AC22,1),"")</f>
        <v>P</v>
      </c>
      <c r="AC22" s="3">
        <v>139</v>
      </c>
      <c r="AD22" s="3" t="str">
        <f>IFERROR(MID(VLOOKUP($B22,Seqs!$A:$B,2,FALSE),AE22,1),"")</f>
        <v>G</v>
      </c>
      <c r="AE22" s="3">
        <v>169</v>
      </c>
      <c r="AF22" s="3" t="str">
        <f>IFERROR(MID(VLOOKUP($B22,Seqs!$A:$B,2,FALSE),AG22,1),"")</f>
        <v>C</v>
      </c>
      <c r="AG22" s="3">
        <v>178</v>
      </c>
      <c r="AH22" s="3" t="str">
        <f>IFERROR(MID(VLOOKUP($B22,Seqs!$A:$B,2,FALSE),AI22,1),"")</f>
        <v>I</v>
      </c>
      <c r="AI22" s="3">
        <v>180</v>
      </c>
      <c r="AJ22" s="3" t="str">
        <f>IFERROR(MID(VLOOKUP($B22,Seqs!$A:$B,2,FALSE),AK22,1),"")</f>
        <v>Q</v>
      </c>
      <c r="AK22" s="3">
        <v>185</v>
      </c>
      <c r="AL22" s="3" t="str">
        <f>IFERROR(MID(VLOOKUP($B22,Seqs!$A:$B,2,FALSE),AM22,1),"")</f>
        <v>R</v>
      </c>
      <c r="AM22" s="3">
        <v>213</v>
      </c>
      <c r="AN22" s="3" t="str">
        <f>IFERROR(MID(VLOOKUP($B22,Seqs!$A:$B,2,FALSE),AO22,1),"")</f>
        <v>L</v>
      </c>
      <c r="AO22" s="3">
        <v>357</v>
      </c>
      <c r="AP22" s="3" t="str">
        <f>IFERROR(MID(VLOOKUP($B22,Seqs!$A:$B,2,FALSE),AQ22,1),"")</f>
        <v>C</v>
      </c>
      <c r="AQ22" s="3">
        <v>391</v>
      </c>
      <c r="AR22" s="3" t="str">
        <f>IFERROR(MID(VLOOKUP($B22,Seqs!$A:$B,2,FALSE),AS22,1),"")</f>
        <v>P</v>
      </c>
      <c r="AS22" s="3">
        <v>396</v>
      </c>
      <c r="AT22" s="3" t="str">
        <f>IFERROR(MID(VLOOKUP($B22,Seqs!$A:$B,2,FALSE),AU22,1),"")</f>
        <v>C</v>
      </c>
      <c r="AU22" s="3">
        <v>421</v>
      </c>
      <c r="AV22" s="3" t="str">
        <f>IFERROR(MID(VLOOKUP($B22,Seqs!$A:$B,2,FALSE),AW22,1),"")</f>
        <v>N</v>
      </c>
      <c r="AW22" s="3">
        <v>422</v>
      </c>
      <c r="AX22" s="3" t="str">
        <f>IFERROR(MID(VLOOKUP($B22,Seqs!$A:$B,2,FALSE),AY22,1),"")</f>
        <v>L</v>
      </c>
      <c r="AY22" s="3">
        <v>434</v>
      </c>
      <c r="AZ22" s="83" t="str">
        <f>VLOOKUP(B22,Classification!A:D,2,FALSE)</f>
        <v>A</v>
      </c>
      <c r="BC22" s="57">
        <f t="shared" si="1"/>
        <v>252</v>
      </c>
      <c r="BD22" s="63" t="b">
        <f t="shared" si="2"/>
        <v>1</v>
      </c>
      <c r="BE22" s="68" t="s">
        <v>1514</v>
      </c>
      <c r="BF22" s="75" t="s">
        <v>1514</v>
      </c>
      <c r="BG22" s="75" t="s">
        <v>1514</v>
      </c>
      <c r="BH22" s="75" t="s">
        <v>1514</v>
      </c>
      <c r="BI22" s="75" t="s">
        <v>1514</v>
      </c>
      <c r="BJ22" s="75" t="s">
        <v>1514</v>
      </c>
      <c r="BK22" s="75" t="s">
        <v>1514</v>
      </c>
      <c r="BL22" s="75" t="s">
        <v>1514</v>
      </c>
      <c r="BM22" s="75" t="s">
        <v>1514</v>
      </c>
      <c r="BN22" s="75" t="s">
        <v>1514</v>
      </c>
      <c r="BO22" s="75" t="s">
        <v>1514</v>
      </c>
      <c r="BP22" s="75" t="s">
        <v>1514</v>
      </c>
      <c r="BQ22" s="68">
        <f t="shared" si="3"/>
        <v>22</v>
      </c>
      <c r="BR22" s="69">
        <f t="shared" si="4"/>
        <v>54</v>
      </c>
      <c r="BS22" s="70">
        <f t="shared" si="5"/>
        <v>58</v>
      </c>
      <c r="BT22" s="69">
        <f t="shared" si="6"/>
        <v>90</v>
      </c>
      <c r="BU22" s="70">
        <f t="shared" si="7"/>
        <v>94</v>
      </c>
      <c r="BV22" s="69">
        <f t="shared" si="8"/>
        <v>130</v>
      </c>
      <c r="BW22" s="70">
        <f t="shared" si="9"/>
        <v>139</v>
      </c>
      <c r="BX22" s="69">
        <f t="shared" si="10"/>
        <v>178</v>
      </c>
      <c r="BY22" s="70">
        <f t="shared" si="11"/>
        <v>185</v>
      </c>
      <c r="BZ22" s="69">
        <f t="shared" si="12"/>
        <v>357</v>
      </c>
      <c r="CA22" s="70">
        <f t="shared" si="13"/>
        <v>396</v>
      </c>
      <c r="CB22" s="69">
        <f t="shared" si="14"/>
        <v>422</v>
      </c>
      <c r="CC22" s="68">
        <f t="shared" si="15"/>
        <v>53</v>
      </c>
      <c r="CD22" s="69">
        <f t="shared" si="16"/>
        <v>57</v>
      </c>
      <c r="CE22" s="70">
        <f t="shared" si="17"/>
        <v>88</v>
      </c>
      <c r="CF22" s="70">
        <f t="shared" si="18"/>
        <v>93</v>
      </c>
      <c r="CG22" s="70">
        <f t="shared" si="19"/>
        <v>129</v>
      </c>
      <c r="CH22" s="70">
        <f t="shared" si="20"/>
        <v>137</v>
      </c>
      <c r="CI22" s="70">
        <f t="shared" si="21"/>
        <v>169</v>
      </c>
      <c r="CJ22" s="70">
        <f t="shared" si="22"/>
        <v>180</v>
      </c>
      <c r="CK22" s="70">
        <f t="shared" si="23"/>
        <v>213</v>
      </c>
      <c r="CL22" s="70">
        <f t="shared" si="24"/>
        <v>391</v>
      </c>
      <c r="CM22" s="70">
        <f t="shared" si="25"/>
        <v>421</v>
      </c>
      <c r="CN22" s="70">
        <f t="shared" si="26"/>
        <v>434</v>
      </c>
      <c r="CO22" s="57">
        <f t="shared" si="27"/>
        <v>1</v>
      </c>
    </row>
    <row r="23" spans="1:93" x14ac:dyDescent="0.2">
      <c r="A23" s="3" t="str">
        <f t="shared" si="0"/>
        <v>acm2_human__wt</v>
      </c>
      <c r="B23" s="3" t="s">
        <v>341</v>
      </c>
      <c r="C23" s="3" t="s">
        <v>294</v>
      </c>
      <c r="D23" s="3" t="str">
        <f>IFERROR(MID(VLOOKUP($B23,Seqs!$A:$B,2,FALSE),E23,1),"")</f>
        <v>K</v>
      </c>
      <c r="E23" s="3">
        <v>19</v>
      </c>
      <c r="F23" s="3" t="str">
        <f>IFERROR(MID(VLOOKUP($B23,Seqs!$A:$B,2,FALSE),G23,1),"")</f>
        <v>N</v>
      </c>
      <c r="G23" s="3">
        <v>51</v>
      </c>
      <c r="H23" s="3" t="str">
        <f>IFERROR(MID(VLOOKUP($B23,Seqs!$A:$B,2,FALSE),I23,1),"")</f>
        <v>R</v>
      </c>
      <c r="I23" s="57">
        <v>52</v>
      </c>
      <c r="J23" s="3" t="str">
        <f>IFERROR(MID(VLOOKUP($B23,Seqs!$A:$B,2,FALSE),K23,1),"")</f>
        <v>Q</v>
      </c>
      <c r="K23" s="57">
        <v>55</v>
      </c>
      <c r="L23" s="3" t="str">
        <f>IFERROR(MID(VLOOKUP($B23,Seqs!$A:$B,2,FALSE),M23,1),"")</f>
        <v>T</v>
      </c>
      <c r="M23" s="3">
        <v>56</v>
      </c>
      <c r="N23" s="3" t="str">
        <f>IFERROR(MID(VLOOKUP($B23,Seqs!$A:$B,2,FALSE),O23,1),"")</f>
        <v>I</v>
      </c>
      <c r="O23" s="3">
        <v>86</v>
      </c>
      <c r="P23" s="3" t="str">
        <f>IFERROR(MID(VLOOKUP($B23,Seqs!$A:$B,2,FALSE),Q23,1),"")</f>
        <v>Y</v>
      </c>
      <c r="Q23" s="3">
        <v>88</v>
      </c>
      <c r="R23" s="3" t="str">
        <f>IFERROR(MID(VLOOKUP($B23,Seqs!$A:$B,2,FALSE),S23,1),"")</f>
        <v>L</v>
      </c>
      <c r="S23" s="3">
        <v>91</v>
      </c>
      <c r="T23" s="3" t="str">
        <f>IFERROR(MID(VLOOKUP($B23,Seqs!$A:$B,2,FALSE),U23,1),"")</f>
        <v>G</v>
      </c>
      <c r="U23" s="3">
        <v>92</v>
      </c>
      <c r="V23" s="3" t="str">
        <f>IFERROR(MID(VLOOKUP($B23,Seqs!$A:$B,2,FALSE),W23,1),"")</f>
        <v>K</v>
      </c>
      <c r="W23" s="3">
        <v>127</v>
      </c>
      <c r="X23" s="3" t="str">
        <f>IFERROR(MID(VLOOKUP($B23,Seqs!$A:$B,2,FALSE),Y23,1),"")</f>
        <v>P</v>
      </c>
      <c r="Y23" s="3">
        <v>128</v>
      </c>
      <c r="Z23" s="3" t="str">
        <f>IFERROR(MID(VLOOKUP($B23,Seqs!$A:$B,2,FALSE),AA23,1),"")</f>
        <v>R</v>
      </c>
      <c r="AA23" s="3">
        <v>135</v>
      </c>
      <c r="AB23" s="3" t="str">
        <f>IFERROR(MID(VLOOKUP($B23,Seqs!$A:$B,2,FALSE),AC23,1),"")</f>
        <v>T</v>
      </c>
      <c r="AC23" s="3">
        <v>137</v>
      </c>
      <c r="AD23" s="3" t="str">
        <f>IFERROR(MID(VLOOKUP($B23,Seqs!$A:$B,2,FALSE),AE23,1),"")</f>
        <v>G</v>
      </c>
      <c r="AE23" s="3">
        <v>167</v>
      </c>
      <c r="AF23" s="3" t="str">
        <f>IFERROR(MID(VLOOKUP($B23,Seqs!$A:$B,2,FALSE),AG23,1),"")</f>
        <v>C</v>
      </c>
      <c r="AG23" s="3">
        <v>176</v>
      </c>
      <c r="AH23" s="3" t="str">
        <f>IFERROR(MID(VLOOKUP($B23,Seqs!$A:$B,2,FALSE),AI23,1),"")</f>
        <v>I</v>
      </c>
      <c r="AI23" s="3">
        <v>178</v>
      </c>
      <c r="AJ23" s="3" t="str">
        <f>IFERROR(MID(VLOOKUP($B23,Seqs!$A:$B,2,FALSE),AK23,1),"")</f>
        <v>N</v>
      </c>
      <c r="AK23" s="3">
        <v>183</v>
      </c>
      <c r="AL23" s="3" t="str">
        <f>IFERROR(MID(VLOOKUP($B23,Seqs!$A:$B,2,FALSE),AM23,1),"")</f>
        <v>E</v>
      </c>
      <c r="AM23" s="3">
        <v>223</v>
      </c>
      <c r="AN23" s="3" t="str">
        <f>IFERROR(MID(VLOOKUP($B23,Seqs!$A:$B,2,FALSE),AO23,1),"")</f>
        <v>K</v>
      </c>
      <c r="AO23" s="3">
        <v>376</v>
      </c>
      <c r="AP23" s="3" t="str">
        <f>IFERROR(MID(VLOOKUP($B23,Seqs!$A:$B,2,FALSE),AQ23,1),"")</f>
        <v>C</v>
      </c>
      <c r="AQ23" s="3">
        <v>413</v>
      </c>
      <c r="AR23" s="3" t="str">
        <f>IFERROR(MID(VLOOKUP($B23,Seqs!$A:$B,2,FALSE),AS23,1),"")</f>
        <v>P</v>
      </c>
      <c r="AS23" s="3">
        <v>418</v>
      </c>
      <c r="AT23" s="3" t="str">
        <f>IFERROR(MID(VLOOKUP($B23,Seqs!$A:$B,2,FALSE),AU23,1),"")</f>
        <v>C</v>
      </c>
      <c r="AU23" s="3">
        <v>443</v>
      </c>
      <c r="AV23" s="3" t="str">
        <f>IFERROR(MID(VLOOKUP($B23,Seqs!$A:$B,2,FALSE),AW23,1),"")</f>
        <v>N</v>
      </c>
      <c r="AW23" s="3">
        <v>444</v>
      </c>
      <c r="AX23" s="3" t="str">
        <f>IFERROR(MID(VLOOKUP($B23,Seqs!$A:$B,2,FALSE),AY23,1),"")</f>
        <v>M</v>
      </c>
      <c r="AY23" s="3">
        <v>456</v>
      </c>
      <c r="AZ23" s="83" t="str">
        <f>VLOOKUP(B23,Classification!A:D,2,FALSE)</f>
        <v>A</v>
      </c>
      <c r="BB23" s="82">
        <f>S23-Q23+1</f>
        <v>4</v>
      </c>
      <c r="BC23" s="57">
        <f t="shared" si="1"/>
        <v>268</v>
      </c>
      <c r="BD23" s="63" t="b">
        <f t="shared" si="2"/>
        <v>1</v>
      </c>
      <c r="BE23" s="68" t="s">
        <v>1514</v>
      </c>
      <c r="BF23" s="75" t="s">
        <v>1514</v>
      </c>
      <c r="BG23" s="75" t="s">
        <v>1514</v>
      </c>
      <c r="BH23" s="75" t="s">
        <v>1514</v>
      </c>
      <c r="BI23" s="75" t="s">
        <v>1514</v>
      </c>
      <c r="BJ23" s="75" t="s">
        <v>1514</v>
      </c>
      <c r="BK23" s="75" t="s">
        <v>1514</v>
      </c>
      <c r="BL23" s="75" t="s">
        <v>1514</v>
      </c>
      <c r="BM23" s="75" t="s">
        <v>1514</v>
      </c>
      <c r="BN23" s="75" t="s">
        <v>1514</v>
      </c>
      <c r="BO23" s="75" t="s">
        <v>1514</v>
      </c>
      <c r="BP23" s="75" t="s">
        <v>1514</v>
      </c>
      <c r="BQ23" s="68">
        <f t="shared" si="3"/>
        <v>19</v>
      </c>
      <c r="BR23" s="69">
        <f t="shared" si="4"/>
        <v>52</v>
      </c>
      <c r="BS23" s="70">
        <f t="shared" si="5"/>
        <v>56</v>
      </c>
      <c r="BT23" s="69">
        <f t="shared" si="6"/>
        <v>88</v>
      </c>
      <c r="BU23" s="70">
        <f t="shared" si="7"/>
        <v>92</v>
      </c>
      <c r="BV23" s="69">
        <f t="shared" si="8"/>
        <v>128</v>
      </c>
      <c r="BW23" s="70">
        <f t="shared" si="9"/>
        <v>137</v>
      </c>
      <c r="BX23" s="69">
        <f t="shared" si="10"/>
        <v>176</v>
      </c>
      <c r="BY23" s="70">
        <f t="shared" si="11"/>
        <v>183</v>
      </c>
      <c r="BZ23" s="69">
        <f t="shared" si="12"/>
        <v>376</v>
      </c>
      <c r="CA23" s="70">
        <f t="shared" si="13"/>
        <v>418</v>
      </c>
      <c r="CB23" s="69">
        <f t="shared" si="14"/>
        <v>444</v>
      </c>
      <c r="CC23" s="68">
        <f t="shared" si="15"/>
        <v>51</v>
      </c>
      <c r="CD23" s="69">
        <f t="shared" si="16"/>
        <v>55</v>
      </c>
      <c r="CE23" s="70">
        <f t="shared" si="17"/>
        <v>86</v>
      </c>
      <c r="CF23" s="70">
        <f t="shared" si="18"/>
        <v>91</v>
      </c>
      <c r="CG23" s="70">
        <f t="shared" si="19"/>
        <v>127</v>
      </c>
      <c r="CH23" s="70">
        <f t="shared" si="20"/>
        <v>135</v>
      </c>
      <c r="CI23" s="70">
        <f t="shared" si="21"/>
        <v>167</v>
      </c>
      <c r="CJ23" s="70">
        <f t="shared" si="22"/>
        <v>178</v>
      </c>
      <c r="CK23" s="70">
        <f t="shared" si="23"/>
        <v>223</v>
      </c>
      <c r="CL23" s="70">
        <f t="shared" si="24"/>
        <v>413</v>
      </c>
      <c r="CM23" s="70">
        <f t="shared" si="25"/>
        <v>443</v>
      </c>
      <c r="CN23" s="70">
        <f t="shared" si="26"/>
        <v>456</v>
      </c>
      <c r="CO23" s="57">
        <f t="shared" si="27"/>
        <v>1</v>
      </c>
    </row>
    <row r="24" spans="1:93" x14ac:dyDescent="0.2">
      <c r="A24" s="3" t="str">
        <f t="shared" si="0"/>
        <v>acm2_human_3UON</v>
      </c>
      <c r="B24" s="3" t="s">
        <v>341</v>
      </c>
      <c r="C24" s="3" t="s">
        <v>270</v>
      </c>
      <c r="D24" s="3" t="str">
        <f>IFERROR(MID(VLOOKUP($B24,Seqs!$A:$B,2,FALSE),E24,1),"")</f>
        <v>V</v>
      </c>
      <c r="E24" s="3">
        <v>23</v>
      </c>
      <c r="F24" s="3" t="str">
        <f>IFERROR(MID(VLOOKUP($B24,Seqs!$A:$B,2,FALSE),G24,1),"")</f>
        <v>N</v>
      </c>
      <c r="G24" s="3">
        <v>51</v>
      </c>
      <c r="H24" s="3" t="str">
        <f>IFERROR(MID(VLOOKUP($B24,Seqs!$A:$B,2,FALSE),I24,1),"")</f>
        <v>R</v>
      </c>
      <c r="I24" s="57">
        <v>52</v>
      </c>
      <c r="J24" s="3" t="str">
        <f>IFERROR(MID(VLOOKUP($B24,Seqs!$A:$B,2,FALSE),K24,1),"")</f>
        <v>Q</v>
      </c>
      <c r="K24" s="57">
        <v>55</v>
      </c>
      <c r="L24" s="3" t="str">
        <f>IFERROR(MID(VLOOKUP($B24,Seqs!$A:$B,2,FALSE),M24,1),"")</f>
        <v>T</v>
      </c>
      <c r="M24" s="3">
        <v>56</v>
      </c>
      <c r="N24" s="3" t="str">
        <f>IFERROR(MID(VLOOKUP($B24,Seqs!$A:$B,2,FALSE),O24,1),"")</f>
        <v>I</v>
      </c>
      <c r="O24" s="3">
        <v>86</v>
      </c>
      <c r="P24" s="3" t="str">
        <f>IFERROR(MID(VLOOKUP($B24,Seqs!$A:$B,2,FALSE),Q24,1),"")</f>
        <v>Y</v>
      </c>
      <c r="Q24" s="3">
        <v>88</v>
      </c>
      <c r="R24" s="3" t="str">
        <f>IFERROR(MID(VLOOKUP($B24,Seqs!$A:$B,2,FALSE),S24,1),"")</f>
        <v>L</v>
      </c>
      <c r="S24" s="3">
        <v>91</v>
      </c>
      <c r="T24" s="3" t="str">
        <f>IFERROR(MID(VLOOKUP($B24,Seqs!$A:$B,2,FALSE),U24,1),"")</f>
        <v>G</v>
      </c>
      <c r="U24" s="3">
        <v>92</v>
      </c>
      <c r="V24" s="3" t="str">
        <f>IFERROR(MID(VLOOKUP($B24,Seqs!$A:$B,2,FALSE),W24,1),"")</f>
        <v>K</v>
      </c>
      <c r="W24" s="3">
        <v>127</v>
      </c>
      <c r="X24" s="3" t="str">
        <f>IFERROR(MID(VLOOKUP($B24,Seqs!$A:$B,2,FALSE),Y24,1),"")</f>
        <v>P</v>
      </c>
      <c r="Y24" s="3">
        <v>128</v>
      </c>
      <c r="Z24" s="3" t="str">
        <f>IFERROR(MID(VLOOKUP($B24,Seqs!$A:$B,2,FALSE),AA24,1),"")</f>
        <v>R</v>
      </c>
      <c r="AA24" s="3">
        <v>135</v>
      </c>
      <c r="AB24" s="3" t="str">
        <f>IFERROR(MID(VLOOKUP($B24,Seqs!$A:$B,2,FALSE),AC24,1),"")</f>
        <v>T</v>
      </c>
      <c r="AC24" s="3">
        <v>137</v>
      </c>
      <c r="AD24" s="3" t="str">
        <f>IFERROR(MID(VLOOKUP($B24,Seqs!$A:$B,2,FALSE),AE24,1),"")</f>
        <v>G</v>
      </c>
      <c r="AE24" s="3">
        <v>167</v>
      </c>
      <c r="AF24" s="3" t="str">
        <f>IFERROR(MID(VLOOKUP($B24,Seqs!$A:$B,2,FALSE),AG24,1),"")</f>
        <v>C</v>
      </c>
      <c r="AG24" s="3">
        <v>176</v>
      </c>
      <c r="AH24" s="3" t="str">
        <f>IFERROR(MID(VLOOKUP($B24,Seqs!$A:$B,2,FALSE),AI24,1),"")</f>
        <v>I</v>
      </c>
      <c r="AI24" s="3">
        <v>178</v>
      </c>
      <c r="AJ24" s="3" t="str">
        <f>IFERROR(MID(VLOOKUP($B24,Seqs!$A:$B,2,FALSE),AK24,1),"")</f>
        <v>N</v>
      </c>
      <c r="AK24" s="3">
        <v>183</v>
      </c>
      <c r="AL24" s="3" t="str">
        <f>IFERROR(MID(VLOOKUP($B24,Seqs!$A:$B,2,FALSE),AM24,1),"")</f>
        <v>S</v>
      </c>
      <c r="AM24" s="3">
        <v>215</v>
      </c>
      <c r="AN24" s="3" t="str">
        <f>IFERROR(MID(VLOOKUP($B24,Seqs!$A:$B,2,FALSE),AO24,1),"")</f>
        <v>K</v>
      </c>
      <c r="AO24" s="3">
        <v>384</v>
      </c>
      <c r="AP24" s="3" t="str">
        <f>IFERROR(MID(VLOOKUP($B24,Seqs!$A:$B,2,FALSE),AQ24,1),"")</f>
        <v>C</v>
      </c>
      <c r="AQ24" s="3">
        <v>413</v>
      </c>
      <c r="AR24" s="3" t="str">
        <f>IFERROR(MID(VLOOKUP($B24,Seqs!$A:$B,2,FALSE),AS24,1),"")</f>
        <v>P</v>
      </c>
      <c r="AS24" s="3">
        <v>418</v>
      </c>
      <c r="AT24" s="3" t="str">
        <f>IFERROR(MID(VLOOKUP($B24,Seqs!$A:$B,2,FALSE),AU24,1),"")</f>
        <v>C</v>
      </c>
      <c r="AU24" s="3">
        <v>443</v>
      </c>
      <c r="AV24" s="3" t="str">
        <f>IFERROR(MID(VLOOKUP($B24,Seqs!$A:$B,2,FALSE),AW24,1),"")</f>
        <v>N</v>
      </c>
      <c r="AW24" s="3">
        <v>444</v>
      </c>
      <c r="AX24" s="3" t="str">
        <f>IFERROR(MID(VLOOKUP($B24,Seqs!$A:$B,2,FALSE),AY24,1),"")</f>
        <v>M</v>
      </c>
      <c r="AY24" s="3">
        <v>456</v>
      </c>
      <c r="AZ24" s="83" t="str">
        <f>VLOOKUP(B24,Classification!A:D,2,FALSE)</f>
        <v>A</v>
      </c>
      <c r="BC24" s="57">
        <f t="shared" si="1"/>
        <v>248</v>
      </c>
      <c r="BD24" s="63" t="b">
        <f t="shared" si="2"/>
        <v>1</v>
      </c>
      <c r="BE24" s="68" t="s">
        <v>1514</v>
      </c>
      <c r="BF24" s="75" t="s">
        <v>1514</v>
      </c>
      <c r="BG24" s="75" t="s">
        <v>1514</v>
      </c>
      <c r="BH24" s="75" t="s">
        <v>1514</v>
      </c>
      <c r="BI24" s="75" t="s">
        <v>1514</v>
      </c>
      <c r="BJ24" s="75" t="s">
        <v>1514</v>
      </c>
      <c r="BK24" s="75" t="s">
        <v>1514</v>
      </c>
      <c r="BL24" s="75" t="s">
        <v>1514</v>
      </c>
      <c r="BM24" s="75" t="s">
        <v>1514</v>
      </c>
      <c r="BN24" s="75" t="s">
        <v>1514</v>
      </c>
      <c r="BO24" s="75" t="s">
        <v>1514</v>
      </c>
      <c r="BP24" s="75" t="s">
        <v>1514</v>
      </c>
      <c r="BQ24" s="68">
        <f t="shared" si="3"/>
        <v>23</v>
      </c>
      <c r="BR24" s="69">
        <f t="shared" si="4"/>
        <v>52</v>
      </c>
      <c r="BS24" s="70">
        <f t="shared" si="5"/>
        <v>56</v>
      </c>
      <c r="BT24" s="69">
        <f t="shared" si="6"/>
        <v>88</v>
      </c>
      <c r="BU24" s="70">
        <f t="shared" si="7"/>
        <v>92</v>
      </c>
      <c r="BV24" s="69">
        <f t="shared" si="8"/>
        <v>128</v>
      </c>
      <c r="BW24" s="70">
        <f t="shared" si="9"/>
        <v>137</v>
      </c>
      <c r="BX24" s="69">
        <f t="shared" si="10"/>
        <v>176</v>
      </c>
      <c r="BY24" s="70">
        <f t="shared" si="11"/>
        <v>183</v>
      </c>
      <c r="BZ24" s="69">
        <f t="shared" si="12"/>
        <v>384</v>
      </c>
      <c r="CA24" s="70">
        <f t="shared" si="13"/>
        <v>418</v>
      </c>
      <c r="CB24" s="69">
        <f t="shared" si="14"/>
        <v>444</v>
      </c>
      <c r="CC24" s="68">
        <f t="shared" si="15"/>
        <v>51</v>
      </c>
      <c r="CD24" s="69">
        <f t="shared" si="16"/>
        <v>55</v>
      </c>
      <c r="CE24" s="70">
        <f t="shared" si="17"/>
        <v>86</v>
      </c>
      <c r="CF24" s="70">
        <f t="shared" si="18"/>
        <v>91</v>
      </c>
      <c r="CG24" s="70">
        <f t="shared" si="19"/>
        <v>127</v>
      </c>
      <c r="CH24" s="70">
        <f t="shared" si="20"/>
        <v>135</v>
      </c>
      <c r="CI24" s="70">
        <f t="shared" si="21"/>
        <v>167</v>
      </c>
      <c r="CJ24" s="70">
        <f t="shared" si="22"/>
        <v>178</v>
      </c>
      <c r="CK24" s="70">
        <f t="shared" si="23"/>
        <v>215</v>
      </c>
      <c r="CL24" s="70">
        <f t="shared" si="24"/>
        <v>413</v>
      </c>
      <c r="CM24" s="70">
        <f t="shared" si="25"/>
        <v>443</v>
      </c>
      <c r="CN24" s="70">
        <f t="shared" si="26"/>
        <v>456</v>
      </c>
      <c r="CO24" s="57">
        <f t="shared" si="27"/>
        <v>1</v>
      </c>
    </row>
    <row r="25" spans="1:93" x14ac:dyDescent="0.2">
      <c r="A25" s="3" t="str">
        <f t="shared" si="0"/>
        <v>acm2_human_4MQS</v>
      </c>
      <c r="B25" s="3" t="s">
        <v>341</v>
      </c>
      <c r="C25" s="3" t="s">
        <v>259</v>
      </c>
      <c r="D25" s="3" t="str">
        <f>IFERROR(MID(VLOOKUP($B25,Seqs!$A:$B,2,FALSE),E25,1),"")</f>
        <v>K</v>
      </c>
      <c r="E25" s="3">
        <v>19</v>
      </c>
      <c r="F25" s="3" t="str">
        <f>IFERROR(MID(VLOOKUP($B25,Seqs!$A:$B,2,FALSE),G25,1),"")</f>
        <v>N</v>
      </c>
      <c r="G25" s="3">
        <v>51</v>
      </c>
      <c r="H25" s="3" t="str">
        <f>IFERROR(MID(VLOOKUP($B25,Seqs!$A:$B,2,FALSE),I25,1),"")</f>
        <v>R</v>
      </c>
      <c r="I25" s="57">
        <v>52</v>
      </c>
      <c r="J25" s="3" t="str">
        <f>IFERROR(MID(VLOOKUP($B25,Seqs!$A:$B,2,FALSE),K25,1),"")</f>
        <v>Q</v>
      </c>
      <c r="K25" s="57">
        <v>55</v>
      </c>
      <c r="L25" s="3" t="str">
        <f>IFERROR(MID(VLOOKUP($B25,Seqs!$A:$B,2,FALSE),M25,1),"")</f>
        <v>T</v>
      </c>
      <c r="M25" s="3">
        <v>56</v>
      </c>
      <c r="N25" s="3" t="str">
        <f>IFERROR(MID(VLOOKUP($B25,Seqs!$A:$B,2,FALSE),O25,1),"")</f>
        <v>I</v>
      </c>
      <c r="O25" s="3">
        <v>86</v>
      </c>
      <c r="P25" s="3" t="str">
        <f>IFERROR(MID(VLOOKUP($B25,Seqs!$A:$B,2,FALSE),Q25,1),"")</f>
        <v>Y</v>
      </c>
      <c r="Q25" s="3">
        <v>88</v>
      </c>
      <c r="R25" s="3" t="str">
        <f>IFERROR(MID(VLOOKUP($B25,Seqs!$A:$B,2,FALSE),S25,1),"")</f>
        <v>L</v>
      </c>
      <c r="S25" s="3">
        <v>91</v>
      </c>
      <c r="T25" s="3" t="str">
        <f>IFERROR(MID(VLOOKUP($B25,Seqs!$A:$B,2,FALSE),U25,1),"")</f>
        <v>G</v>
      </c>
      <c r="U25" s="3">
        <v>92</v>
      </c>
      <c r="V25" s="3" t="str">
        <f>IFERROR(MID(VLOOKUP($B25,Seqs!$A:$B,2,FALSE),W25,1),"")</f>
        <v>K</v>
      </c>
      <c r="W25" s="3">
        <v>127</v>
      </c>
      <c r="X25" s="3" t="str">
        <f>IFERROR(MID(VLOOKUP($B25,Seqs!$A:$B,2,FALSE),Y25,1),"")</f>
        <v>P</v>
      </c>
      <c r="Y25" s="3">
        <v>128</v>
      </c>
      <c r="Z25" s="3" t="str">
        <f>IFERROR(MID(VLOOKUP($B25,Seqs!$A:$B,2,FALSE),AA25,1),"")</f>
        <v>R</v>
      </c>
      <c r="AA25" s="3">
        <v>135</v>
      </c>
      <c r="AB25" s="3" t="str">
        <f>IFERROR(MID(VLOOKUP($B25,Seqs!$A:$B,2,FALSE),AC25,1),"")</f>
        <v>T</v>
      </c>
      <c r="AC25" s="3">
        <v>137</v>
      </c>
      <c r="AD25" s="3" t="str">
        <f>IFERROR(MID(VLOOKUP($B25,Seqs!$A:$B,2,FALSE),AE25,1),"")</f>
        <v>G</v>
      </c>
      <c r="AE25" s="3">
        <v>167</v>
      </c>
      <c r="AF25" s="3" t="str">
        <f>IFERROR(MID(VLOOKUP($B25,Seqs!$A:$B,2,FALSE),AG25,1),"")</f>
        <v>C</v>
      </c>
      <c r="AG25" s="3">
        <v>176</v>
      </c>
      <c r="AH25" s="3" t="str">
        <f>IFERROR(MID(VLOOKUP($B25,Seqs!$A:$B,2,FALSE),AI25,1),"")</f>
        <v>I</v>
      </c>
      <c r="AI25" s="3">
        <v>178</v>
      </c>
      <c r="AJ25" s="3" t="str">
        <f>IFERROR(MID(VLOOKUP($B25,Seqs!$A:$B,2,FALSE),AK25,1),"")</f>
        <v>N</v>
      </c>
      <c r="AK25" s="3">
        <v>183</v>
      </c>
      <c r="AL25" s="3" t="str">
        <f>IFERROR(MID(VLOOKUP($B25,Seqs!$A:$B,2,FALSE),AM25,1),"")</f>
        <v>K</v>
      </c>
      <c r="AM25" s="3">
        <v>214</v>
      </c>
      <c r="AN25" s="3" t="str">
        <f>IFERROR(MID(VLOOKUP($B25,Seqs!$A:$B,2,FALSE),AO25,1),"")</f>
        <v>S</v>
      </c>
      <c r="AO25" s="3">
        <v>380</v>
      </c>
      <c r="AP25" s="3" t="str">
        <f>IFERROR(MID(VLOOKUP($B25,Seqs!$A:$B,2,FALSE),AQ25,1),"")</f>
        <v>C</v>
      </c>
      <c r="AQ25" s="3">
        <v>413</v>
      </c>
      <c r="AR25" s="3" t="str">
        <f>IFERROR(MID(VLOOKUP($B25,Seqs!$A:$B,2,FALSE),AS25,1),"")</f>
        <v>P</v>
      </c>
      <c r="AS25" s="3">
        <v>418</v>
      </c>
      <c r="AT25" s="3" t="str">
        <f>IFERROR(MID(VLOOKUP($B25,Seqs!$A:$B,2,FALSE),AU25,1),"")</f>
        <v>C</v>
      </c>
      <c r="AU25" s="3">
        <v>443</v>
      </c>
      <c r="AV25" s="3" t="str">
        <f>IFERROR(MID(VLOOKUP($B25,Seqs!$A:$B,2,FALSE),AW25,1),"")</f>
        <v>N</v>
      </c>
      <c r="AW25" s="3">
        <v>444</v>
      </c>
      <c r="AX25" s="3" t="str">
        <f>IFERROR(MID(VLOOKUP($B25,Seqs!$A:$B,2,FALSE),AY25,1),"")</f>
        <v>M</v>
      </c>
      <c r="AY25" s="3">
        <v>456</v>
      </c>
      <c r="AZ25" s="83" t="str">
        <f>VLOOKUP(B25,Classification!A:D,2,FALSE)</f>
        <v>A</v>
      </c>
      <c r="BC25" s="57">
        <f t="shared" si="1"/>
        <v>255</v>
      </c>
      <c r="BD25" s="63" t="b">
        <f t="shared" si="2"/>
        <v>1</v>
      </c>
      <c r="BE25" s="68" t="s">
        <v>1514</v>
      </c>
      <c r="BF25" s="75" t="s">
        <v>1514</v>
      </c>
      <c r="BG25" s="75" t="s">
        <v>1514</v>
      </c>
      <c r="BH25" s="75" t="s">
        <v>1514</v>
      </c>
      <c r="BI25" s="75" t="s">
        <v>1514</v>
      </c>
      <c r="BJ25" s="75" t="s">
        <v>1514</v>
      </c>
      <c r="BK25" s="75" t="s">
        <v>1514</v>
      </c>
      <c r="BL25" s="75" t="s">
        <v>1514</v>
      </c>
      <c r="BM25" s="75" t="s">
        <v>1514</v>
      </c>
      <c r="BN25" s="75" t="s">
        <v>1514</v>
      </c>
      <c r="BO25" s="75" t="s">
        <v>1514</v>
      </c>
      <c r="BP25" s="75" t="s">
        <v>1514</v>
      </c>
      <c r="BQ25" s="68">
        <f t="shared" si="3"/>
        <v>19</v>
      </c>
      <c r="BR25" s="69">
        <f t="shared" si="4"/>
        <v>52</v>
      </c>
      <c r="BS25" s="70">
        <f t="shared" si="5"/>
        <v>56</v>
      </c>
      <c r="BT25" s="69">
        <f t="shared" si="6"/>
        <v>88</v>
      </c>
      <c r="BU25" s="70">
        <f t="shared" si="7"/>
        <v>92</v>
      </c>
      <c r="BV25" s="69">
        <f t="shared" si="8"/>
        <v>128</v>
      </c>
      <c r="BW25" s="70">
        <f t="shared" si="9"/>
        <v>137</v>
      </c>
      <c r="BX25" s="69">
        <f t="shared" si="10"/>
        <v>176</v>
      </c>
      <c r="BY25" s="70">
        <f t="shared" si="11"/>
        <v>183</v>
      </c>
      <c r="BZ25" s="69">
        <f t="shared" si="12"/>
        <v>380</v>
      </c>
      <c r="CA25" s="70">
        <f t="shared" si="13"/>
        <v>418</v>
      </c>
      <c r="CB25" s="69">
        <f t="shared" si="14"/>
        <v>444</v>
      </c>
      <c r="CC25" s="68">
        <f t="shared" si="15"/>
        <v>51</v>
      </c>
      <c r="CD25" s="69">
        <f t="shared" si="16"/>
        <v>55</v>
      </c>
      <c r="CE25" s="70">
        <f t="shared" si="17"/>
        <v>86</v>
      </c>
      <c r="CF25" s="70">
        <f t="shared" si="18"/>
        <v>91</v>
      </c>
      <c r="CG25" s="70">
        <f t="shared" si="19"/>
        <v>127</v>
      </c>
      <c r="CH25" s="70">
        <f t="shared" si="20"/>
        <v>135</v>
      </c>
      <c r="CI25" s="70">
        <f t="shared" si="21"/>
        <v>167</v>
      </c>
      <c r="CJ25" s="70">
        <f t="shared" si="22"/>
        <v>178</v>
      </c>
      <c r="CK25" s="70">
        <f t="shared" si="23"/>
        <v>214</v>
      </c>
      <c r="CL25" s="70">
        <f t="shared" si="24"/>
        <v>413</v>
      </c>
      <c r="CM25" s="70">
        <f t="shared" si="25"/>
        <v>443</v>
      </c>
      <c r="CN25" s="70">
        <f t="shared" si="26"/>
        <v>456</v>
      </c>
      <c r="CO25" s="57">
        <f t="shared" si="27"/>
        <v>1</v>
      </c>
    </row>
    <row r="26" spans="1:93" x14ac:dyDescent="0.2">
      <c r="A26" s="3" t="str">
        <f t="shared" si="0"/>
        <v>acm2_human_4MQT</v>
      </c>
      <c r="B26" s="3" t="s">
        <v>341</v>
      </c>
      <c r="C26" s="3" t="s">
        <v>1253</v>
      </c>
      <c r="D26" s="3" t="str">
        <f>IFERROR(MID(VLOOKUP($B26,Seqs!$A:$B,2,FALSE),E26,1),"")</f>
        <v>K</v>
      </c>
      <c r="E26" s="3">
        <v>19</v>
      </c>
      <c r="F26" s="3" t="str">
        <f>IFERROR(MID(VLOOKUP($B26,Seqs!$A:$B,2,FALSE),G26,1),"")</f>
        <v>N</v>
      </c>
      <c r="G26" s="3">
        <v>51</v>
      </c>
      <c r="H26" s="3" t="str">
        <f>IFERROR(MID(VLOOKUP($B26,Seqs!$A:$B,2,FALSE),I26,1),"")</f>
        <v>R</v>
      </c>
      <c r="I26" s="57">
        <v>52</v>
      </c>
      <c r="J26" s="3" t="str">
        <f>IFERROR(MID(VLOOKUP($B26,Seqs!$A:$B,2,FALSE),K26,1),"")</f>
        <v>Q</v>
      </c>
      <c r="K26" s="57">
        <v>55</v>
      </c>
      <c r="L26" s="3" t="str">
        <f>IFERROR(MID(VLOOKUP($B26,Seqs!$A:$B,2,FALSE),M26,1),"")</f>
        <v>T</v>
      </c>
      <c r="M26" s="3">
        <v>56</v>
      </c>
      <c r="N26" s="3" t="str">
        <f>IFERROR(MID(VLOOKUP($B26,Seqs!$A:$B,2,FALSE),O26,1),"")</f>
        <v>I</v>
      </c>
      <c r="O26" s="3">
        <v>86</v>
      </c>
      <c r="P26" s="3" t="str">
        <f>IFERROR(MID(VLOOKUP($B26,Seqs!$A:$B,2,FALSE),Q26,1),"")</f>
        <v>Y</v>
      </c>
      <c r="Q26" s="3">
        <v>88</v>
      </c>
      <c r="R26" s="3" t="str">
        <f>IFERROR(MID(VLOOKUP($B26,Seqs!$A:$B,2,FALSE),S26,1),"")</f>
        <v>L</v>
      </c>
      <c r="S26" s="3">
        <v>91</v>
      </c>
      <c r="T26" s="3" t="str">
        <f>IFERROR(MID(VLOOKUP($B26,Seqs!$A:$B,2,FALSE),U26,1),"")</f>
        <v>G</v>
      </c>
      <c r="U26" s="3">
        <v>92</v>
      </c>
      <c r="V26" s="3" t="str">
        <f>IFERROR(MID(VLOOKUP($B26,Seqs!$A:$B,2,FALSE),W26,1),"")</f>
        <v>K</v>
      </c>
      <c r="W26" s="3">
        <v>127</v>
      </c>
      <c r="X26" s="3" t="str">
        <f>IFERROR(MID(VLOOKUP($B26,Seqs!$A:$B,2,FALSE),Y26,1),"")</f>
        <v>P</v>
      </c>
      <c r="Y26" s="3">
        <v>128</v>
      </c>
      <c r="Z26" s="3" t="str">
        <f>IFERROR(MID(VLOOKUP($B26,Seqs!$A:$B,2,FALSE),AA26,1),"")</f>
        <v>R</v>
      </c>
      <c r="AA26" s="3">
        <v>135</v>
      </c>
      <c r="AB26" s="3" t="str">
        <f>IFERROR(MID(VLOOKUP($B26,Seqs!$A:$B,2,FALSE),AC26,1),"")</f>
        <v>T</v>
      </c>
      <c r="AC26" s="3">
        <v>137</v>
      </c>
      <c r="AD26" s="3" t="str">
        <f>IFERROR(MID(VLOOKUP($B26,Seqs!$A:$B,2,FALSE),AE26,1),"")</f>
        <v>G</v>
      </c>
      <c r="AE26" s="3">
        <v>167</v>
      </c>
      <c r="AF26" s="3" t="str">
        <f>IFERROR(MID(VLOOKUP($B26,Seqs!$A:$B,2,FALSE),AG26,1),"")</f>
        <v>C</v>
      </c>
      <c r="AG26" s="3">
        <v>176</v>
      </c>
      <c r="AH26" s="3" t="str">
        <f>IFERROR(MID(VLOOKUP($B26,Seqs!$A:$B,2,FALSE),AI26,1),"")</f>
        <v>I</v>
      </c>
      <c r="AI26" s="3">
        <v>178</v>
      </c>
      <c r="AJ26" s="3" t="str">
        <f>IFERROR(MID(VLOOKUP($B26,Seqs!$A:$B,2,FALSE),AK26,1),"")</f>
        <v>N</v>
      </c>
      <c r="AK26" s="3">
        <v>183</v>
      </c>
      <c r="AL26" s="3" t="str">
        <f>IFERROR(MID(VLOOKUP($B26,Seqs!$A:$B,2,FALSE),AM26,1),"")</f>
        <v>S</v>
      </c>
      <c r="AM26" s="3">
        <v>215</v>
      </c>
      <c r="AN26" s="3" t="str">
        <f>IFERROR(MID(VLOOKUP($B26,Seqs!$A:$B,2,FALSE),AO26,1),"")</f>
        <v>P</v>
      </c>
      <c r="AO26" s="3">
        <v>379</v>
      </c>
      <c r="AP26" s="3" t="str">
        <f>IFERROR(MID(VLOOKUP($B26,Seqs!$A:$B,2,FALSE),AQ26,1),"")</f>
        <v>C</v>
      </c>
      <c r="AQ26" s="3">
        <v>413</v>
      </c>
      <c r="AR26" s="3" t="str">
        <f>IFERROR(MID(VLOOKUP($B26,Seqs!$A:$B,2,FALSE),AS26,1),"")</f>
        <v>P</v>
      </c>
      <c r="AS26" s="3">
        <v>418</v>
      </c>
      <c r="AT26" s="3" t="str">
        <f>IFERROR(MID(VLOOKUP($B26,Seqs!$A:$B,2,FALSE),AU26,1),"")</f>
        <v>C</v>
      </c>
      <c r="AU26" s="3">
        <v>443</v>
      </c>
      <c r="AV26" s="3" t="str">
        <f>IFERROR(MID(VLOOKUP($B26,Seqs!$A:$B,2,FALSE),AW26,1),"")</f>
        <v>N</v>
      </c>
      <c r="AW26" s="3">
        <v>444</v>
      </c>
      <c r="AX26" s="3" t="str">
        <f>IFERROR(MID(VLOOKUP($B26,Seqs!$A:$B,2,FALSE),AY26,1),"")</f>
        <v>C</v>
      </c>
      <c r="AY26" s="3">
        <v>457</v>
      </c>
      <c r="AZ26" s="83" t="str">
        <f>VLOOKUP(B26,Classification!A:D,2,FALSE)</f>
        <v>A</v>
      </c>
      <c r="BC26" s="57">
        <f t="shared" si="1"/>
        <v>258</v>
      </c>
      <c r="BD26" s="63" t="b">
        <f t="shared" si="2"/>
        <v>1</v>
      </c>
      <c r="BE26" s="68" t="s">
        <v>1514</v>
      </c>
      <c r="BF26" s="75" t="s">
        <v>1514</v>
      </c>
      <c r="BG26" s="75" t="s">
        <v>1514</v>
      </c>
      <c r="BH26" s="75" t="s">
        <v>1514</v>
      </c>
      <c r="BI26" s="75" t="s">
        <v>1514</v>
      </c>
      <c r="BJ26" s="75" t="s">
        <v>1514</v>
      </c>
      <c r="BK26" s="75" t="s">
        <v>1514</v>
      </c>
      <c r="BL26" s="75" t="s">
        <v>1514</v>
      </c>
      <c r="BM26" s="75" t="s">
        <v>1514</v>
      </c>
      <c r="BN26" s="75" t="s">
        <v>1514</v>
      </c>
      <c r="BO26" s="75" t="s">
        <v>1514</v>
      </c>
      <c r="BP26" s="75" t="s">
        <v>1514</v>
      </c>
      <c r="BQ26" s="68">
        <f t="shared" si="3"/>
        <v>19</v>
      </c>
      <c r="BR26" s="69">
        <f t="shared" si="4"/>
        <v>52</v>
      </c>
      <c r="BS26" s="70">
        <f t="shared" si="5"/>
        <v>56</v>
      </c>
      <c r="BT26" s="69">
        <f t="shared" si="6"/>
        <v>88</v>
      </c>
      <c r="BU26" s="70">
        <f t="shared" si="7"/>
        <v>92</v>
      </c>
      <c r="BV26" s="69">
        <f t="shared" si="8"/>
        <v>128</v>
      </c>
      <c r="BW26" s="70">
        <f t="shared" si="9"/>
        <v>137</v>
      </c>
      <c r="BX26" s="69">
        <f t="shared" si="10"/>
        <v>176</v>
      </c>
      <c r="BY26" s="70">
        <f t="shared" si="11"/>
        <v>183</v>
      </c>
      <c r="BZ26" s="69">
        <f t="shared" si="12"/>
        <v>379</v>
      </c>
      <c r="CA26" s="70">
        <f t="shared" si="13"/>
        <v>418</v>
      </c>
      <c r="CB26" s="69">
        <f t="shared" si="14"/>
        <v>444</v>
      </c>
      <c r="CC26" s="68">
        <f t="shared" si="15"/>
        <v>51</v>
      </c>
      <c r="CD26" s="69">
        <f t="shared" si="16"/>
        <v>55</v>
      </c>
      <c r="CE26" s="70">
        <f t="shared" si="17"/>
        <v>86</v>
      </c>
      <c r="CF26" s="70">
        <f t="shared" si="18"/>
        <v>91</v>
      </c>
      <c r="CG26" s="70">
        <f t="shared" si="19"/>
        <v>127</v>
      </c>
      <c r="CH26" s="70">
        <f t="shared" si="20"/>
        <v>135</v>
      </c>
      <c r="CI26" s="70">
        <f t="shared" si="21"/>
        <v>167</v>
      </c>
      <c r="CJ26" s="70">
        <f t="shared" si="22"/>
        <v>178</v>
      </c>
      <c r="CK26" s="70">
        <f t="shared" si="23"/>
        <v>215</v>
      </c>
      <c r="CL26" s="70">
        <f t="shared" si="24"/>
        <v>413</v>
      </c>
      <c r="CM26" s="70">
        <f t="shared" si="25"/>
        <v>443</v>
      </c>
      <c r="CN26" s="70">
        <f t="shared" si="26"/>
        <v>457</v>
      </c>
      <c r="CO26" s="57">
        <f t="shared" si="27"/>
        <v>1</v>
      </c>
    </row>
    <row r="27" spans="1:93" x14ac:dyDescent="0.2">
      <c r="A27" s="3" t="str">
        <f t="shared" si="0"/>
        <v>acm3_rat__wt</v>
      </c>
      <c r="B27" s="3" t="s">
        <v>1106</v>
      </c>
      <c r="C27" s="3" t="s">
        <v>294</v>
      </c>
      <c r="D27" s="3" t="str">
        <f>IFERROR(MID(VLOOKUP($B27,Seqs!$A:$B,2,FALSE),E27,1),"")</f>
        <v>I</v>
      </c>
      <c r="E27" s="3">
        <v>64</v>
      </c>
      <c r="F27" s="3" t="str">
        <f>IFERROR(MID(VLOOKUP($B27,Seqs!$A:$B,2,FALSE),G27,1),"")</f>
        <v>N</v>
      </c>
      <c r="G27" s="3">
        <v>95</v>
      </c>
      <c r="H27" s="3" t="str">
        <f>IFERROR(MID(VLOOKUP($B27,Seqs!$A:$B,2,FALSE),I27,1),"")</f>
        <v>K</v>
      </c>
      <c r="I27" s="57">
        <v>96</v>
      </c>
      <c r="J27" s="3" t="str">
        <f>IFERROR(MID(VLOOKUP($B27,Seqs!$A:$B,2,FALSE),K27,1),"")</f>
        <v>K</v>
      </c>
      <c r="K27" s="57">
        <v>99</v>
      </c>
      <c r="L27" s="3" t="str">
        <f>IFERROR(MID(VLOOKUP($B27,Seqs!$A:$B,2,FALSE),M27,1),"")</f>
        <v>T</v>
      </c>
      <c r="M27" s="3">
        <v>100</v>
      </c>
      <c r="N27" s="3" t="str">
        <f>IFERROR(MID(VLOOKUP($B27,Seqs!$A:$B,2,FALSE),O27,1),"")</f>
        <v>M</v>
      </c>
      <c r="O27" s="3">
        <v>130</v>
      </c>
      <c r="P27" s="3" t="str">
        <f>IFERROR(MID(VLOOKUP($B27,Seqs!$A:$B,2,FALSE),Q27,1),"")</f>
        <v>R</v>
      </c>
      <c r="Q27" s="3">
        <v>132</v>
      </c>
      <c r="R27" s="3" t="str">
        <f>IFERROR(MID(VLOOKUP($B27,Seqs!$A:$B,2,FALSE),S27,1),"")</f>
        <v>L</v>
      </c>
      <c r="S27" s="3">
        <v>135</v>
      </c>
      <c r="T27" s="3" t="str">
        <f>IFERROR(MID(VLOOKUP($B27,Seqs!$A:$B,2,FALSE),U27,1),"")</f>
        <v>G</v>
      </c>
      <c r="U27" s="3">
        <v>136</v>
      </c>
      <c r="V27" s="3" t="str">
        <f>IFERROR(MID(VLOOKUP($B27,Seqs!$A:$B,2,FALSE),W27,1),"")</f>
        <v>R</v>
      </c>
      <c r="W27" s="3">
        <v>171</v>
      </c>
      <c r="X27" s="3" t="str">
        <f>IFERROR(MID(VLOOKUP($B27,Seqs!$A:$B,2,FALSE),Y27,1),"")</f>
        <v>P</v>
      </c>
      <c r="Y27" s="3">
        <v>172</v>
      </c>
      <c r="Z27" s="3" t="str">
        <f>IFERROR(MID(VLOOKUP($B27,Seqs!$A:$B,2,FALSE),AA27,1),"")</f>
        <v>R</v>
      </c>
      <c r="AA27" s="3">
        <v>179</v>
      </c>
      <c r="AB27" s="3" t="str">
        <f>IFERROR(MID(VLOOKUP($B27,Seqs!$A:$B,2,FALSE),AC27,1),"")</f>
        <v>T</v>
      </c>
      <c r="AC27" s="3">
        <v>181</v>
      </c>
      <c r="AD27" s="3" t="str">
        <f>IFERROR(MID(VLOOKUP($B27,Seqs!$A:$B,2,FALSE),AE27,1),"")</f>
        <v>G</v>
      </c>
      <c r="AE27" s="3">
        <v>211</v>
      </c>
      <c r="AF27" s="3" t="str">
        <f>IFERROR(MID(VLOOKUP($B27,Seqs!$A:$B,2,FALSE),AG27,1),"")</f>
        <v>C</v>
      </c>
      <c r="AG27" s="3">
        <v>220</v>
      </c>
      <c r="AH27" s="3" t="str">
        <f>IFERROR(MID(VLOOKUP($B27,Seqs!$A:$B,2,FALSE),AI27,1),"")</f>
        <v>I</v>
      </c>
      <c r="AI27" s="3">
        <v>222</v>
      </c>
      <c r="AJ27" s="3" t="str">
        <f>IFERROR(MID(VLOOKUP($B27,Seqs!$A:$B,2,FALSE),AK27,1),"")</f>
        <v>E</v>
      </c>
      <c r="AK27" s="3">
        <v>227</v>
      </c>
      <c r="AL27" s="3" t="str">
        <f>IFERROR(MID(VLOOKUP($B27,Seqs!$A:$B,2,FALSE),AM27,1),"")</f>
        <v>L</v>
      </c>
      <c r="AM27" s="3">
        <v>267</v>
      </c>
      <c r="AN27" s="3" t="str">
        <f>IFERROR(MID(VLOOKUP($B27,Seqs!$A:$B,2,FALSE),AO27,1),"")</f>
        <v>R</v>
      </c>
      <c r="AO27" s="3">
        <v>479</v>
      </c>
      <c r="AP27" s="3" t="str">
        <f>IFERROR(MID(VLOOKUP($B27,Seqs!$A:$B,2,FALSE),AQ27,1),"")</f>
        <v>C</v>
      </c>
      <c r="AQ27" s="3">
        <v>516</v>
      </c>
      <c r="AR27" s="3" t="str">
        <f>IFERROR(MID(VLOOKUP($B27,Seqs!$A:$B,2,FALSE),AS27,1),"")</f>
        <v>P</v>
      </c>
      <c r="AS27" s="3">
        <v>521</v>
      </c>
      <c r="AT27" s="3" t="str">
        <f>IFERROR(MID(VLOOKUP($B27,Seqs!$A:$B,2,FALSE),AU27,1),"")</f>
        <v>C</v>
      </c>
      <c r="AU27" s="3">
        <v>546</v>
      </c>
      <c r="AV27" s="3" t="str">
        <f>IFERROR(MID(VLOOKUP($B27,Seqs!$A:$B,2,FALSE),AW27,1),"")</f>
        <v>N</v>
      </c>
      <c r="AW27" s="3">
        <v>547</v>
      </c>
      <c r="AX27" s="3" t="str">
        <f>IFERROR(MID(VLOOKUP($B27,Seqs!$A:$B,2,FALSE),AY27,1),"")</f>
        <v>L</v>
      </c>
      <c r="AY27" s="3">
        <v>558</v>
      </c>
      <c r="AZ27" s="83" t="str">
        <f>VLOOKUP(B27,Classification!A:D,2,FALSE)</f>
        <v>A</v>
      </c>
      <c r="BB27" s="82">
        <f>S27-Q27+1</f>
        <v>4</v>
      </c>
      <c r="BC27" s="57">
        <f t="shared" si="1"/>
        <v>266</v>
      </c>
      <c r="BD27" s="63" t="b">
        <f t="shared" si="2"/>
        <v>1</v>
      </c>
      <c r="BE27" s="68" t="s">
        <v>1514</v>
      </c>
      <c r="BF27" s="75" t="s">
        <v>1514</v>
      </c>
      <c r="BG27" s="75" t="s">
        <v>1514</v>
      </c>
      <c r="BH27" s="75" t="s">
        <v>1514</v>
      </c>
      <c r="BI27" s="75" t="s">
        <v>1514</v>
      </c>
      <c r="BJ27" s="75" t="s">
        <v>1514</v>
      </c>
      <c r="BK27" s="75" t="s">
        <v>1514</v>
      </c>
      <c r="BL27" s="75" t="s">
        <v>1514</v>
      </c>
      <c r="BM27" s="75" t="s">
        <v>1514</v>
      </c>
      <c r="BN27" s="75" t="s">
        <v>1514</v>
      </c>
      <c r="BO27" s="75" t="s">
        <v>1514</v>
      </c>
      <c r="BP27" s="75" t="s">
        <v>1514</v>
      </c>
      <c r="BQ27" s="68">
        <f t="shared" si="3"/>
        <v>64</v>
      </c>
      <c r="BR27" s="69">
        <f t="shared" si="4"/>
        <v>96</v>
      </c>
      <c r="BS27" s="70">
        <f t="shared" si="5"/>
        <v>100</v>
      </c>
      <c r="BT27" s="69">
        <f t="shared" si="6"/>
        <v>132</v>
      </c>
      <c r="BU27" s="70">
        <f t="shared" si="7"/>
        <v>136</v>
      </c>
      <c r="BV27" s="69">
        <f t="shared" si="8"/>
        <v>172</v>
      </c>
      <c r="BW27" s="70">
        <f t="shared" si="9"/>
        <v>181</v>
      </c>
      <c r="BX27" s="69">
        <f t="shared" si="10"/>
        <v>220</v>
      </c>
      <c r="BY27" s="70">
        <f t="shared" si="11"/>
        <v>227</v>
      </c>
      <c r="BZ27" s="69">
        <f t="shared" si="12"/>
        <v>479</v>
      </c>
      <c r="CA27" s="70">
        <f t="shared" si="13"/>
        <v>521</v>
      </c>
      <c r="CB27" s="69">
        <f t="shared" si="14"/>
        <v>547</v>
      </c>
      <c r="CC27" s="68">
        <f t="shared" si="15"/>
        <v>95</v>
      </c>
      <c r="CD27" s="69">
        <f t="shared" si="16"/>
        <v>99</v>
      </c>
      <c r="CE27" s="70">
        <f t="shared" si="17"/>
        <v>130</v>
      </c>
      <c r="CF27" s="70">
        <f t="shared" si="18"/>
        <v>135</v>
      </c>
      <c r="CG27" s="70">
        <f t="shared" si="19"/>
        <v>171</v>
      </c>
      <c r="CH27" s="70">
        <f t="shared" si="20"/>
        <v>179</v>
      </c>
      <c r="CI27" s="70">
        <f t="shared" si="21"/>
        <v>211</v>
      </c>
      <c r="CJ27" s="70">
        <f t="shared" si="22"/>
        <v>222</v>
      </c>
      <c r="CK27" s="70">
        <f t="shared" si="23"/>
        <v>267</v>
      </c>
      <c r="CL27" s="70">
        <f t="shared" si="24"/>
        <v>516</v>
      </c>
      <c r="CM27" s="70">
        <f t="shared" si="25"/>
        <v>546</v>
      </c>
      <c r="CN27" s="70">
        <f t="shared" si="26"/>
        <v>558</v>
      </c>
      <c r="CO27" s="57">
        <f t="shared" si="27"/>
        <v>1</v>
      </c>
    </row>
    <row r="28" spans="1:93" x14ac:dyDescent="0.2">
      <c r="A28" s="3" t="str">
        <f t="shared" si="0"/>
        <v>acm3_rat_4U15</v>
      </c>
      <c r="B28" s="3" t="s">
        <v>1106</v>
      </c>
      <c r="C28" s="3" t="s">
        <v>262</v>
      </c>
      <c r="D28" s="3" t="str">
        <f>IFERROR(MID(VLOOKUP($B28,Seqs!$A:$B,2,FALSE),E28,1),"")</f>
        <v>I</v>
      </c>
      <c r="E28" s="3">
        <v>64</v>
      </c>
      <c r="F28" s="3" t="str">
        <f>IFERROR(MID(VLOOKUP($B28,Seqs!$A:$B,2,FALSE),G28,1),"")</f>
        <v>N</v>
      </c>
      <c r="G28" s="3">
        <v>95</v>
      </c>
      <c r="H28" s="3" t="str">
        <f>IFERROR(MID(VLOOKUP($B28,Seqs!$A:$B,2,FALSE),I28,1),"")</f>
        <v>K</v>
      </c>
      <c r="I28" s="57">
        <v>96</v>
      </c>
      <c r="J28" s="3" t="str">
        <f>IFERROR(MID(VLOOKUP($B28,Seqs!$A:$B,2,FALSE),K28,1),"")</f>
        <v>K</v>
      </c>
      <c r="K28" s="57">
        <v>99</v>
      </c>
      <c r="L28" s="3" t="str">
        <f>IFERROR(MID(VLOOKUP($B28,Seqs!$A:$B,2,FALSE),M28,1),"")</f>
        <v>T</v>
      </c>
      <c r="M28" s="3">
        <v>100</v>
      </c>
      <c r="N28" s="3" t="str">
        <f>IFERROR(MID(VLOOKUP($B28,Seqs!$A:$B,2,FALSE),O28,1),"")</f>
        <v>M</v>
      </c>
      <c r="O28" s="3">
        <v>130</v>
      </c>
      <c r="P28" s="3" t="str">
        <f>IFERROR(MID(VLOOKUP($B28,Seqs!$A:$B,2,FALSE),Q28,1),"")</f>
        <v>R</v>
      </c>
      <c r="Q28" s="3">
        <v>132</v>
      </c>
      <c r="R28" s="3" t="str">
        <f>IFERROR(MID(VLOOKUP($B28,Seqs!$A:$B,2,FALSE),S28,1),"")</f>
        <v>L</v>
      </c>
      <c r="S28" s="3">
        <v>135</v>
      </c>
      <c r="T28" s="3" t="str">
        <f>IFERROR(MID(VLOOKUP($B28,Seqs!$A:$B,2,FALSE),U28,1),"")</f>
        <v>G</v>
      </c>
      <c r="U28" s="3">
        <v>136</v>
      </c>
      <c r="V28" s="3" t="str">
        <f>IFERROR(MID(VLOOKUP($B28,Seqs!$A:$B,2,FALSE),W28,1),"")</f>
        <v>R</v>
      </c>
      <c r="W28" s="3">
        <v>171</v>
      </c>
      <c r="X28" s="3" t="str">
        <f>IFERROR(MID(VLOOKUP($B28,Seqs!$A:$B,2,FALSE),Y28,1),"")</f>
        <v>P</v>
      </c>
      <c r="Y28" s="3">
        <v>172</v>
      </c>
      <c r="Z28" s="3" t="str">
        <f>IFERROR(MID(VLOOKUP($B28,Seqs!$A:$B,2,FALSE),AA28,1),"")</f>
        <v>R</v>
      </c>
      <c r="AA28" s="3">
        <v>179</v>
      </c>
      <c r="AB28" s="3" t="str">
        <f>IFERROR(MID(VLOOKUP($B28,Seqs!$A:$B,2,FALSE),AC28,1),"")</f>
        <v>T</v>
      </c>
      <c r="AC28" s="3">
        <v>181</v>
      </c>
      <c r="AD28" s="3" t="str">
        <f>IFERROR(MID(VLOOKUP($B28,Seqs!$A:$B,2,FALSE),AE28,1),"")</f>
        <v>G</v>
      </c>
      <c r="AE28" s="3">
        <v>211</v>
      </c>
      <c r="AF28" s="3" t="str">
        <f>IFERROR(MID(VLOOKUP($B28,Seqs!$A:$B,2,FALSE),AG28,1),"")</f>
        <v>C</v>
      </c>
      <c r="AG28" s="3">
        <v>220</v>
      </c>
      <c r="AH28" s="3" t="str">
        <f>IFERROR(MID(VLOOKUP($B28,Seqs!$A:$B,2,FALSE),AI28,1),"")</f>
        <v>I</v>
      </c>
      <c r="AI28" s="3">
        <v>222</v>
      </c>
      <c r="AJ28" s="3" t="str">
        <f>IFERROR(MID(VLOOKUP($B28,Seqs!$A:$B,2,FALSE),AK28,1),"")</f>
        <v>E</v>
      </c>
      <c r="AK28" s="3">
        <v>227</v>
      </c>
      <c r="AL28" s="3" t="str">
        <f>IFERROR(MID(VLOOKUP($B28,Seqs!$A:$B,2,FALSE),AM28,1),"")</f>
        <v>K</v>
      </c>
      <c r="AM28" s="3">
        <v>259</v>
      </c>
      <c r="AN28" s="3" t="str">
        <f>IFERROR(MID(VLOOKUP($B28,Seqs!$A:$B,2,FALSE),AO28,1),"")</f>
        <v>I</v>
      </c>
      <c r="AO28" s="3">
        <v>483</v>
      </c>
      <c r="AP28" s="3" t="str">
        <f>IFERROR(MID(VLOOKUP($B28,Seqs!$A:$B,2,FALSE),AQ28,1),"")</f>
        <v>C</v>
      </c>
      <c r="AQ28" s="3">
        <v>516</v>
      </c>
      <c r="AR28" s="3" t="str">
        <f>IFERROR(MID(VLOOKUP($B28,Seqs!$A:$B,2,FALSE),AS28,1),"")</f>
        <v>P</v>
      </c>
      <c r="AS28" s="3">
        <v>521</v>
      </c>
      <c r="AT28" s="3" t="str">
        <f>IFERROR(MID(VLOOKUP($B28,Seqs!$A:$B,2,FALSE),AU28,1),"")</f>
        <v>C</v>
      </c>
      <c r="AU28" s="3">
        <v>546</v>
      </c>
      <c r="AV28" s="3" t="str">
        <f>IFERROR(MID(VLOOKUP($B28,Seqs!$A:$B,2,FALSE),AW28,1),"")</f>
        <v>N</v>
      </c>
      <c r="AW28" s="3">
        <v>547</v>
      </c>
      <c r="AX28" s="3" t="str">
        <f>IFERROR(MID(VLOOKUP($B28,Seqs!$A:$B,2,FALSE),AY28,1),"")</f>
        <v>L</v>
      </c>
      <c r="AY28" s="3">
        <v>558</v>
      </c>
      <c r="AZ28" s="83" t="str">
        <f>VLOOKUP(B28,Classification!A:D,2,FALSE)</f>
        <v>A</v>
      </c>
      <c r="BC28" s="57">
        <f t="shared" si="1"/>
        <v>254</v>
      </c>
      <c r="BD28" s="63" t="b">
        <f t="shared" si="2"/>
        <v>1</v>
      </c>
      <c r="BE28" s="68" t="s">
        <v>1514</v>
      </c>
      <c r="BF28" s="75" t="s">
        <v>1514</v>
      </c>
      <c r="BG28" s="75" t="s">
        <v>1514</v>
      </c>
      <c r="BH28" s="75" t="s">
        <v>1514</v>
      </c>
      <c r="BI28" s="75" t="s">
        <v>1514</v>
      </c>
      <c r="BJ28" s="75" t="s">
        <v>1514</v>
      </c>
      <c r="BK28" s="75" t="s">
        <v>1514</v>
      </c>
      <c r="BL28" s="75" t="s">
        <v>1514</v>
      </c>
      <c r="BM28" s="75" t="s">
        <v>1514</v>
      </c>
      <c r="BN28" s="75" t="s">
        <v>1514</v>
      </c>
      <c r="BO28" s="75" t="s">
        <v>1514</v>
      </c>
      <c r="BP28" s="75" t="s">
        <v>1514</v>
      </c>
      <c r="BQ28" s="68">
        <f t="shared" si="3"/>
        <v>64</v>
      </c>
      <c r="BR28" s="69">
        <f t="shared" si="4"/>
        <v>96</v>
      </c>
      <c r="BS28" s="70">
        <f t="shared" si="5"/>
        <v>100</v>
      </c>
      <c r="BT28" s="69">
        <f t="shared" si="6"/>
        <v>132</v>
      </c>
      <c r="BU28" s="70">
        <f t="shared" si="7"/>
        <v>136</v>
      </c>
      <c r="BV28" s="69">
        <f t="shared" si="8"/>
        <v>172</v>
      </c>
      <c r="BW28" s="70">
        <f t="shared" si="9"/>
        <v>181</v>
      </c>
      <c r="BX28" s="69">
        <f t="shared" si="10"/>
        <v>220</v>
      </c>
      <c r="BY28" s="70">
        <f t="shared" si="11"/>
        <v>227</v>
      </c>
      <c r="BZ28" s="69">
        <f t="shared" si="12"/>
        <v>483</v>
      </c>
      <c r="CA28" s="70">
        <f t="shared" si="13"/>
        <v>521</v>
      </c>
      <c r="CB28" s="69">
        <f t="shared" si="14"/>
        <v>547</v>
      </c>
      <c r="CC28" s="68">
        <f t="shared" si="15"/>
        <v>95</v>
      </c>
      <c r="CD28" s="69">
        <f t="shared" si="16"/>
        <v>99</v>
      </c>
      <c r="CE28" s="70">
        <f t="shared" si="17"/>
        <v>130</v>
      </c>
      <c r="CF28" s="70">
        <f t="shared" si="18"/>
        <v>135</v>
      </c>
      <c r="CG28" s="70">
        <f t="shared" si="19"/>
        <v>171</v>
      </c>
      <c r="CH28" s="70">
        <f t="shared" si="20"/>
        <v>179</v>
      </c>
      <c r="CI28" s="70">
        <f t="shared" si="21"/>
        <v>211</v>
      </c>
      <c r="CJ28" s="70">
        <f t="shared" si="22"/>
        <v>222</v>
      </c>
      <c r="CK28" s="70">
        <f t="shared" si="23"/>
        <v>259</v>
      </c>
      <c r="CL28" s="70">
        <f t="shared" si="24"/>
        <v>516</v>
      </c>
      <c r="CM28" s="70">
        <f t="shared" si="25"/>
        <v>546</v>
      </c>
      <c r="CN28" s="70">
        <f t="shared" si="26"/>
        <v>558</v>
      </c>
      <c r="CO28" s="57">
        <f t="shared" si="27"/>
        <v>1</v>
      </c>
    </row>
    <row r="29" spans="1:93" x14ac:dyDescent="0.2">
      <c r="A29" s="3" t="str">
        <f t="shared" si="0"/>
        <v>acm3_rat_4U16</v>
      </c>
      <c r="B29" s="3" t="s">
        <v>1106</v>
      </c>
      <c r="C29" s="3" t="s">
        <v>1260</v>
      </c>
      <c r="D29" s="3" t="str">
        <f>IFERROR(MID(VLOOKUP($B29,Seqs!$A:$B,2,FALSE),E29,1),"")</f>
        <v>I</v>
      </c>
      <c r="E29" s="3">
        <v>64</v>
      </c>
      <c r="F29" s="3" t="str">
        <f>IFERROR(MID(VLOOKUP($B29,Seqs!$A:$B,2,FALSE),G29,1),"")</f>
        <v>N</v>
      </c>
      <c r="G29" s="3">
        <v>95</v>
      </c>
      <c r="H29" s="3" t="str">
        <f>IFERROR(MID(VLOOKUP($B29,Seqs!$A:$B,2,FALSE),I29,1),"")</f>
        <v>K</v>
      </c>
      <c r="I29" s="57">
        <v>96</v>
      </c>
      <c r="J29" s="3" t="str">
        <f>IFERROR(MID(VLOOKUP($B29,Seqs!$A:$B,2,FALSE),K29,1),"")</f>
        <v>K</v>
      </c>
      <c r="K29" s="57">
        <v>99</v>
      </c>
      <c r="L29" s="3" t="str">
        <f>IFERROR(MID(VLOOKUP($B29,Seqs!$A:$B,2,FALSE),M29,1),"")</f>
        <v>T</v>
      </c>
      <c r="M29" s="3">
        <v>100</v>
      </c>
      <c r="N29" s="3" t="str">
        <f>IFERROR(MID(VLOOKUP($B29,Seqs!$A:$B,2,FALSE),O29,1),"")</f>
        <v>M</v>
      </c>
      <c r="O29" s="3">
        <v>130</v>
      </c>
      <c r="P29" s="3" t="str">
        <f>IFERROR(MID(VLOOKUP($B29,Seqs!$A:$B,2,FALSE),Q29,1),"")</f>
        <v>R</v>
      </c>
      <c r="Q29" s="3">
        <v>132</v>
      </c>
      <c r="R29" s="3" t="str">
        <f>IFERROR(MID(VLOOKUP($B29,Seqs!$A:$B,2,FALSE),S29,1),"")</f>
        <v>L</v>
      </c>
      <c r="S29" s="3">
        <v>135</v>
      </c>
      <c r="T29" s="3" t="str">
        <f>IFERROR(MID(VLOOKUP($B29,Seqs!$A:$B,2,FALSE),U29,1),"")</f>
        <v>G</v>
      </c>
      <c r="U29" s="3">
        <v>136</v>
      </c>
      <c r="V29" s="3" t="str">
        <f>IFERROR(MID(VLOOKUP($B29,Seqs!$A:$B,2,FALSE),W29,1),"")</f>
        <v>R</v>
      </c>
      <c r="W29" s="3">
        <v>171</v>
      </c>
      <c r="X29" s="3" t="str">
        <f>IFERROR(MID(VLOOKUP($B29,Seqs!$A:$B,2,FALSE),Y29,1),"")</f>
        <v>P</v>
      </c>
      <c r="Y29" s="3">
        <v>172</v>
      </c>
      <c r="Z29" s="3" t="str">
        <f>IFERROR(MID(VLOOKUP($B29,Seqs!$A:$B,2,FALSE),AA29,1),"")</f>
        <v>R</v>
      </c>
      <c r="AA29" s="3">
        <v>179</v>
      </c>
      <c r="AB29" s="3" t="str">
        <f>IFERROR(MID(VLOOKUP($B29,Seqs!$A:$B,2,FALSE),AC29,1),"")</f>
        <v>T</v>
      </c>
      <c r="AC29" s="3">
        <v>181</v>
      </c>
      <c r="AD29" s="3" t="str">
        <f>IFERROR(MID(VLOOKUP($B29,Seqs!$A:$B,2,FALSE),AE29,1),"")</f>
        <v>G</v>
      </c>
      <c r="AE29" s="3">
        <v>211</v>
      </c>
      <c r="AF29" s="3" t="str">
        <f>IFERROR(MID(VLOOKUP($B29,Seqs!$A:$B,2,FALSE),AG29,1),"")</f>
        <v>C</v>
      </c>
      <c r="AG29" s="3">
        <v>220</v>
      </c>
      <c r="AH29" s="3" t="str">
        <f>IFERROR(MID(VLOOKUP($B29,Seqs!$A:$B,2,FALSE),AI29,1),"")</f>
        <v>I</v>
      </c>
      <c r="AI29" s="3">
        <v>222</v>
      </c>
      <c r="AJ29" s="3" t="str">
        <f>IFERROR(MID(VLOOKUP($B29,Seqs!$A:$B,2,FALSE),AK29,1),"")</f>
        <v>E</v>
      </c>
      <c r="AK29" s="3">
        <v>227</v>
      </c>
      <c r="AL29" s="3" t="str">
        <f>IFERROR(MID(VLOOKUP($B29,Seqs!$A:$B,2,FALSE),AM29,1),"")</f>
        <v>K</v>
      </c>
      <c r="AM29" s="3">
        <v>259</v>
      </c>
      <c r="AN29" s="3" t="str">
        <f>IFERROR(MID(VLOOKUP($B29,Seqs!$A:$B,2,FALSE),AO29,1),"")</f>
        <v>I</v>
      </c>
      <c r="AO29" s="3">
        <v>483</v>
      </c>
      <c r="AP29" s="3" t="str">
        <f>IFERROR(MID(VLOOKUP($B29,Seqs!$A:$B,2,FALSE),AQ29,1),"")</f>
        <v>C</v>
      </c>
      <c r="AQ29" s="3">
        <v>516</v>
      </c>
      <c r="AR29" s="3" t="str">
        <f>IFERROR(MID(VLOOKUP($B29,Seqs!$A:$B,2,FALSE),AS29,1),"")</f>
        <v>P</v>
      </c>
      <c r="AS29" s="3">
        <v>521</v>
      </c>
      <c r="AT29" s="3" t="str">
        <f>IFERROR(MID(VLOOKUP($B29,Seqs!$A:$B,2,FALSE),AU29,1),"")</f>
        <v>C</v>
      </c>
      <c r="AU29" s="3">
        <v>546</v>
      </c>
      <c r="AV29" s="3" t="str">
        <f>IFERROR(MID(VLOOKUP($B29,Seqs!$A:$B,2,FALSE),AW29,1),"")</f>
        <v/>
      </c>
      <c r="AW29" s="3" t="s">
        <v>129</v>
      </c>
      <c r="AX29" s="3" t="str">
        <f>IFERROR(MID(VLOOKUP($B29,Seqs!$A:$B,2,FALSE),AY29,1),"")</f>
        <v/>
      </c>
      <c r="AY29" s="3" t="s">
        <v>129</v>
      </c>
      <c r="AZ29" s="83" t="str">
        <f>VLOOKUP(B29,Classification!A:D,2,FALSE)</f>
        <v>A</v>
      </c>
      <c r="BC29" s="57">
        <f t="shared" si="1"/>
        <v>243</v>
      </c>
      <c r="BD29" s="63" t="b">
        <f t="shared" si="2"/>
        <v>1</v>
      </c>
      <c r="BE29" s="68" t="s">
        <v>1514</v>
      </c>
      <c r="BF29" s="75" t="s">
        <v>1514</v>
      </c>
      <c r="BG29" s="75" t="s">
        <v>1514</v>
      </c>
      <c r="BH29" s="75" t="s">
        <v>1514</v>
      </c>
      <c r="BI29" s="75" t="s">
        <v>1514</v>
      </c>
      <c r="BJ29" s="75" t="s">
        <v>1514</v>
      </c>
      <c r="BK29" s="75" t="s">
        <v>1514</v>
      </c>
      <c r="BL29" s="75" t="s">
        <v>1514</v>
      </c>
      <c r="BM29" s="75" t="s">
        <v>1514</v>
      </c>
      <c r="BN29" s="75" t="s">
        <v>1514</v>
      </c>
      <c r="BO29" s="75" t="s">
        <v>1514</v>
      </c>
      <c r="BP29" s="75" t="s">
        <v>1514</v>
      </c>
      <c r="BQ29" s="68">
        <f t="shared" si="3"/>
        <v>64</v>
      </c>
      <c r="BR29" s="69">
        <f t="shared" si="4"/>
        <v>96</v>
      </c>
      <c r="BS29" s="70">
        <f t="shared" si="5"/>
        <v>100</v>
      </c>
      <c r="BT29" s="69">
        <f t="shared" si="6"/>
        <v>132</v>
      </c>
      <c r="BU29" s="70">
        <f t="shared" si="7"/>
        <v>136</v>
      </c>
      <c r="BV29" s="69">
        <f t="shared" si="8"/>
        <v>172</v>
      </c>
      <c r="BW29" s="70">
        <f t="shared" si="9"/>
        <v>181</v>
      </c>
      <c r="BX29" s="69">
        <f t="shared" si="10"/>
        <v>220</v>
      </c>
      <c r="BY29" s="70">
        <f t="shared" si="11"/>
        <v>227</v>
      </c>
      <c r="BZ29" s="69">
        <f t="shared" si="12"/>
        <v>483</v>
      </c>
      <c r="CA29" s="70">
        <f t="shared" si="13"/>
        <v>521</v>
      </c>
      <c r="CB29" s="69" t="str">
        <f t="shared" si="14"/>
        <v>-</v>
      </c>
      <c r="CC29" s="68">
        <f t="shared" si="15"/>
        <v>95</v>
      </c>
      <c r="CD29" s="69">
        <f t="shared" si="16"/>
        <v>99</v>
      </c>
      <c r="CE29" s="70">
        <f t="shared" si="17"/>
        <v>130</v>
      </c>
      <c r="CF29" s="70">
        <f t="shared" si="18"/>
        <v>135</v>
      </c>
      <c r="CG29" s="70">
        <f t="shared" si="19"/>
        <v>171</v>
      </c>
      <c r="CH29" s="70">
        <f t="shared" si="20"/>
        <v>179</v>
      </c>
      <c r="CI29" s="70">
        <f t="shared" si="21"/>
        <v>211</v>
      </c>
      <c r="CJ29" s="70">
        <f t="shared" si="22"/>
        <v>222</v>
      </c>
      <c r="CK29" s="70">
        <f t="shared" si="23"/>
        <v>259</v>
      </c>
      <c r="CL29" s="70">
        <f t="shared" si="24"/>
        <v>516</v>
      </c>
      <c r="CM29" s="70">
        <f t="shared" si="25"/>
        <v>546</v>
      </c>
      <c r="CN29" s="70" t="str">
        <f t="shared" si="26"/>
        <v>-</v>
      </c>
      <c r="CO29" s="57">
        <f t="shared" si="27"/>
        <v>1</v>
      </c>
    </row>
    <row r="30" spans="1:93" x14ac:dyDescent="0.2">
      <c r="A30" s="3" t="str">
        <f t="shared" si="0"/>
        <v>acm4_human__wt</v>
      </c>
      <c r="B30" s="3" t="s">
        <v>343</v>
      </c>
      <c r="C30" s="3" t="s">
        <v>294</v>
      </c>
      <c r="D30" s="3" t="str">
        <f>IFERROR(MID(VLOOKUP($B30,Seqs!$A:$B,2,FALSE),E30,1),"")</f>
        <v>R</v>
      </c>
      <c r="E30" s="3">
        <v>26</v>
      </c>
      <c r="F30" s="3" t="str">
        <f>IFERROR(MID(VLOOKUP($B30,Seqs!$A:$B,2,FALSE),G30,1),"")</f>
        <v>N</v>
      </c>
      <c r="G30" s="3">
        <v>60</v>
      </c>
      <c r="H30" s="3" t="str">
        <f>IFERROR(MID(VLOOKUP($B30,Seqs!$A:$B,2,FALSE),I30,1),"")</f>
        <v>R</v>
      </c>
      <c r="I30" s="57">
        <v>61</v>
      </c>
      <c r="J30" s="3" t="str">
        <f>IFERROR(MID(VLOOKUP($B30,Seqs!$A:$B,2,FALSE),K30,1),"")</f>
        <v>Q</v>
      </c>
      <c r="K30" s="57">
        <v>64</v>
      </c>
      <c r="L30" s="3" t="str">
        <f>IFERROR(MID(VLOOKUP($B30,Seqs!$A:$B,2,FALSE),M30,1),"")</f>
        <v>T</v>
      </c>
      <c r="M30" s="3">
        <v>65</v>
      </c>
      <c r="N30" s="3" t="str">
        <f>IFERROR(MID(VLOOKUP($B30,Seqs!$A:$B,2,FALSE),O30,1),"")</f>
        <v>K</v>
      </c>
      <c r="O30" s="3">
        <v>95</v>
      </c>
      <c r="P30" s="3" t="str">
        <f>IFERROR(MID(VLOOKUP($B30,Seqs!$A:$B,2,FALSE),Q30,1),"")</f>
        <v>Y</v>
      </c>
      <c r="Q30" s="3">
        <v>97</v>
      </c>
      <c r="R30" s="3" t="str">
        <f>IFERROR(MID(VLOOKUP($B30,Seqs!$A:$B,2,FALSE),S30,1),"")</f>
        <v>L</v>
      </c>
      <c r="S30" s="3">
        <v>100</v>
      </c>
      <c r="T30" s="3" t="str">
        <f>IFERROR(MID(VLOOKUP($B30,Seqs!$A:$B,2,FALSE),U30,1),"")</f>
        <v>G</v>
      </c>
      <c r="U30" s="3">
        <v>101</v>
      </c>
      <c r="V30" s="3" t="str">
        <f>IFERROR(MID(VLOOKUP($B30,Seqs!$A:$B,2,FALSE),W30,1),"")</f>
        <v>K</v>
      </c>
      <c r="W30" s="3">
        <v>136</v>
      </c>
      <c r="X30" s="3" t="str">
        <f>IFERROR(MID(VLOOKUP($B30,Seqs!$A:$B,2,FALSE),Y30,1),"")</f>
        <v>P</v>
      </c>
      <c r="Y30" s="3">
        <v>137</v>
      </c>
      <c r="Z30" s="3" t="str">
        <f>IFERROR(MID(VLOOKUP($B30,Seqs!$A:$B,2,FALSE),AA30,1),"")</f>
        <v>R</v>
      </c>
      <c r="AA30" s="3">
        <v>144</v>
      </c>
      <c r="AB30" s="3" t="str">
        <f>IFERROR(MID(VLOOKUP($B30,Seqs!$A:$B,2,FALSE),AC30,1),"")</f>
        <v>T</v>
      </c>
      <c r="AC30" s="3">
        <v>146</v>
      </c>
      <c r="AD30" s="3" t="str">
        <f>IFERROR(MID(VLOOKUP($B30,Seqs!$A:$B,2,FALSE),AE30,1),"")</f>
        <v>G</v>
      </c>
      <c r="AE30" s="3">
        <v>176</v>
      </c>
      <c r="AF30" s="3" t="str">
        <f>IFERROR(MID(VLOOKUP($B30,Seqs!$A:$B,2,FALSE),AG30,1),"")</f>
        <v>C</v>
      </c>
      <c r="AG30" s="3">
        <v>185</v>
      </c>
      <c r="AH30" s="3" t="str">
        <f>IFERROR(MID(VLOOKUP($B30,Seqs!$A:$B,2,FALSE),AI30,1),"")</f>
        <v>I</v>
      </c>
      <c r="AI30" s="3">
        <v>187</v>
      </c>
      <c r="AJ30" s="3" t="str">
        <f>IFERROR(MID(VLOOKUP($B30,Seqs!$A:$B,2,FALSE),AK30,1),"")</f>
        <v>N</v>
      </c>
      <c r="AK30" s="3">
        <v>192</v>
      </c>
      <c r="AL30" s="3" t="str">
        <f>IFERROR(MID(VLOOKUP($B30,Seqs!$A:$B,2,FALSE),AM30,1),"")</f>
        <v>E</v>
      </c>
      <c r="AM30" s="3">
        <v>232</v>
      </c>
      <c r="AN30" s="3" t="str">
        <f>IFERROR(MID(VLOOKUP($B30,Seqs!$A:$B,2,FALSE),AO30,1),"")</f>
        <v>R</v>
      </c>
      <c r="AO30" s="3">
        <v>389</v>
      </c>
      <c r="AP30" s="3" t="str">
        <f>IFERROR(MID(VLOOKUP($B30,Seqs!$A:$B,2,FALSE),AQ30,1),"")</f>
        <v>C</v>
      </c>
      <c r="AQ30" s="3">
        <v>426</v>
      </c>
      <c r="AR30" s="3" t="str">
        <f>IFERROR(MID(VLOOKUP($B30,Seqs!$A:$B,2,FALSE),AS30,1),"")</f>
        <v>P</v>
      </c>
      <c r="AS30" s="3">
        <v>431</v>
      </c>
      <c r="AT30" s="3" t="str">
        <f>IFERROR(MID(VLOOKUP($B30,Seqs!$A:$B,2,FALSE),AU30,1),"")</f>
        <v>C</v>
      </c>
      <c r="AU30" s="3">
        <v>456</v>
      </c>
      <c r="AV30" s="3" t="str">
        <f>IFERROR(MID(VLOOKUP($B30,Seqs!$A:$B,2,FALSE),AW30,1),"")</f>
        <v>N</v>
      </c>
      <c r="AW30" s="3">
        <v>457</v>
      </c>
      <c r="AX30" s="3" t="str">
        <f>IFERROR(MID(VLOOKUP($B30,Seqs!$A:$B,2,FALSE),AY30,1),"")</f>
        <v>L</v>
      </c>
      <c r="AY30" s="3">
        <v>469</v>
      </c>
      <c r="AZ30" s="83" t="str">
        <f>VLOOKUP(B30,Classification!A:D,2,FALSE)</f>
        <v>A</v>
      </c>
      <c r="BB30" s="82">
        <f>S30-Q30+1</f>
        <v>4</v>
      </c>
      <c r="BC30" s="57">
        <f t="shared" si="1"/>
        <v>270</v>
      </c>
      <c r="BD30" s="71" t="b">
        <f t="shared" si="2"/>
        <v>1</v>
      </c>
      <c r="BE30" s="68" t="s">
        <v>1514</v>
      </c>
      <c r="BF30" s="75" t="s">
        <v>1514</v>
      </c>
      <c r="BG30" s="75" t="s">
        <v>1514</v>
      </c>
      <c r="BH30" s="75" t="s">
        <v>1514</v>
      </c>
      <c r="BI30" s="75" t="s">
        <v>1514</v>
      </c>
      <c r="BJ30" s="75" t="s">
        <v>1514</v>
      </c>
      <c r="BK30" s="75" t="s">
        <v>1514</v>
      </c>
      <c r="BL30" s="75" t="s">
        <v>1514</v>
      </c>
      <c r="BM30" s="75" t="s">
        <v>1514</v>
      </c>
      <c r="BN30" s="75" t="s">
        <v>1514</v>
      </c>
      <c r="BO30" s="75" t="s">
        <v>1514</v>
      </c>
      <c r="BP30" s="75" t="s">
        <v>1514</v>
      </c>
      <c r="BQ30" s="68">
        <f t="shared" si="3"/>
        <v>26</v>
      </c>
      <c r="BR30" s="69">
        <f t="shared" si="4"/>
        <v>61</v>
      </c>
      <c r="BS30" s="70">
        <f t="shared" si="5"/>
        <v>65</v>
      </c>
      <c r="BT30" s="69">
        <f t="shared" si="6"/>
        <v>97</v>
      </c>
      <c r="BU30" s="70">
        <f t="shared" si="7"/>
        <v>101</v>
      </c>
      <c r="BV30" s="69">
        <f t="shared" si="8"/>
        <v>137</v>
      </c>
      <c r="BW30" s="70">
        <f t="shared" si="9"/>
        <v>146</v>
      </c>
      <c r="BX30" s="69">
        <f t="shared" si="10"/>
        <v>185</v>
      </c>
      <c r="BY30" s="70">
        <f t="shared" si="11"/>
        <v>192</v>
      </c>
      <c r="BZ30" s="69">
        <f t="shared" si="12"/>
        <v>389</v>
      </c>
      <c r="CA30" s="70">
        <f t="shared" si="13"/>
        <v>431</v>
      </c>
      <c r="CB30" s="69">
        <f t="shared" si="14"/>
        <v>457</v>
      </c>
      <c r="CC30" s="68">
        <f t="shared" si="15"/>
        <v>60</v>
      </c>
      <c r="CD30" s="69">
        <f t="shared" si="16"/>
        <v>64</v>
      </c>
      <c r="CE30" s="70">
        <f t="shared" si="17"/>
        <v>95</v>
      </c>
      <c r="CF30" s="70">
        <f t="shared" si="18"/>
        <v>100</v>
      </c>
      <c r="CG30" s="70">
        <f t="shared" si="19"/>
        <v>136</v>
      </c>
      <c r="CH30" s="70">
        <f t="shared" si="20"/>
        <v>144</v>
      </c>
      <c r="CI30" s="70">
        <f t="shared" si="21"/>
        <v>176</v>
      </c>
      <c r="CJ30" s="70">
        <f t="shared" si="22"/>
        <v>187</v>
      </c>
      <c r="CK30" s="70">
        <f t="shared" si="23"/>
        <v>232</v>
      </c>
      <c r="CL30" s="70">
        <f t="shared" si="24"/>
        <v>426</v>
      </c>
      <c r="CM30" s="70">
        <f t="shared" si="25"/>
        <v>456</v>
      </c>
      <c r="CN30" s="70">
        <f t="shared" si="26"/>
        <v>469</v>
      </c>
      <c r="CO30" s="57">
        <f t="shared" si="27"/>
        <v>1</v>
      </c>
    </row>
    <row r="31" spans="1:93" x14ac:dyDescent="0.2">
      <c r="A31" s="3" t="str">
        <f t="shared" si="0"/>
        <v>acm4_human_5DSG</v>
      </c>
      <c r="B31" s="3" t="s">
        <v>343</v>
      </c>
      <c r="C31" s="3" t="s">
        <v>252</v>
      </c>
      <c r="D31" s="3" t="str">
        <f>IFERROR(MID(VLOOKUP($B31,Seqs!$A:$B,2,FALSE),E31,1),"")</f>
        <v>R</v>
      </c>
      <c r="E31" s="3">
        <v>26</v>
      </c>
      <c r="F31" s="3" t="str">
        <f>IFERROR(MID(VLOOKUP($B31,Seqs!$A:$B,2,FALSE),G31,1),"")</f>
        <v>N</v>
      </c>
      <c r="G31" s="3">
        <v>60</v>
      </c>
      <c r="H31" s="3" t="str">
        <f>IFERROR(MID(VLOOKUP($B31,Seqs!$A:$B,2,FALSE),I31,1),"")</f>
        <v>R</v>
      </c>
      <c r="I31" s="57">
        <v>61</v>
      </c>
      <c r="J31" s="3" t="str">
        <f>IFERROR(MID(VLOOKUP($B31,Seqs!$A:$B,2,FALSE),K31,1),"")</f>
        <v>Q</v>
      </c>
      <c r="K31" s="57">
        <v>64</v>
      </c>
      <c r="L31" s="3" t="str">
        <f>IFERROR(MID(VLOOKUP($B31,Seqs!$A:$B,2,FALSE),M31,1),"")</f>
        <v>T</v>
      </c>
      <c r="M31" s="3">
        <v>65</v>
      </c>
      <c r="N31" s="3" t="str">
        <f>IFERROR(MID(VLOOKUP($B31,Seqs!$A:$B,2,FALSE),O31,1),"")</f>
        <v>K</v>
      </c>
      <c r="O31" s="3">
        <v>95</v>
      </c>
      <c r="P31" s="3" t="str">
        <f>IFERROR(MID(VLOOKUP($B31,Seqs!$A:$B,2,FALSE),Q31,1),"")</f>
        <v>Y</v>
      </c>
      <c r="Q31" s="3">
        <v>97</v>
      </c>
      <c r="R31" s="3" t="str">
        <f>IFERROR(MID(VLOOKUP($B31,Seqs!$A:$B,2,FALSE),S31,1),"")</f>
        <v>L</v>
      </c>
      <c r="S31" s="3">
        <v>100</v>
      </c>
      <c r="T31" s="3" t="str">
        <f>IFERROR(MID(VLOOKUP($B31,Seqs!$A:$B,2,FALSE),U31,1),"")</f>
        <v>G</v>
      </c>
      <c r="U31" s="3">
        <v>101</v>
      </c>
      <c r="V31" s="3" t="str">
        <f>IFERROR(MID(VLOOKUP($B31,Seqs!$A:$B,2,FALSE),W31,1),"")</f>
        <v>K</v>
      </c>
      <c r="W31" s="3">
        <v>136</v>
      </c>
      <c r="X31" s="3" t="str">
        <f>IFERROR(MID(VLOOKUP($B31,Seqs!$A:$B,2,FALSE),Y31,1),"")</f>
        <v>P</v>
      </c>
      <c r="Y31" s="3">
        <v>137</v>
      </c>
      <c r="Z31" s="3" t="str">
        <f>IFERROR(MID(VLOOKUP($B31,Seqs!$A:$B,2,FALSE),AA31,1),"")</f>
        <v>R</v>
      </c>
      <c r="AA31" s="3">
        <v>144</v>
      </c>
      <c r="AB31" s="3" t="str">
        <f>IFERROR(MID(VLOOKUP($B31,Seqs!$A:$B,2,FALSE),AC31,1),"")</f>
        <v>T</v>
      </c>
      <c r="AC31" s="3">
        <v>146</v>
      </c>
      <c r="AD31" s="3" t="str">
        <f>IFERROR(MID(VLOOKUP($B31,Seqs!$A:$B,2,FALSE),AE31,1),"")</f>
        <v>G</v>
      </c>
      <c r="AE31" s="3">
        <v>176</v>
      </c>
      <c r="AF31" s="3" t="str">
        <f>IFERROR(MID(VLOOKUP($B31,Seqs!$A:$B,2,FALSE),AG31,1),"")</f>
        <v>C</v>
      </c>
      <c r="AG31" s="3">
        <v>185</v>
      </c>
      <c r="AH31" s="3" t="str">
        <f>IFERROR(MID(VLOOKUP($B31,Seqs!$A:$B,2,FALSE),AI31,1),"")</f>
        <v>I</v>
      </c>
      <c r="AI31" s="3">
        <v>187</v>
      </c>
      <c r="AJ31" s="3" t="str">
        <f>IFERROR(MID(VLOOKUP($B31,Seqs!$A:$B,2,FALSE),AK31,1),"")</f>
        <v>N</v>
      </c>
      <c r="AK31" s="3">
        <v>192</v>
      </c>
      <c r="AL31" s="3" t="str">
        <f>IFERROR(MID(VLOOKUP($B31,Seqs!$A:$B,2,FALSE),AM31,1),"")</f>
        <v>L</v>
      </c>
      <c r="AM31" s="3">
        <v>220</v>
      </c>
      <c r="AN31" s="3" t="str">
        <f>IFERROR(MID(VLOOKUP($B31,Seqs!$A:$B,2,FALSE),AO31,1),"")</f>
        <v>R</v>
      </c>
      <c r="AO31" s="3">
        <v>396</v>
      </c>
      <c r="AP31" s="3" t="str">
        <f>IFERROR(MID(VLOOKUP($B31,Seqs!$A:$B,2,FALSE),AQ31,1),"")</f>
        <v>C</v>
      </c>
      <c r="AQ31" s="3">
        <v>426</v>
      </c>
      <c r="AR31" s="3" t="str">
        <f>IFERROR(MID(VLOOKUP($B31,Seqs!$A:$B,2,FALSE),AS31,1),"")</f>
        <v>P</v>
      </c>
      <c r="AS31" s="3">
        <v>431</v>
      </c>
      <c r="AT31" s="3" t="str">
        <f>IFERROR(MID(VLOOKUP($B31,Seqs!$A:$B,2,FALSE),AU31,1),"")</f>
        <v>C</v>
      </c>
      <c r="AU31" s="3">
        <v>456</v>
      </c>
      <c r="AV31" s="3" t="str">
        <f>IFERROR(MID(VLOOKUP($B31,Seqs!$A:$B,2,FALSE),AW31,1),"")</f>
        <v>N</v>
      </c>
      <c r="AW31" s="3">
        <v>457</v>
      </c>
      <c r="AX31" s="3" t="str">
        <f>IFERROR(MID(VLOOKUP($B31,Seqs!$A:$B,2,FALSE),AY31,1),"")</f>
        <v>L</v>
      </c>
      <c r="AY31" s="3">
        <v>469</v>
      </c>
      <c r="AZ31" s="83" t="str">
        <f>VLOOKUP(B31,Classification!A:D,2,FALSE)</f>
        <v>A</v>
      </c>
      <c r="BC31" s="57">
        <f t="shared" si="1"/>
        <v>251</v>
      </c>
      <c r="BD31" s="71" t="b">
        <f t="shared" si="2"/>
        <v>1</v>
      </c>
      <c r="BE31" s="68" t="s">
        <v>1514</v>
      </c>
      <c r="BF31" s="75" t="s">
        <v>1514</v>
      </c>
      <c r="BG31" s="75" t="s">
        <v>1514</v>
      </c>
      <c r="BH31" s="75" t="s">
        <v>1514</v>
      </c>
      <c r="BI31" s="75" t="s">
        <v>1514</v>
      </c>
      <c r="BJ31" s="75" t="s">
        <v>1514</v>
      </c>
      <c r="BK31" s="75" t="s">
        <v>1514</v>
      </c>
      <c r="BL31" s="75" t="s">
        <v>1514</v>
      </c>
      <c r="BM31" s="75" t="s">
        <v>1514</v>
      </c>
      <c r="BN31" s="75" t="s">
        <v>1514</v>
      </c>
      <c r="BO31" s="75" t="s">
        <v>1514</v>
      </c>
      <c r="BP31" s="75" t="s">
        <v>1514</v>
      </c>
      <c r="BQ31" s="68">
        <f t="shared" si="3"/>
        <v>26</v>
      </c>
      <c r="BR31" s="69">
        <f t="shared" si="4"/>
        <v>61</v>
      </c>
      <c r="BS31" s="70">
        <f t="shared" si="5"/>
        <v>65</v>
      </c>
      <c r="BT31" s="69">
        <f t="shared" si="6"/>
        <v>97</v>
      </c>
      <c r="BU31" s="70">
        <f t="shared" si="7"/>
        <v>101</v>
      </c>
      <c r="BV31" s="69">
        <f t="shared" si="8"/>
        <v>137</v>
      </c>
      <c r="BW31" s="70">
        <f t="shared" si="9"/>
        <v>146</v>
      </c>
      <c r="BX31" s="69">
        <f t="shared" si="10"/>
        <v>185</v>
      </c>
      <c r="BY31" s="70">
        <f t="shared" si="11"/>
        <v>192</v>
      </c>
      <c r="BZ31" s="69">
        <f t="shared" si="12"/>
        <v>396</v>
      </c>
      <c r="CA31" s="70">
        <f t="shared" si="13"/>
        <v>431</v>
      </c>
      <c r="CB31" s="69">
        <f t="shared" si="14"/>
        <v>457</v>
      </c>
      <c r="CC31" s="68">
        <f t="shared" si="15"/>
        <v>60</v>
      </c>
      <c r="CD31" s="69">
        <f t="shared" si="16"/>
        <v>64</v>
      </c>
      <c r="CE31" s="70">
        <f t="shared" si="17"/>
        <v>95</v>
      </c>
      <c r="CF31" s="70">
        <f t="shared" si="18"/>
        <v>100</v>
      </c>
      <c r="CG31" s="70">
        <f t="shared" si="19"/>
        <v>136</v>
      </c>
      <c r="CH31" s="70">
        <f t="shared" si="20"/>
        <v>144</v>
      </c>
      <c r="CI31" s="70">
        <f t="shared" si="21"/>
        <v>176</v>
      </c>
      <c r="CJ31" s="70">
        <f t="shared" si="22"/>
        <v>187</v>
      </c>
      <c r="CK31" s="70">
        <f t="shared" si="23"/>
        <v>220</v>
      </c>
      <c r="CL31" s="70">
        <f t="shared" si="24"/>
        <v>426</v>
      </c>
      <c r="CM31" s="70">
        <f t="shared" si="25"/>
        <v>456</v>
      </c>
      <c r="CN31" s="70">
        <f t="shared" si="26"/>
        <v>469</v>
      </c>
      <c r="CO31" s="57">
        <f t="shared" si="27"/>
        <v>1</v>
      </c>
    </row>
    <row r="32" spans="1:93" x14ac:dyDescent="0.2">
      <c r="A32" s="3" t="str">
        <f t="shared" si="0"/>
        <v>adrb1_melga__wt</v>
      </c>
      <c r="B32" s="3" t="s">
        <v>1108</v>
      </c>
      <c r="C32" s="3" t="s">
        <v>294</v>
      </c>
      <c r="D32" s="3" t="str">
        <f>IFERROR(MID(VLOOKUP($B32,Seqs!$A:$B,2,FALSE),E32,1),"")</f>
        <v>A</v>
      </c>
      <c r="E32" s="3">
        <v>33</v>
      </c>
      <c r="F32" s="3" t="str">
        <f>IFERROR(MID(VLOOKUP($B32,Seqs!$A:$B,2,FALSE),G32,1),"")</f>
        <v>T</v>
      </c>
      <c r="G32" s="3">
        <v>69</v>
      </c>
      <c r="H32" s="3" t="str">
        <f>IFERROR(MID(VLOOKUP($B32,Seqs!$A:$B,2,FALSE),I32,1),"")</f>
        <v>Q</v>
      </c>
      <c r="I32" s="57">
        <v>70</v>
      </c>
      <c r="J32" s="3" t="str">
        <f>IFERROR(MID(VLOOKUP($B32,Seqs!$A:$B,2,FALSE),K32,1),"")</f>
        <v>Q</v>
      </c>
      <c r="K32" s="57">
        <v>73</v>
      </c>
      <c r="L32" s="3" t="str">
        <f>IFERROR(MID(VLOOKUP($B32,Seqs!$A:$B,2,FALSE),M32,1),"")</f>
        <v>T</v>
      </c>
      <c r="M32" s="3">
        <v>74</v>
      </c>
      <c r="N32" s="3" t="str">
        <f>IFERROR(MID(VLOOKUP($B32,Seqs!$A:$B,2,FALSE),O32,1),"")</f>
        <v>R</v>
      </c>
      <c r="O32" s="3">
        <v>104</v>
      </c>
      <c r="P32" s="3" t="str">
        <f>IFERROR(MID(VLOOKUP($B32,Seqs!$A:$B,2,FALSE),Q32,1),"")</f>
        <v>T</v>
      </c>
      <c r="Q32" s="3">
        <v>106</v>
      </c>
      <c r="R32" s="3" t="str">
        <f>IFERROR(MID(VLOOKUP($B32,Seqs!$A:$B,2,FALSE),S32,1),"")</f>
        <v>W</v>
      </c>
      <c r="S32" s="3">
        <v>109</v>
      </c>
      <c r="T32" s="3" t="str">
        <f>IFERROR(MID(VLOOKUP($B32,Seqs!$A:$B,2,FALSE),U32,1),"")</f>
        <v>G</v>
      </c>
      <c r="U32" s="3">
        <v>110</v>
      </c>
      <c r="V32" s="3" t="str">
        <f>IFERROR(MID(VLOOKUP($B32,Seqs!$A:$B,2,FALSE),W32,1),"")</f>
        <v>S</v>
      </c>
      <c r="W32" s="3">
        <v>145</v>
      </c>
      <c r="X32" s="3" t="str">
        <f>IFERROR(MID(VLOOKUP($B32,Seqs!$A:$B,2,FALSE),Y32,1),"")</f>
        <v>P</v>
      </c>
      <c r="Y32" s="3">
        <v>146</v>
      </c>
      <c r="Z32" s="3" t="str">
        <f>IFERROR(MID(VLOOKUP($B32,Seqs!$A:$B,2,FALSE),AA32,1),"")</f>
        <v>M</v>
      </c>
      <c r="AA32" s="3">
        <v>153</v>
      </c>
      <c r="AB32" s="3" t="str">
        <f>IFERROR(MID(VLOOKUP($B32,Seqs!$A:$B,2,FALSE),AC32,1),"")</f>
        <v>R</v>
      </c>
      <c r="AC32" s="3">
        <v>155</v>
      </c>
      <c r="AD32" s="3" t="str">
        <f>IFERROR(MID(VLOOKUP($B32,Seqs!$A:$B,2,FALSE),AE32,1),"")</f>
        <v>H</v>
      </c>
      <c r="AE32" s="3">
        <v>180</v>
      </c>
      <c r="AF32" s="3" t="str">
        <f>IFERROR(MID(VLOOKUP($B32,Seqs!$A:$B,2,FALSE),AG32,1),"")</f>
        <v>C</v>
      </c>
      <c r="AG32" s="3">
        <v>199</v>
      </c>
      <c r="AH32" s="3" t="str">
        <f>IFERROR(MID(VLOOKUP($B32,Seqs!$A:$B,2,FALSE),AI32,1),"")</f>
        <v>F</v>
      </c>
      <c r="AI32" s="3">
        <v>201</v>
      </c>
      <c r="AJ32" s="3" t="str">
        <f>IFERROR(MID(VLOOKUP($B32,Seqs!$A:$B,2,FALSE),AK32,1),"")</f>
        <v>N</v>
      </c>
      <c r="AK32" s="3">
        <v>204</v>
      </c>
      <c r="AL32" s="3" t="str">
        <f>IFERROR(MID(VLOOKUP($B32,Seqs!$A:$B,2,FALSE),AM32,1),"")</f>
        <v>E</v>
      </c>
      <c r="AM32" s="3">
        <v>245</v>
      </c>
      <c r="AN32" s="3" t="str">
        <f>IFERROR(MID(VLOOKUP($B32,Seqs!$A:$B,2,FALSE),AO32,1),"")</f>
        <v>R</v>
      </c>
      <c r="AO32" s="3">
        <v>275</v>
      </c>
      <c r="AP32" s="3" t="str">
        <f>IFERROR(MID(VLOOKUP($B32,Seqs!$A:$B,2,FALSE),AQ32,1),"")</f>
        <v>N</v>
      </c>
      <c r="AQ32" s="3">
        <v>316</v>
      </c>
      <c r="AR32" s="3" t="str">
        <f>IFERROR(MID(VLOOKUP($B32,Seqs!$A:$B,2,FALSE),AS32,1),"")</f>
        <v>P</v>
      </c>
      <c r="AS32" s="3">
        <v>321</v>
      </c>
      <c r="AT32" s="3" t="str">
        <f>IFERROR(MID(VLOOKUP($B32,Seqs!$A:$B,2,FALSE),AU32,1),"")</f>
        <v>R</v>
      </c>
      <c r="AU32" s="3">
        <v>345</v>
      </c>
      <c r="AV32" s="3" t="str">
        <f>IFERROR(MID(VLOOKUP($B32,Seqs!$A:$B,2,FALSE),AW32,1),"")</f>
        <v>S</v>
      </c>
      <c r="AW32" s="3">
        <v>346</v>
      </c>
      <c r="AX32" s="3" t="str">
        <f>IFERROR(MID(VLOOKUP($B32,Seqs!$A:$B,2,FALSE),AY32,1),"")</f>
        <v>C</v>
      </c>
      <c r="AY32" s="3">
        <v>358</v>
      </c>
      <c r="AZ32" s="83" t="str">
        <f>VLOOKUP(B32,Classification!A:D,2,FALSE)</f>
        <v>A</v>
      </c>
      <c r="BA32" s="3" t="s">
        <v>1385</v>
      </c>
      <c r="BB32" s="82">
        <f>S32-Q32+1</f>
        <v>4</v>
      </c>
      <c r="BC32" s="57">
        <f t="shared" si="1"/>
        <v>271</v>
      </c>
      <c r="BD32" s="63" t="b">
        <f t="shared" si="2"/>
        <v>1</v>
      </c>
      <c r="BE32" s="68" t="s">
        <v>1514</v>
      </c>
      <c r="BF32" s="75" t="s">
        <v>1514</v>
      </c>
      <c r="BG32" s="75" t="s">
        <v>1514</v>
      </c>
      <c r="BH32" s="75" t="s">
        <v>1514</v>
      </c>
      <c r="BI32" s="75" t="s">
        <v>1514</v>
      </c>
      <c r="BJ32" s="75" t="s">
        <v>1514</v>
      </c>
      <c r="BK32" s="75" t="s">
        <v>1514</v>
      </c>
      <c r="BL32" s="75" t="s">
        <v>1514</v>
      </c>
      <c r="BM32" s="75" t="s">
        <v>1514</v>
      </c>
      <c r="BN32" s="75" t="s">
        <v>1514</v>
      </c>
      <c r="BO32" s="75" t="s">
        <v>1514</v>
      </c>
      <c r="BP32" s="75" t="s">
        <v>1514</v>
      </c>
      <c r="BQ32" s="68">
        <f t="shared" si="3"/>
        <v>33</v>
      </c>
      <c r="BR32" s="69">
        <f t="shared" si="4"/>
        <v>70</v>
      </c>
      <c r="BS32" s="70">
        <f t="shared" si="5"/>
        <v>74</v>
      </c>
      <c r="BT32" s="69">
        <f t="shared" si="6"/>
        <v>106</v>
      </c>
      <c r="BU32" s="70">
        <f t="shared" si="7"/>
        <v>110</v>
      </c>
      <c r="BV32" s="69">
        <f t="shared" si="8"/>
        <v>146</v>
      </c>
      <c r="BW32" s="70">
        <f t="shared" si="9"/>
        <v>155</v>
      </c>
      <c r="BX32" s="69">
        <f t="shared" si="10"/>
        <v>199</v>
      </c>
      <c r="BY32" s="70">
        <f t="shared" si="11"/>
        <v>204</v>
      </c>
      <c r="BZ32" s="69">
        <f t="shared" si="12"/>
        <v>275</v>
      </c>
      <c r="CA32" s="70">
        <f t="shared" si="13"/>
        <v>321</v>
      </c>
      <c r="CB32" s="69">
        <f t="shared" si="14"/>
        <v>346</v>
      </c>
      <c r="CC32" s="68">
        <f t="shared" si="15"/>
        <v>69</v>
      </c>
      <c r="CD32" s="69">
        <f t="shared" si="16"/>
        <v>73</v>
      </c>
      <c r="CE32" s="70">
        <f t="shared" si="17"/>
        <v>104</v>
      </c>
      <c r="CF32" s="70">
        <f t="shared" si="18"/>
        <v>109</v>
      </c>
      <c r="CG32" s="70">
        <f t="shared" si="19"/>
        <v>145</v>
      </c>
      <c r="CH32" s="70">
        <f t="shared" si="20"/>
        <v>153</v>
      </c>
      <c r="CI32" s="70">
        <f t="shared" si="21"/>
        <v>180</v>
      </c>
      <c r="CJ32" s="70">
        <f t="shared" si="22"/>
        <v>201</v>
      </c>
      <c r="CK32" s="70">
        <f t="shared" si="23"/>
        <v>245</v>
      </c>
      <c r="CL32" s="70">
        <f t="shared" si="24"/>
        <v>316</v>
      </c>
      <c r="CM32" s="70">
        <f t="shared" si="25"/>
        <v>345</v>
      </c>
      <c r="CN32" s="70">
        <f t="shared" si="26"/>
        <v>358</v>
      </c>
      <c r="CO32" s="57">
        <f t="shared" si="27"/>
        <v>1</v>
      </c>
    </row>
    <row r="33" spans="1:93" x14ac:dyDescent="0.2">
      <c r="A33" s="3" t="str">
        <f t="shared" si="0"/>
        <v>adrb1_melga_2Y00</v>
      </c>
      <c r="B33" s="3" t="s">
        <v>1108</v>
      </c>
      <c r="C33" s="3" t="s">
        <v>1229</v>
      </c>
      <c r="D33" s="3" t="str">
        <f>IFERROR(MID(VLOOKUP($B33,Seqs!$A:$B,2,FALSE),E33,1),"")</f>
        <v>A</v>
      </c>
      <c r="E33" s="3">
        <v>33</v>
      </c>
      <c r="F33" s="3" t="str">
        <f>IFERROR(MID(VLOOKUP($B33,Seqs!$A:$B,2,FALSE),G33,1),"")</f>
        <v>T</v>
      </c>
      <c r="G33" s="3">
        <v>69</v>
      </c>
      <c r="H33" s="3" t="str">
        <f>IFERROR(MID(VLOOKUP($B33,Seqs!$A:$B,2,FALSE),I33,1),"")</f>
        <v>Q</v>
      </c>
      <c r="I33" s="57">
        <v>70</v>
      </c>
      <c r="J33" s="3" t="str">
        <f>IFERROR(MID(VLOOKUP($B33,Seqs!$A:$B,2,FALSE),K33,1),"")</f>
        <v>Q</v>
      </c>
      <c r="K33" s="57">
        <v>73</v>
      </c>
      <c r="L33" s="3" t="str">
        <f>IFERROR(MID(VLOOKUP($B33,Seqs!$A:$B,2,FALSE),M33,1),"")</f>
        <v>T</v>
      </c>
      <c r="M33" s="3">
        <v>74</v>
      </c>
      <c r="N33" s="3" t="str">
        <f>IFERROR(MID(VLOOKUP($B33,Seqs!$A:$B,2,FALSE),O33,1),"")</f>
        <v>R</v>
      </c>
      <c r="O33" s="3">
        <v>104</v>
      </c>
      <c r="P33" s="3" t="str">
        <f>IFERROR(MID(VLOOKUP($B33,Seqs!$A:$B,2,FALSE),Q33,1),"")</f>
        <v>T</v>
      </c>
      <c r="Q33" s="3">
        <v>106</v>
      </c>
      <c r="R33" s="3" t="str">
        <f>IFERROR(MID(VLOOKUP($B33,Seqs!$A:$B,2,FALSE),S33,1),"")</f>
        <v>W</v>
      </c>
      <c r="S33" s="3">
        <v>109</v>
      </c>
      <c r="T33" s="3" t="str">
        <f>IFERROR(MID(VLOOKUP($B33,Seqs!$A:$B,2,FALSE),U33,1),"")</f>
        <v>G</v>
      </c>
      <c r="U33" s="3">
        <v>110</v>
      </c>
      <c r="V33" s="3" t="str">
        <f>IFERROR(MID(VLOOKUP($B33,Seqs!$A:$B,2,FALSE),W33,1),"")</f>
        <v>S</v>
      </c>
      <c r="W33" s="3">
        <v>145</v>
      </c>
      <c r="X33" s="3" t="str">
        <f>IFERROR(MID(VLOOKUP($B33,Seqs!$A:$B,2,FALSE),Y33,1),"")</f>
        <v>P</v>
      </c>
      <c r="Y33" s="3">
        <v>146</v>
      </c>
      <c r="Z33" s="3" t="str">
        <f>IFERROR(MID(VLOOKUP($B33,Seqs!$A:$B,2,FALSE),AA33,1),"")</f>
        <v>M</v>
      </c>
      <c r="AA33" s="3">
        <v>153</v>
      </c>
      <c r="AB33" s="3" t="str">
        <f>IFERROR(MID(VLOOKUP($B33,Seqs!$A:$B,2,FALSE),AC33,1),"")</f>
        <v>R</v>
      </c>
      <c r="AC33" s="3">
        <v>155</v>
      </c>
      <c r="AD33" s="3" t="str">
        <f>IFERROR(MID(VLOOKUP($B33,Seqs!$A:$B,2,FALSE),AE33,1),"")</f>
        <v>H</v>
      </c>
      <c r="AE33" s="3">
        <v>180</v>
      </c>
      <c r="AF33" s="3" t="str">
        <f>IFERROR(MID(VLOOKUP($B33,Seqs!$A:$B,2,FALSE),AG33,1),"")</f>
        <v>C</v>
      </c>
      <c r="AG33" s="3">
        <v>199</v>
      </c>
      <c r="AH33" s="3" t="str">
        <f>IFERROR(MID(VLOOKUP($B33,Seqs!$A:$B,2,FALSE),AI33,1),"")</f>
        <v>F</v>
      </c>
      <c r="AI33" s="3">
        <v>201</v>
      </c>
      <c r="AJ33" s="3" t="str">
        <f>IFERROR(MID(VLOOKUP($B33,Seqs!$A:$B,2,FALSE),AK33,1),"")</f>
        <v>N</v>
      </c>
      <c r="AK33" s="3">
        <v>204</v>
      </c>
      <c r="AL33" s="3" t="str">
        <f>IFERROR(MID(VLOOKUP($B33,Seqs!$A:$B,2,FALSE),AM33,1),"")</f>
        <v>I</v>
      </c>
      <c r="AM33" s="3">
        <v>238</v>
      </c>
      <c r="AN33" s="3" t="str">
        <f>IFERROR(MID(VLOOKUP($B33,Seqs!$A:$B,2,FALSE),AO33,1),"")</f>
        <v>R</v>
      </c>
      <c r="AO33" s="3">
        <v>275</v>
      </c>
      <c r="AP33" s="3" t="str">
        <f>IFERROR(MID(VLOOKUP($B33,Seqs!$A:$B,2,FALSE),AQ33,1),"")</f>
        <v>N</v>
      </c>
      <c r="AQ33" s="3">
        <v>316</v>
      </c>
      <c r="AR33" s="3" t="str">
        <f>IFERROR(MID(VLOOKUP($B33,Seqs!$A:$B,2,FALSE),AS33,1),"")</f>
        <v>P</v>
      </c>
      <c r="AS33" s="3">
        <v>321</v>
      </c>
      <c r="AT33" s="3" t="str">
        <f>IFERROR(MID(VLOOKUP($B33,Seqs!$A:$B,2,FALSE),AU33,1),"")</f>
        <v>R</v>
      </c>
      <c r="AU33" s="3">
        <v>345</v>
      </c>
      <c r="AV33" s="3" t="str">
        <f>IFERROR(MID(VLOOKUP($B33,Seqs!$A:$B,2,FALSE),AW33,1),"")</f>
        <v>S</v>
      </c>
      <c r="AW33" s="3">
        <v>346</v>
      </c>
      <c r="AX33" s="3" t="str">
        <f>IFERROR(MID(VLOOKUP($B33,Seqs!$A:$B,2,FALSE),AY33,1),"")</f>
        <v>C</v>
      </c>
      <c r="AY33" s="3">
        <v>358</v>
      </c>
      <c r="AZ33" s="83" t="str">
        <f>VLOOKUP(B33,Classification!A:D,2,FALSE)</f>
        <v>A</v>
      </c>
      <c r="BC33" s="57">
        <f t="shared" si="1"/>
        <v>264</v>
      </c>
      <c r="BD33" s="63" t="b">
        <f t="shared" si="2"/>
        <v>1</v>
      </c>
      <c r="BE33" s="68" t="s">
        <v>1514</v>
      </c>
      <c r="BF33" s="75" t="s">
        <v>1514</v>
      </c>
      <c r="BG33" s="75" t="s">
        <v>1514</v>
      </c>
      <c r="BH33" s="75" t="s">
        <v>1514</v>
      </c>
      <c r="BI33" s="75" t="s">
        <v>1514</v>
      </c>
      <c r="BJ33" s="75" t="s">
        <v>1514</v>
      </c>
      <c r="BK33" s="75" t="s">
        <v>1514</v>
      </c>
      <c r="BL33" s="75" t="s">
        <v>1514</v>
      </c>
      <c r="BM33" s="75" t="s">
        <v>1514</v>
      </c>
      <c r="BN33" s="75" t="s">
        <v>1514</v>
      </c>
      <c r="BO33" s="75" t="s">
        <v>1514</v>
      </c>
      <c r="BP33" s="75" t="s">
        <v>1514</v>
      </c>
      <c r="BQ33" s="68">
        <f t="shared" si="3"/>
        <v>33</v>
      </c>
      <c r="BR33" s="69">
        <f t="shared" si="4"/>
        <v>70</v>
      </c>
      <c r="BS33" s="70">
        <f t="shared" si="5"/>
        <v>74</v>
      </c>
      <c r="BT33" s="69">
        <f t="shared" si="6"/>
        <v>106</v>
      </c>
      <c r="BU33" s="70">
        <f t="shared" si="7"/>
        <v>110</v>
      </c>
      <c r="BV33" s="69">
        <f t="shared" si="8"/>
        <v>146</v>
      </c>
      <c r="BW33" s="70">
        <f t="shared" si="9"/>
        <v>155</v>
      </c>
      <c r="BX33" s="69">
        <f t="shared" si="10"/>
        <v>199</v>
      </c>
      <c r="BY33" s="70">
        <f t="shared" si="11"/>
        <v>204</v>
      </c>
      <c r="BZ33" s="69">
        <f t="shared" si="12"/>
        <v>275</v>
      </c>
      <c r="CA33" s="70">
        <f t="shared" si="13"/>
        <v>321</v>
      </c>
      <c r="CB33" s="69">
        <f t="shared" si="14"/>
        <v>346</v>
      </c>
      <c r="CC33" s="68">
        <f t="shared" si="15"/>
        <v>69</v>
      </c>
      <c r="CD33" s="69">
        <f t="shared" si="16"/>
        <v>73</v>
      </c>
      <c r="CE33" s="70">
        <f t="shared" si="17"/>
        <v>104</v>
      </c>
      <c r="CF33" s="70">
        <f t="shared" si="18"/>
        <v>109</v>
      </c>
      <c r="CG33" s="70">
        <f t="shared" si="19"/>
        <v>145</v>
      </c>
      <c r="CH33" s="70">
        <f t="shared" si="20"/>
        <v>153</v>
      </c>
      <c r="CI33" s="70">
        <f t="shared" si="21"/>
        <v>180</v>
      </c>
      <c r="CJ33" s="70">
        <f t="shared" si="22"/>
        <v>201</v>
      </c>
      <c r="CK33" s="70">
        <f t="shared" si="23"/>
        <v>238</v>
      </c>
      <c r="CL33" s="70">
        <f t="shared" si="24"/>
        <v>316</v>
      </c>
      <c r="CM33" s="70">
        <f t="shared" si="25"/>
        <v>345</v>
      </c>
      <c r="CN33" s="70">
        <f t="shared" si="26"/>
        <v>358</v>
      </c>
      <c r="CO33" s="57">
        <f t="shared" si="27"/>
        <v>1</v>
      </c>
    </row>
    <row r="34" spans="1:93" x14ac:dyDescent="0.2">
      <c r="A34" s="3" t="str">
        <f t="shared" si="0"/>
        <v>adrb1_melga_2Y02</v>
      </c>
      <c r="B34" s="3" t="s">
        <v>1108</v>
      </c>
      <c r="C34" s="3" t="s">
        <v>1230</v>
      </c>
      <c r="D34" s="3" t="str">
        <f>IFERROR(MID(VLOOKUP($B34,Seqs!$A:$B,2,FALSE),E34,1),"")</f>
        <v>A</v>
      </c>
      <c r="E34" s="3">
        <v>33</v>
      </c>
      <c r="F34" s="3" t="str">
        <f>IFERROR(MID(VLOOKUP($B34,Seqs!$A:$B,2,FALSE),G34,1),"")</f>
        <v>T</v>
      </c>
      <c r="G34" s="3">
        <v>69</v>
      </c>
      <c r="H34" s="3" t="str">
        <f>IFERROR(MID(VLOOKUP($B34,Seqs!$A:$B,2,FALSE),I34,1),"")</f>
        <v>Q</v>
      </c>
      <c r="I34" s="57">
        <v>70</v>
      </c>
      <c r="J34" s="3" t="str">
        <f>IFERROR(MID(VLOOKUP($B34,Seqs!$A:$B,2,FALSE),K34,1),"")</f>
        <v>Q</v>
      </c>
      <c r="K34" s="57">
        <v>73</v>
      </c>
      <c r="L34" s="3" t="str">
        <f>IFERROR(MID(VLOOKUP($B34,Seqs!$A:$B,2,FALSE),M34,1),"")</f>
        <v>T</v>
      </c>
      <c r="M34" s="3">
        <v>74</v>
      </c>
      <c r="N34" s="3" t="str">
        <f>IFERROR(MID(VLOOKUP($B34,Seqs!$A:$B,2,FALSE),O34,1),"")</f>
        <v>R</v>
      </c>
      <c r="O34" s="3">
        <v>104</v>
      </c>
      <c r="P34" s="3" t="str">
        <f>IFERROR(MID(VLOOKUP($B34,Seqs!$A:$B,2,FALSE),Q34,1),"")</f>
        <v>T</v>
      </c>
      <c r="Q34" s="3">
        <v>106</v>
      </c>
      <c r="R34" s="3" t="str">
        <f>IFERROR(MID(VLOOKUP($B34,Seqs!$A:$B,2,FALSE),S34,1),"")</f>
        <v>W</v>
      </c>
      <c r="S34" s="3">
        <v>109</v>
      </c>
      <c r="T34" s="3" t="str">
        <f>IFERROR(MID(VLOOKUP($B34,Seqs!$A:$B,2,FALSE),U34,1),"")</f>
        <v>G</v>
      </c>
      <c r="U34" s="3">
        <v>110</v>
      </c>
      <c r="V34" s="3" t="str">
        <f>IFERROR(MID(VLOOKUP($B34,Seqs!$A:$B,2,FALSE),W34,1),"")</f>
        <v>S</v>
      </c>
      <c r="W34" s="3">
        <v>145</v>
      </c>
      <c r="X34" s="3" t="str">
        <f>IFERROR(MID(VLOOKUP($B34,Seqs!$A:$B,2,FALSE),Y34,1),"")</f>
        <v>P</v>
      </c>
      <c r="Y34" s="3">
        <v>146</v>
      </c>
      <c r="Z34" s="3" t="str">
        <f>IFERROR(MID(VLOOKUP($B34,Seqs!$A:$B,2,FALSE),AA34,1),"")</f>
        <v>M</v>
      </c>
      <c r="AA34" s="3">
        <v>153</v>
      </c>
      <c r="AB34" s="3" t="str">
        <f>IFERROR(MID(VLOOKUP($B34,Seqs!$A:$B,2,FALSE),AC34,1),"")</f>
        <v>R</v>
      </c>
      <c r="AC34" s="3">
        <v>155</v>
      </c>
      <c r="AD34" s="3" t="str">
        <f>IFERROR(MID(VLOOKUP($B34,Seqs!$A:$B,2,FALSE),AE34,1),"")</f>
        <v>H</v>
      </c>
      <c r="AE34" s="3">
        <v>180</v>
      </c>
      <c r="AF34" s="3" t="str">
        <f>IFERROR(MID(VLOOKUP($B34,Seqs!$A:$B,2,FALSE),AG34,1),"")</f>
        <v>C</v>
      </c>
      <c r="AG34" s="3">
        <v>199</v>
      </c>
      <c r="AH34" s="3" t="str">
        <f>IFERROR(MID(VLOOKUP($B34,Seqs!$A:$B,2,FALSE),AI34,1),"")</f>
        <v>F</v>
      </c>
      <c r="AI34" s="3">
        <v>201</v>
      </c>
      <c r="AJ34" s="3" t="str">
        <f>IFERROR(MID(VLOOKUP($B34,Seqs!$A:$B,2,FALSE),AK34,1),"")</f>
        <v>N</v>
      </c>
      <c r="AK34" s="3">
        <v>204</v>
      </c>
      <c r="AL34" s="3" t="str">
        <f>IFERROR(MID(VLOOKUP($B34,Seqs!$A:$B,2,FALSE),AM34,1),"")</f>
        <v>I</v>
      </c>
      <c r="AM34" s="3">
        <v>238</v>
      </c>
      <c r="AN34" s="3" t="str">
        <f>IFERROR(MID(VLOOKUP($B34,Seqs!$A:$B,2,FALSE),AO34,1),"")</f>
        <v>R</v>
      </c>
      <c r="AO34" s="3">
        <v>275</v>
      </c>
      <c r="AP34" s="3" t="str">
        <f>IFERROR(MID(VLOOKUP($B34,Seqs!$A:$B,2,FALSE),AQ34,1),"")</f>
        <v>N</v>
      </c>
      <c r="AQ34" s="3">
        <v>316</v>
      </c>
      <c r="AR34" s="3" t="str">
        <f>IFERROR(MID(VLOOKUP($B34,Seqs!$A:$B,2,FALSE),AS34,1),"")</f>
        <v>P</v>
      </c>
      <c r="AS34" s="3">
        <v>321</v>
      </c>
      <c r="AT34" s="3" t="str">
        <f>IFERROR(MID(VLOOKUP($B34,Seqs!$A:$B,2,FALSE),AU34,1),"")</f>
        <v>R</v>
      </c>
      <c r="AU34" s="3">
        <v>345</v>
      </c>
      <c r="AV34" s="3" t="str">
        <f>IFERROR(MID(VLOOKUP($B34,Seqs!$A:$B,2,FALSE),AW34,1),"")</f>
        <v>S</v>
      </c>
      <c r="AW34" s="3">
        <v>346</v>
      </c>
      <c r="AX34" s="3" t="str">
        <f>IFERROR(MID(VLOOKUP($B34,Seqs!$A:$B,2,FALSE),AY34,1),"")</f>
        <v>C</v>
      </c>
      <c r="AY34" s="3">
        <v>358</v>
      </c>
      <c r="AZ34" s="83" t="str">
        <f>VLOOKUP(B34,Classification!A:D,2,FALSE)</f>
        <v>A</v>
      </c>
      <c r="BC34" s="57">
        <f t="shared" si="1"/>
        <v>264</v>
      </c>
      <c r="BD34" s="63" t="b">
        <f t="shared" si="2"/>
        <v>1</v>
      </c>
      <c r="BE34" s="68" t="s">
        <v>1514</v>
      </c>
      <c r="BF34" s="75" t="s">
        <v>1514</v>
      </c>
      <c r="BG34" s="75" t="s">
        <v>1514</v>
      </c>
      <c r="BH34" s="75" t="s">
        <v>1514</v>
      </c>
      <c r="BI34" s="75" t="s">
        <v>1514</v>
      </c>
      <c r="BJ34" s="75" t="s">
        <v>1514</v>
      </c>
      <c r="BK34" s="75" t="s">
        <v>1514</v>
      </c>
      <c r="BL34" s="75" t="s">
        <v>1514</v>
      </c>
      <c r="BM34" s="75" t="s">
        <v>1514</v>
      </c>
      <c r="BN34" s="75" t="s">
        <v>1514</v>
      </c>
      <c r="BO34" s="75" t="s">
        <v>1514</v>
      </c>
      <c r="BP34" s="75" t="s">
        <v>1514</v>
      </c>
      <c r="BQ34" s="68">
        <f t="shared" si="3"/>
        <v>33</v>
      </c>
      <c r="BR34" s="69">
        <f t="shared" si="4"/>
        <v>70</v>
      </c>
      <c r="BS34" s="70">
        <f t="shared" si="5"/>
        <v>74</v>
      </c>
      <c r="BT34" s="69">
        <f t="shared" si="6"/>
        <v>106</v>
      </c>
      <c r="BU34" s="70">
        <f t="shared" si="7"/>
        <v>110</v>
      </c>
      <c r="BV34" s="69">
        <f t="shared" si="8"/>
        <v>146</v>
      </c>
      <c r="BW34" s="70">
        <f t="shared" si="9"/>
        <v>155</v>
      </c>
      <c r="BX34" s="69">
        <f t="shared" si="10"/>
        <v>199</v>
      </c>
      <c r="BY34" s="70">
        <f t="shared" si="11"/>
        <v>204</v>
      </c>
      <c r="BZ34" s="69">
        <f t="shared" si="12"/>
        <v>275</v>
      </c>
      <c r="CA34" s="70">
        <f t="shared" si="13"/>
        <v>321</v>
      </c>
      <c r="CB34" s="69">
        <f t="shared" si="14"/>
        <v>346</v>
      </c>
      <c r="CC34" s="68">
        <f t="shared" si="15"/>
        <v>69</v>
      </c>
      <c r="CD34" s="69">
        <f t="shared" si="16"/>
        <v>73</v>
      </c>
      <c r="CE34" s="70">
        <f t="shared" si="17"/>
        <v>104</v>
      </c>
      <c r="CF34" s="70">
        <f t="shared" si="18"/>
        <v>109</v>
      </c>
      <c r="CG34" s="70">
        <f t="shared" si="19"/>
        <v>145</v>
      </c>
      <c r="CH34" s="70">
        <f t="shared" si="20"/>
        <v>153</v>
      </c>
      <c r="CI34" s="70">
        <f t="shared" si="21"/>
        <v>180</v>
      </c>
      <c r="CJ34" s="70">
        <f t="shared" si="22"/>
        <v>201</v>
      </c>
      <c r="CK34" s="70">
        <f t="shared" si="23"/>
        <v>238</v>
      </c>
      <c r="CL34" s="70">
        <f t="shared" si="24"/>
        <v>316</v>
      </c>
      <c r="CM34" s="70">
        <f t="shared" si="25"/>
        <v>345</v>
      </c>
      <c r="CN34" s="70">
        <f t="shared" si="26"/>
        <v>358</v>
      </c>
      <c r="CO34" s="57">
        <f t="shared" si="27"/>
        <v>1</v>
      </c>
    </row>
    <row r="35" spans="1:93" x14ac:dyDescent="0.2">
      <c r="A35" s="3" t="str">
        <f t="shared" si="0"/>
        <v>adrb1_melga_2Y03</v>
      </c>
      <c r="B35" s="3" t="s">
        <v>1108</v>
      </c>
      <c r="C35" s="3" t="s">
        <v>1231</v>
      </c>
      <c r="D35" s="3" t="str">
        <f>IFERROR(MID(VLOOKUP($B35,Seqs!$A:$B,2,FALSE),E35,1),"")</f>
        <v>A</v>
      </c>
      <c r="E35" s="3">
        <v>33</v>
      </c>
      <c r="F35" s="3" t="str">
        <f>IFERROR(MID(VLOOKUP($B35,Seqs!$A:$B,2,FALSE),G35,1),"")</f>
        <v>T</v>
      </c>
      <c r="G35" s="3">
        <v>69</v>
      </c>
      <c r="H35" s="3" t="str">
        <f>IFERROR(MID(VLOOKUP($B35,Seqs!$A:$B,2,FALSE),I35,1),"")</f>
        <v>Q</v>
      </c>
      <c r="I35" s="57">
        <v>70</v>
      </c>
      <c r="J35" s="3" t="str">
        <f>IFERROR(MID(VLOOKUP($B35,Seqs!$A:$B,2,FALSE),K35,1),"")</f>
        <v>Q</v>
      </c>
      <c r="K35" s="57">
        <v>73</v>
      </c>
      <c r="L35" s="3" t="str">
        <f>IFERROR(MID(VLOOKUP($B35,Seqs!$A:$B,2,FALSE),M35,1),"")</f>
        <v>T</v>
      </c>
      <c r="M35" s="3">
        <v>74</v>
      </c>
      <c r="N35" s="3" t="str">
        <f>IFERROR(MID(VLOOKUP($B35,Seqs!$A:$B,2,FALSE),O35,1),"")</f>
        <v>R</v>
      </c>
      <c r="O35" s="3">
        <v>104</v>
      </c>
      <c r="P35" s="3" t="str">
        <f>IFERROR(MID(VLOOKUP($B35,Seqs!$A:$B,2,FALSE),Q35,1),"")</f>
        <v>T</v>
      </c>
      <c r="Q35" s="3">
        <v>106</v>
      </c>
      <c r="R35" s="3" t="str">
        <f>IFERROR(MID(VLOOKUP($B35,Seqs!$A:$B,2,FALSE),S35,1),"")</f>
        <v>W</v>
      </c>
      <c r="S35" s="3">
        <v>109</v>
      </c>
      <c r="T35" s="3" t="str">
        <f>IFERROR(MID(VLOOKUP($B35,Seqs!$A:$B,2,FALSE),U35,1),"")</f>
        <v>G</v>
      </c>
      <c r="U35" s="3">
        <v>110</v>
      </c>
      <c r="V35" s="3" t="str">
        <f>IFERROR(MID(VLOOKUP($B35,Seqs!$A:$B,2,FALSE),W35,1),"")</f>
        <v>S</v>
      </c>
      <c r="W35" s="3">
        <v>145</v>
      </c>
      <c r="X35" s="3" t="str">
        <f>IFERROR(MID(VLOOKUP($B35,Seqs!$A:$B,2,FALSE),Y35,1),"")</f>
        <v>P</v>
      </c>
      <c r="Y35" s="3">
        <v>146</v>
      </c>
      <c r="Z35" s="3" t="str">
        <f>IFERROR(MID(VLOOKUP($B35,Seqs!$A:$B,2,FALSE),AA35,1),"")</f>
        <v>M</v>
      </c>
      <c r="AA35" s="3">
        <v>153</v>
      </c>
      <c r="AB35" s="3" t="str">
        <f>IFERROR(MID(VLOOKUP($B35,Seqs!$A:$B,2,FALSE),AC35,1),"")</f>
        <v>R</v>
      </c>
      <c r="AC35" s="3">
        <v>155</v>
      </c>
      <c r="AD35" s="3" t="str">
        <f>IFERROR(MID(VLOOKUP($B35,Seqs!$A:$B,2,FALSE),AE35,1),"")</f>
        <v>H</v>
      </c>
      <c r="AE35" s="3">
        <v>180</v>
      </c>
      <c r="AF35" s="3" t="str">
        <f>IFERROR(MID(VLOOKUP($B35,Seqs!$A:$B,2,FALSE),AG35,1),"")</f>
        <v>C</v>
      </c>
      <c r="AG35" s="3">
        <v>199</v>
      </c>
      <c r="AH35" s="3" t="str">
        <f>IFERROR(MID(VLOOKUP($B35,Seqs!$A:$B,2,FALSE),AI35,1),"")</f>
        <v>F</v>
      </c>
      <c r="AI35" s="3">
        <v>201</v>
      </c>
      <c r="AJ35" s="3" t="str">
        <f>IFERROR(MID(VLOOKUP($B35,Seqs!$A:$B,2,FALSE),AK35,1),"")</f>
        <v>N</v>
      </c>
      <c r="AK35" s="3">
        <v>204</v>
      </c>
      <c r="AL35" s="3" t="str">
        <f>IFERROR(MID(VLOOKUP($B35,Seqs!$A:$B,2,FALSE),AM35,1),"")</f>
        <v>I</v>
      </c>
      <c r="AM35" s="3">
        <v>238</v>
      </c>
      <c r="AN35" s="3" t="str">
        <f>IFERROR(MID(VLOOKUP($B35,Seqs!$A:$B,2,FALSE),AO35,1),"")</f>
        <v>R</v>
      </c>
      <c r="AO35" s="3">
        <v>275</v>
      </c>
      <c r="AP35" s="3" t="str">
        <f>IFERROR(MID(VLOOKUP($B35,Seqs!$A:$B,2,FALSE),AQ35,1),"")</f>
        <v>N</v>
      </c>
      <c r="AQ35" s="3">
        <v>316</v>
      </c>
      <c r="AR35" s="3" t="str">
        <f>IFERROR(MID(VLOOKUP($B35,Seqs!$A:$B,2,FALSE),AS35,1),"")</f>
        <v>P</v>
      </c>
      <c r="AS35" s="3">
        <v>321</v>
      </c>
      <c r="AT35" s="3" t="str">
        <f>IFERROR(MID(VLOOKUP($B35,Seqs!$A:$B,2,FALSE),AU35,1),"")</f>
        <v>R</v>
      </c>
      <c r="AU35" s="3">
        <v>345</v>
      </c>
      <c r="AV35" s="3" t="str">
        <f>IFERROR(MID(VLOOKUP($B35,Seqs!$A:$B,2,FALSE),AW35,1),"")</f>
        <v>S</v>
      </c>
      <c r="AW35" s="3">
        <v>346</v>
      </c>
      <c r="AX35" s="3" t="str">
        <f>IFERROR(MID(VLOOKUP($B35,Seqs!$A:$B,2,FALSE),AY35,1),"")</f>
        <v>C</v>
      </c>
      <c r="AY35" s="3">
        <v>358</v>
      </c>
      <c r="AZ35" s="83" t="str">
        <f>VLOOKUP(B35,Classification!A:D,2,FALSE)</f>
        <v>A</v>
      </c>
      <c r="BC35" s="57">
        <f t="shared" si="1"/>
        <v>264</v>
      </c>
      <c r="BD35" s="63" t="b">
        <f t="shared" si="2"/>
        <v>1</v>
      </c>
      <c r="BE35" s="68" t="s">
        <v>1514</v>
      </c>
      <c r="BF35" s="75" t="s">
        <v>1514</v>
      </c>
      <c r="BG35" s="75" t="s">
        <v>1514</v>
      </c>
      <c r="BH35" s="75" t="s">
        <v>1514</v>
      </c>
      <c r="BI35" s="75" t="s">
        <v>1514</v>
      </c>
      <c r="BJ35" s="75" t="s">
        <v>1514</v>
      </c>
      <c r="BK35" s="75" t="s">
        <v>1514</v>
      </c>
      <c r="BL35" s="75" t="s">
        <v>1514</v>
      </c>
      <c r="BM35" s="75" t="s">
        <v>1514</v>
      </c>
      <c r="BN35" s="75" t="s">
        <v>1514</v>
      </c>
      <c r="BO35" s="75" t="s">
        <v>1514</v>
      </c>
      <c r="BP35" s="75" t="s">
        <v>1514</v>
      </c>
      <c r="BQ35" s="68">
        <f t="shared" ref="BQ35:BQ66" si="62">E35</f>
        <v>33</v>
      </c>
      <c r="BR35" s="69">
        <f t="shared" ref="BR35:BR66" si="63">I35</f>
        <v>70</v>
      </c>
      <c r="BS35" s="70">
        <f t="shared" ref="BS35:BS66" si="64">M35</f>
        <v>74</v>
      </c>
      <c r="BT35" s="69">
        <f t="shared" ref="BT35:BT66" si="65">Q35</f>
        <v>106</v>
      </c>
      <c r="BU35" s="70">
        <f t="shared" ref="BU35:BU66" si="66">U35</f>
        <v>110</v>
      </c>
      <c r="BV35" s="69">
        <f t="shared" ref="BV35:BV66" si="67">Y35</f>
        <v>146</v>
      </c>
      <c r="BW35" s="70">
        <f t="shared" ref="BW35:BW66" si="68">AC35</f>
        <v>155</v>
      </c>
      <c r="BX35" s="69">
        <f t="shared" ref="BX35:BX66" si="69">AG35</f>
        <v>199</v>
      </c>
      <c r="BY35" s="70">
        <f t="shared" ref="BY35:BY66" si="70">AK35</f>
        <v>204</v>
      </c>
      <c r="BZ35" s="69">
        <f t="shared" ref="BZ35:BZ66" si="71">AO35</f>
        <v>275</v>
      </c>
      <c r="CA35" s="70">
        <f t="shared" ref="CA35:CA66" si="72">AS35</f>
        <v>321</v>
      </c>
      <c r="CB35" s="69">
        <f t="shared" ref="CB35:CB66" si="73">AW35</f>
        <v>346</v>
      </c>
      <c r="CC35" s="68">
        <f t="shared" ref="CC35:CC66" si="74">G35</f>
        <v>69</v>
      </c>
      <c r="CD35" s="69">
        <f t="shared" ref="CD35:CD66" si="75">K35</f>
        <v>73</v>
      </c>
      <c r="CE35" s="70">
        <f t="shared" ref="CE35:CE66" si="76">O35</f>
        <v>104</v>
      </c>
      <c r="CF35" s="70">
        <f t="shared" ref="CF35:CF66" si="77">S35</f>
        <v>109</v>
      </c>
      <c r="CG35" s="70">
        <f t="shared" ref="CG35:CG66" si="78">W35</f>
        <v>145</v>
      </c>
      <c r="CH35" s="70">
        <f t="shared" ref="CH35:CH66" si="79">AA35</f>
        <v>153</v>
      </c>
      <c r="CI35" s="70">
        <f t="shared" ref="CI35:CI66" si="80">AE35</f>
        <v>180</v>
      </c>
      <c r="CJ35" s="70">
        <f t="shared" ref="CJ35:CJ66" si="81">AI35</f>
        <v>201</v>
      </c>
      <c r="CK35" s="70">
        <f t="shared" ref="CK35:CK66" si="82">AM35</f>
        <v>238</v>
      </c>
      <c r="CL35" s="70">
        <f t="shared" ref="CL35:CL66" si="83">AQ35</f>
        <v>316</v>
      </c>
      <c r="CM35" s="70">
        <f t="shared" ref="CM35:CM66" si="84">AU35</f>
        <v>345</v>
      </c>
      <c r="CN35" s="70">
        <f t="shared" ref="CN35:CN66" si="85">AY35</f>
        <v>358</v>
      </c>
      <c r="CO35" s="57">
        <f t="shared" ref="CO35:CO66" si="86">M35-K35</f>
        <v>1</v>
      </c>
    </row>
    <row r="36" spans="1:93" x14ac:dyDescent="0.2">
      <c r="A36" s="3" t="str">
        <f t="shared" si="0"/>
        <v>adrb1_melga_2Y04</v>
      </c>
      <c r="B36" s="3" t="s">
        <v>1108</v>
      </c>
      <c r="C36" s="3" t="s">
        <v>1232</v>
      </c>
      <c r="D36" s="3" t="str">
        <f>IFERROR(MID(VLOOKUP($B36,Seqs!$A:$B,2,FALSE),E36,1),"")</f>
        <v>A</v>
      </c>
      <c r="E36" s="3">
        <v>33</v>
      </c>
      <c r="F36" s="3" t="str">
        <f>IFERROR(MID(VLOOKUP($B36,Seqs!$A:$B,2,FALSE),G36,1),"")</f>
        <v>T</v>
      </c>
      <c r="G36" s="3">
        <v>69</v>
      </c>
      <c r="H36" s="3" t="str">
        <f>IFERROR(MID(VLOOKUP($B36,Seqs!$A:$B,2,FALSE),I36,1),"")</f>
        <v>Q</v>
      </c>
      <c r="I36" s="57">
        <v>70</v>
      </c>
      <c r="J36" s="3" t="str">
        <f>IFERROR(MID(VLOOKUP($B36,Seqs!$A:$B,2,FALSE),K36,1),"")</f>
        <v>Q</v>
      </c>
      <c r="K36" s="57">
        <v>73</v>
      </c>
      <c r="L36" s="3" t="str">
        <f>IFERROR(MID(VLOOKUP($B36,Seqs!$A:$B,2,FALSE),M36,1),"")</f>
        <v>T</v>
      </c>
      <c r="M36" s="3">
        <v>74</v>
      </c>
      <c r="N36" s="3" t="str">
        <f>IFERROR(MID(VLOOKUP($B36,Seqs!$A:$B,2,FALSE),O36,1),"")</f>
        <v>R</v>
      </c>
      <c r="O36" s="3">
        <v>104</v>
      </c>
      <c r="P36" s="3" t="str">
        <f>IFERROR(MID(VLOOKUP($B36,Seqs!$A:$B,2,FALSE),Q36,1),"")</f>
        <v>T</v>
      </c>
      <c r="Q36" s="3">
        <v>106</v>
      </c>
      <c r="R36" s="3" t="str">
        <f>IFERROR(MID(VLOOKUP($B36,Seqs!$A:$B,2,FALSE),S36,1),"")</f>
        <v>W</v>
      </c>
      <c r="S36" s="3">
        <v>109</v>
      </c>
      <c r="T36" s="3" t="str">
        <f>IFERROR(MID(VLOOKUP($B36,Seqs!$A:$B,2,FALSE),U36,1),"")</f>
        <v>G</v>
      </c>
      <c r="U36" s="3">
        <v>110</v>
      </c>
      <c r="V36" s="3" t="str">
        <f>IFERROR(MID(VLOOKUP($B36,Seqs!$A:$B,2,FALSE),W36,1),"")</f>
        <v>S</v>
      </c>
      <c r="W36" s="3">
        <v>145</v>
      </c>
      <c r="X36" s="3" t="str">
        <f>IFERROR(MID(VLOOKUP($B36,Seqs!$A:$B,2,FALSE),Y36,1),"")</f>
        <v>P</v>
      </c>
      <c r="Y36" s="3">
        <v>146</v>
      </c>
      <c r="Z36" s="3" t="str">
        <f>IFERROR(MID(VLOOKUP($B36,Seqs!$A:$B,2,FALSE),AA36,1),"")</f>
        <v>M</v>
      </c>
      <c r="AA36" s="3">
        <v>153</v>
      </c>
      <c r="AB36" s="3" t="str">
        <f>IFERROR(MID(VLOOKUP($B36,Seqs!$A:$B,2,FALSE),AC36,1),"")</f>
        <v>R</v>
      </c>
      <c r="AC36" s="3">
        <v>155</v>
      </c>
      <c r="AD36" s="3" t="str">
        <f>IFERROR(MID(VLOOKUP($B36,Seqs!$A:$B,2,FALSE),AE36,1),"")</f>
        <v>H</v>
      </c>
      <c r="AE36" s="3">
        <v>180</v>
      </c>
      <c r="AF36" s="3" t="str">
        <f>IFERROR(MID(VLOOKUP($B36,Seqs!$A:$B,2,FALSE),AG36,1),"")</f>
        <v>C</v>
      </c>
      <c r="AG36" s="3">
        <v>199</v>
      </c>
      <c r="AH36" s="3" t="str">
        <f>IFERROR(MID(VLOOKUP($B36,Seqs!$A:$B,2,FALSE),AI36,1),"")</f>
        <v>F</v>
      </c>
      <c r="AI36" s="3">
        <v>201</v>
      </c>
      <c r="AJ36" s="3" t="str">
        <f>IFERROR(MID(VLOOKUP($B36,Seqs!$A:$B,2,FALSE),AK36,1),"")</f>
        <v>N</v>
      </c>
      <c r="AK36" s="3">
        <v>204</v>
      </c>
      <c r="AL36" s="3" t="str">
        <f>IFERROR(MID(VLOOKUP($B36,Seqs!$A:$B,2,FALSE),AM36,1),"")</f>
        <v>I</v>
      </c>
      <c r="AM36" s="3">
        <v>238</v>
      </c>
      <c r="AN36" s="3" t="str">
        <f>IFERROR(MID(VLOOKUP($B36,Seqs!$A:$B,2,FALSE),AO36,1),"")</f>
        <v>R</v>
      </c>
      <c r="AO36" s="3">
        <v>275</v>
      </c>
      <c r="AP36" s="3" t="str">
        <f>IFERROR(MID(VLOOKUP($B36,Seqs!$A:$B,2,FALSE),AQ36,1),"")</f>
        <v>N</v>
      </c>
      <c r="AQ36" s="3">
        <v>316</v>
      </c>
      <c r="AR36" s="3" t="str">
        <f>IFERROR(MID(VLOOKUP($B36,Seqs!$A:$B,2,FALSE),AS36,1),"")</f>
        <v>P</v>
      </c>
      <c r="AS36" s="3">
        <v>321</v>
      </c>
      <c r="AT36" s="3" t="str">
        <f>IFERROR(MID(VLOOKUP($B36,Seqs!$A:$B,2,FALSE),AU36,1),"")</f>
        <v>R</v>
      </c>
      <c r="AU36" s="3">
        <v>345</v>
      </c>
      <c r="AV36" s="3" t="str">
        <f>IFERROR(MID(VLOOKUP($B36,Seqs!$A:$B,2,FALSE),AW36,1),"")</f>
        <v>S</v>
      </c>
      <c r="AW36" s="3">
        <v>346</v>
      </c>
      <c r="AX36" s="3" t="str">
        <f>IFERROR(MID(VLOOKUP($B36,Seqs!$A:$B,2,FALSE),AY36,1),"")</f>
        <v>C</v>
      </c>
      <c r="AY36" s="3">
        <v>358</v>
      </c>
      <c r="AZ36" s="83" t="str">
        <f>VLOOKUP(B36,Classification!A:D,2,FALSE)</f>
        <v>A</v>
      </c>
      <c r="BC36" s="57">
        <f t="shared" si="1"/>
        <v>264</v>
      </c>
      <c r="BD36" s="63" t="b">
        <f t="shared" si="2"/>
        <v>1</v>
      </c>
      <c r="BE36" s="68" t="s">
        <v>1514</v>
      </c>
      <c r="BF36" s="75" t="s">
        <v>1514</v>
      </c>
      <c r="BG36" s="75" t="s">
        <v>1514</v>
      </c>
      <c r="BH36" s="75" t="s">
        <v>1514</v>
      </c>
      <c r="BI36" s="75" t="s">
        <v>1514</v>
      </c>
      <c r="BJ36" s="75" t="s">
        <v>1514</v>
      </c>
      <c r="BK36" s="75" t="s">
        <v>1514</v>
      </c>
      <c r="BL36" s="75" t="s">
        <v>1514</v>
      </c>
      <c r="BM36" s="75" t="s">
        <v>1514</v>
      </c>
      <c r="BN36" s="75" t="s">
        <v>1514</v>
      </c>
      <c r="BO36" s="75" t="s">
        <v>1514</v>
      </c>
      <c r="BP36" s="75" t="s">
        <v>1514</v>
      </c>
      <c r="BQ36" s="68">
        <f t="shared" si="62"/>
        <v>33</v>
      </c>
      <c r="BR36" s="69">
        <f t="shared" si="63"/>
        <v>70</v>
      </c>
      <c r="BS36" s="70">
        <f t="shared" si="64"/>
        <v>74</v>
      </c>
      <c r="BT36" s="69">
        <f t="shared" si="65"/>
        <v>106</v>
      </c>
      <c r="BU36" s="70">
        <f t="shared" si="66"/>
        <v>110</v>
      </c>
      <c r="BV36" s="69">
        <f t="shared" si="67"/>
        <v>146</v>
      </c>
      <c r="BW36" s="70">
        <f t="shared" si="68"/>
        <v>155</v>
      </c>
      <c r="BX36" s="69">
        <f t="shared" si="69"/>
        <v>199</v>
      </c>
      <c r="BY36" s="70">
        <f t="shared" si="70"/>
        <v>204</v>
      </c>
      <c r="BZ36" s="69">
        <f t="shared" si="71"/>
        <v>275</v>
      </c>
      <c r="CA36" s="70">
        <f t="shared" si="72"/>
        <v>321</v>
      </c>
      <c r="CB36" s="69">
        <f t="shared" si="73"/>
        <v>346</v>
      </c>
      <c r="CC36" s="68">
        <f t="shared" si="74"/>
        <v>69</v>
      </c>
      <c r="CD36" s="69">
        <f t="shared" si="75"/>
        <v>73</v>
      </c>
      <c r="CE36" s="70">
        <f t="shared" si="76"/>
        <v>104</v>
      </c>
      <c r="CF36" s="70">
        <f t="shared" si="77"/>
        <v>109</v>
      </c>
      <c r="CG36" s="70">
        <f t="shared" si="78"/>
        <v>145</v>
      </c>
      <c r="CH36" s="70">
        <f t="shared" si="79"/>
        <v>153</v>
      </c>
      <c r="CI36" s="70">
        <f t="shared" si="80"/>
        <v>180</v>
      </c>
      <c r="CJ36" s="70">
        <f t="shared" si="81"/>
        <v>201</v>
      </c>
      <c r="CK36" s="70">
        <f t="shared" si="82"/>
        <v>238</v>
      </c>
      <c r="CL36" s="70">
        <f t="shared" si="83"/>
        <v>316</v>
      </c>
      <c r="CM36" s="70">
        <f t="shared" si="84"/>
        <v>345</v>
      </c>
      <c r="CN36" s="70">
        <f t="shared" si="85"/>
        <v>358</v>
      </c>
      <c r="CO36" s="57">
        <f t="shared" si="86"/>
        <v>1</v>
      </c>
    </row>
    <row r="37" spans="1:93" x14ac:dyDescent="0.2">
      <c r="A37" s="3" t="str">
        <f t="shared" ref="A37:A68" si="87">CONCATENATE(B37,"_",C37)</f>
        <v>adrb1_melga_2YCW</v>
      </c>
      <c r="B37" s="3" t="s">
        <v>1108</v>
      </c>
      <c r="C37" s="3" t="s">
        <v>1233</v>
      </c>
      <c r="D37" s="3" t="str">
        <f>IFERROR(MID(VLOOKUP($B37,Seqs!$A:$B,2,FALSE),E37,1),"")</f>
        <v>S</v>
      </c>
      <c r="E37" s="3">
        <v>37</v>
      </c>
      <c r="F37" s="3" t="str">
        <f>IFERROR(MID(VLOOKUP($B37,Seqs!$A:$B,2,FALSE),G37,1),"")</f>
        <v>T</v>
      </c>
      <c r="G37" s="3">
        <v>69</v>
      </c>
      <c r="H37" s="3" t="str">
        <f>IFERROR(MID(VLOOKUP($B37,Seqs!$A:$B,2,FALSE),I37,1),"")</f>
        <v>Q</v>
      </c>
      <c r="I37" s="57">
        <v>70</v>
      </c>
      <c r="J37" s="3" t="str">
        <f>IFERROR(MID(VLOOKUP($B37,Seqs!$A:$B,2,FALSE),K37,1),"")</f>
        <v>Q</v>
      </c>
      <c r="K37" s="57">
        <v>73</v>
      </c>
      <c r="L37" s="3" t="str">
        <f>IFERROR(MID(VLOOKUP($B37,Seqs!$A:$B,2,FALSE),M37,1),"")</f>
        <v>T</v>
      </c>
      <c r="M37" s="3">
        <v>74</v>
      </c>
      <c r="N37" s="3" t="str">
        <f>IFERROR(MID(VLOOKUP($B37,Seqs!$A:$B,2,FALSE),O37,1),"")</f>
        <v>R</v>
      </c>
      <c r="O37" s="3">
        <v>104</v>
      </c>
      <c r="P37" s="3" t="str">
        <f>IFERROR(MID(VLOOKUP($B37,Seqs!$A:$B,2,FALSE),Q37,1),"")</f>
        <v>T</v>
      </c>
      <c r="Q37" s="3">
        <v>106</v>
      </c>
      <c r="R37" s="3" t="str">
        <f>IFERROR(MID(VLOOKUP($B37,Seqs!$A:$B,2,FALSE),S37,1),"")</f>
        <v>W</v>
      </c>
      <c r="S37" s="3">
        <v>109</v>
      </c>
      <c r="T37" s="3" t="str">
        <f>IFERROR(MID(VLOOKUP($B37,Seqs!$A:$B,2,FALSE),U37,1),"")</f>
        <v>G</v>
      </c>
      <c r="U37" s="3">
        <v>110</v>
      </c>
      <c r="V37" s="3" t="str">
        <f>IFERROR(MID(VLOOKUP($B37,Seqs!$A:$B,2,FALSE),W37,1),"")</f>
        <v>S</v>
      </c>
      <c r="W37" s="3">
        <v>145</v>
      </c>
      <c r="X37" s="3" t="str">
        <f>IFERROR(MID(VLOOKUP($B37,Seqs!$A:$B,2,FALSE),Y37,1),"")</f>
        <v>P</v>
      </c>
      <c r="Y37" s="3">
        <v>146</v>
      </c>
      <c r="Z37" s="3" t="str">
        <f>IFERROR(MID(VLOOKUP($B37,Seqs!$A:$B,2,FALSE),AA37,1),"")</f>
        <v>M</v>
      </c>
      <c r="AA37" s="3">
        <v>153</v>
      </c>
      <c r="AB37" s="3" t="str">
        <f>IFERROR(MID(VLOOKUP($B37,Seqs!$A:$B,2,FALSE),AC37,1),"")</f>
        <v>R</v>
      </c>
      <c r="AC37" s="3">
        <v>155</v>
      </c>
      <c r="AD37" s="3" t="str">
        <f>IFERROR(MID(VLOOKUP($B37,Seqs!$A:$B,2,FALSE),AE37,1),"")</f>
        <v>H</v>
      </c>
      <c r="AE37" s="3">
        <v>180</v>
      </c>
      <c r="AF37" s="3" t="str">
        <f>IFERROR(MID(VLOOKUP($B37,Seqs!$A:$B,2,FALSE),AG37,1),"")</f>
        <v>C</v>
      </c>
      <c r="AG37" s="3">
        <v>199</v>
      </c>
      <c r="AH37" s="3" t="str">
        <f>IFERROR(MID(VLOOKUP($B37,Seqs!$A:$B,2,FALSE),AI37,1),"")</f>
        <v>F</v>
      </c>
      <c r="AI37" s="3">
        <v>201</v>
      </c>
      <c r="AJ37" s="3" t="str">
        <f>IFERROR(MID(VLOOKUP($B37,Seqs!$A:$B,2,FALSE),AK37,1),"")</f>
        <v>N</v>
      </c>
      <c r="AK37" s="3">
        <v>204</v>
      </c>
      <c r="AL37" s="3" t="str">
        <f>IFERROR(MID(VLOOKUP($B37,Seqs!$A:$B,2,FALSE),AM37,1),"")</f>
        <v>K</v>
      </c>
      <c r="AM37" s="3">
        <v>240</v>
      </c>
      <c r="AN37" s="3" t="str">
        <f>IFERROR(MID(VLOOKUP($B37,Seqs!$A:$B,2,FALSE),AO37,1),"")</f>
        <v>L</v>
      </c>
      <c r="AO37" s="3">
        <v>289</v>
      </c>
      <c r="AP37" s="3" t="str">
        <f>IFERROR(MID(VLOOKUP($B37,Seqs!$A:$B,2,FALSE),AQ37,1),"")</f>
        <v>N</v>
      </c>
      <c r="AQ37" s="3">
        <v>316</v>
      </c>
      <c r="AR37" s="3" t="str">
        <f>IFERROR(MID(VLOOKUP($B37,Seqs!$A:$B,2,FALSE),AS37,1),"")</f>
        <v>P</v>
      </c>
      <c r="AS37" s="3">
        <v>321</v>
      </c>
      <c r="AT37" s="3" t="str">
        <f>IFERROR(MID(VLOOKUP($B37,Seqs!$A:$B,2,FALSE),AU37,1),"")</f>
        <v>R</v>
      </c>
      <c r="AU37" s="3">
        <v>345</v>
      </c>
      <c r="AV37" s="3" t="str">
        <f>IFERROR(MID(VLOOKUP($B37,Seqs!$A:$B,2,FALSE),AW37,1),"")</f>
        <v>S</v>
      </c>
      <c r="AW37" s="3">
        <v>346</v>
      </c>
      <c r="AX37" s="3" t="str">
        <f>IFERROR(MID(VLOOKUP($B37,Seqs!$A:$B,2,FALSE),AY37,1),"")</f>
        <v>C</v>
      </c>
      <c r="AY37" s="3">
        <v>358</v>
      </c>
      <c r="AZ37" s="83" t="str">
        <f>VLOOKUP(B37,Classification!A:D,2,FALSE)</f>
        <v>A</v>
      </c>
      <c r="BC37" s="57">
        <f t="shared" ref="BC37:BC68" si="88">_xlfn.AGGREGATE(9,6,CC37:CN37)-_xlfn.AGGREGATE(9,6,BQ37:CB37)+12</f>
        <v>248</v>
      </c>
      <c r="BD37" s="63" t="b">
        <f t="shared" ref="BD37:BD68" si="8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E37" s="68" t="s">
        <v>1514</v>
      </c>
      <c r="BF37" s="75" t="s">
        <v>1514</v>
      </c>
      <c r="BG37" s="75" t="s">
        <v>1514</v>
      </c>
      <c r="BH37" s="75" t="s">
        <v>1514</v>
      </c>
      <c r="BI37" s="75" t="s">
        <v>1514</v>
      </c>
      <c r="BJ37" s="75" t="s">
        <v>1514</v>
      </c>
      <c r="BK37" s="75" t="s">
        <v>1514</v>
      </c>
      <c r="BL37" s="75" t="s">
        <v>1514</v>
      </c>
      <c r="BM37" s="75" t="s">
        <v>1514</v>
      </c>
      <c r="BN37" s="75" t="s">
        <v>1514</v>
      </c>
      <c r="BO37" s="75" t="s">
        <v>1514</v>
      </c>
      <c r="BP37" s="75" t="s">
        <v>1514</v>
      </c>
      <c r="BQ37" s="68">
        <f t="shared" si="62"/>
        <v>37</v>
      </c>
      <c r="BR37" s="69">
        <f t="shared" si="63"/>
        <v>70</v>
      </c>
      <c r="BS37" s="70">
        <f t="shared" si="64"/>
        <v>74</v>
      </c>
      <c r="BT37" s="69">
        <f t="shared" si="65"/>
        <v>106</v>
      </c>
      <c r="BU37" s="70">
        <f t="shared" si="66"/>
        <v>110</v>
      </c>
      <c r="BV37" s="69">
        <f t="shared" si="67"/>
        <v>146</v>
      </c>
      <c r="BW37" s="70">
        <f t="shared" si="68"/>
        <v>155</v>
      </c>
      <c r="BX37" s="69">
        <f t="shared" si="69"/>
        <v>199</v>
      </c>
      <c r="BY37" s="70">
        <f t="shared" si="70"/>
        <v>204</v>
      </c>
      <c r="BZ37" s="69">
        <f t="shared" si="71"/>
        <v>289</v>
      </c>
      <c r="CA37" s="70">
        <f t="shared" si="72"/>
        <v>321</v>
      </c>
      <c r="CB37" s="69">
        <f t="shared" si="73"/>
        <v>346</v>
      </c>
      <c r="CC37" s="68">
        <f t="shared" si="74"/>
        <v>69</v>
      </c>
      <c r="CD37" s="69">
        <f t="shared" si="75"/>
        <v>73</v>
      </c>
      <c r="CE37" s="70">
        <f t="shared" si="76"/>
        <v>104</v>
      </c>
      <c r="CF37" s="70">
        <f t="shared" si="77"/>
        <v>109</v>
      </c>
      <c r="CG37" s="70">
        <f t="shared" si="78"/>
        <v>145</v>
      </c>
      <c r="CH37" s="70">
        <f t="shared" si="79"/>
        <v>153</v>
      </c>
      <c r="CI37" s="70">
        <f t="shared" si="80"/>
        <v>180</v>
      </c>
      <c r="CJ37" s="70">
        <f t="shared" si="81"/>
        <v>201</v>
      </c>
      <c r="CK37" s="70">
        <f t="shared" si="82"/>
        <v>240</v>
      </c>
      <c r="CL37" s="70">
        <f t="shared" si="83"/>
        <v>316</v>
      </c>
      <c r="CM37" s="70">
        <f t="shared" si="84"/>
        <v>345</v>
      </c>
      <c r="CN37" s="70">
        <f t="shared" si="85"/>
        <v>358</v>
      </c>
      <c r="CO37" s="57">
        <f t="shared" si="86"/>
        <v>1</v>
      </c>
    </row>
    <row r="38" spans="1:93" x14ac:dyDescent="0.2">
      <c r="A38" s="3" t="str">
        <f t="shared" si="87"/>
        <v>adrb1_melga_2YCZ</v>
      </c>
      <c r="B38" s="3" t="s">
        <v>1108</v>
      </c>
      <c r="C38" s="3" t="s">
        <v>1234</v>
      </c>
      <c r="D38" s="3" t="str">
        <f>IFERROR(MID(VLOOKUP($B38,Seqs!$A:$B,2,FALSE),E38,1),"")</f>
        <v>A</v>
      </c>
      <c r="E38" s="3">
        <v>33</v>
      </c>
      <c r="F38" s="3" t="str">
        <f>IFERROR(MID(VLOOKUP($B38,Seqs!$A:$B,2,FALSE),G38,1),"")</f>
        <v>T</v>
      </c>
      <c r="G38" s="3">
        <v>69</v>
      </c>
      <c r="H38" s="3" t="str">
        <f>IFERROR(MID(VLOOKUP($B38,Seqs!$A:$B,2,FALSE),I38,1),"")</f>
        <v>Q</v>
      </c>
      <c r="I38" s="57">
        <v>70</v>
      </c>
      <c r="J38" s="3" t="str">
        <f>IFERROR(MID(VLOOKUP($B38,Seqs!$A:$B,2,FALSE),K38,1),"")</f>
        <v>Q</v>
      </c>
      <c r="K38" s="57">
        <v>73</v>
      </c>
      <c r="L38" s="3" t="str">
        <f>IFERROR(MID(VLOOKUP($B38,Seqs!$A:$B,2,FALSE),M38,1),"")</f>
        <v>T</v>
      </c>
      <c r="M38" s="3">
        <v>74</v>
      </c>
      <c r="N38" s="3" t="str">
        <f>IFERROR(MID(VLOOKUP($B38,Seqs!$A:$B,2,FALSE),O38,1),"")</f>
        <v>R</v>
      </c>
      <c r="O38" s="3">
        <v>104</v>
      </c>
      <c r="P38" s="3" t="str">
        <f>IFERROR(MID(VLOOKUP($B38,Seqs!$A:$B,2,FALSE),Q38,1),"")</f>
        <v>T</v>
      </c>
      <c r="Q38" s="3">
        <v>106</v>
      </c>
      <c r="R38" s="3" t="str">
        <f>IFERROR(MID(VLOOKUP($B38,Seqs!$A:$B,2,FALSE),S38,1),"")</f>
        <v>W</v>
      </c>
      <c r="S38" s="3">
        <v>109</v>
      </c>
      <c r="T38" s="3" t="str">
        <f>IFERROR(MID(VLOOKUP($B38,Seqs!$A:$B,2,FALSE),U38,1),"")</f>
        <v>G</v>
      </c>
      <c r="U38" s="3">
        <v>110</v>
      </c>
      <c r="V38" s="3" t="str">
        <f>IFERROR(MID(VLOOKUP($B38,Seqs!$A:$B,2,FALSE),W38,1),"")</f>
        <v>S</v>
      </c>
      <c r="W38" s="3">
        <v>145</v>
      </c>
      <c r="X38" s="3" t="str">
        <f>IFERROR(MID(VLOOKUP($B38,Seqs!$A:$B,2,FALSE),Y38,1),"")</f>
        <v>P</v>
      </c>
      <c r="Y38" s="3">
        <v>146</v>
      </c>
      <c r="Z38" s="3" t="str">
        <f>IFERROR(MID(VLOOKUP($B38,Seqs!$A:$B,2,FALSE),AA38,1),"")</f>
        <v>M</v>
      </c>
      <c r="AA38" s="3">
        <v>153</v>
      </c>
      <c r="AB38" s="3" t="str">
        <f>IFERROR(MID(VLOOKUP($B38,Seqs!$A:$B,2,FALSE),AC38,1),"")</f>
        <v>R</v>
      </c>
      <c r="AC38" s="3">
        <v>155</v>
      </c>
      <c r="AD38" s="3" t="str">
        <f>IFERROR(MID(VLOOKUP($B38,Seqs!$A:$B,2,FALSE),AE38,1),"")</f>
        <v>H</v>
      </c>
      <c r="AE38" s="3">
        <v>180</v>
      </c>
      <c r="AF38" s="3" t="str">
        <f>IFERROR(MID(VLOOKUP($B38,Seqs!$A:$B,2,FALSE),AG38,1),"")</f>
        <v>C</v>
      </c>
      <c r="AG38" s="3">
        <v>199</v>
      </c>
      <c r="AH38" s="3" t="str">
        <f>IFERROR(MID(VLOOKUP($B38,Seqs!$A:$B,2,FALSE),AI38,1),"")</f>
        <v>F</v>
      </c>
      <c r="AI38" s="3">
        <v>201</v>
      </c>
      <c r="AJ38" s="3" t="str">
        <f>IFERROR(MID(VLOOKUP($B38,Seqs!$A:$B,2,FALSE),AK38,1),"")</f>
        <v>N</v>
      </c>
      <c r="AK38" s="3">
        <v>204</v>
      </c>
      <c r="AL38" s="3" t="str">
        <f>IFERROR(MID(VLOOKUP($B38,Seqs!$A:$B,2,FALSE),AM38,1),"")</f>
        <v>K</v>
      </c>
      <c r="AM38" s="3">
        <v>240</v>
      </c>
      <c r="AN38" s="3" t="str">
        <f>IFERROR(MID(VLOOKUP($B38,Seqs!$A:$B,2,FALSE),AO38,1),"")</f>
        <v>A</v>
      </c>
      <c r="AO38" s="3">
        <v>288</v>
      </c>
      <c r="AP38" s="3" t="str">
        <f>IFERROR(MID(VLOOKUP($B38,Seqs!$A:$B,2,FALSE),AQ38,1),"")</f>
        <v>N</v>
      </c>
      <c r="AQ38" s="3">
        <v>316</v>
      </c>
      <c r="AR38" s="3" t="str">
        <f>IFERROR(MID(VLOOKUP($B38,Seqs!$A:$B,2,FALSE),AS38,1),"")</f>
        <v>P</v>
      </c>
      <c r="AS38" s="3">
        <v>321</v>
      </c>
      <c r="AT38" s="3" t="str">
        <f>IFERROR(MID(VLOOKUP($B38,Seqs!$A:$B,2,FALSE),AU38,1),"")</f>
        <v>R</v>
      </c>
      <c r="AU38" s="3">
        <v>345</v>
      </c>
      <c r="AV38" s="3" t="str">
        <f>IFERROR(MID(VLOOKUP($B38,Seqs!$A:$B,2,FALSE),AW38,1),"")</f>
        <v>S</v>
      </c>
      <c r="AW38" s="3">
        <v>346</v>
      </c>
      <c r="AX38" s="3" t="str">
        <f>IFERROR(MID(VLOOKUP($B38,Seqs!$A:$B,2,FALSE),AY38,1),"")</f>
        <v>C</v>
      </c>
      <c r="AY38" s="3">
        <v>358</v>
      </c>
      <c r="AZ38" s="83" t="str">
        <f>VLOOKUP(B38,Classification!A:D,2,FALSE)</f>
        <v>A</v>
      </c>
      <c r="BB38" s="35" t="s">
        <v>1315</v>
      </c>
      <c r="BC38" s="57">
        <f t="shared" si="88"/>
        <v>253</v>
      </c>
      <c r="BD38" s="63" t="b">
        <f t="shared" si="89"/>
        <v>1</v>
      </c>
      <c r="BE38" s="68" t="s">
        <v>1514</v>
      </c>
      <c r="BF38" s="75" t="s">
        <v>1514</v>
      </c>
      <c r="BG38" s="75" t="s">
        <v>1514</v>
      </c>
      <c r="BH38" s="75" t="s">
        <v>1514</v>
      </c>
      <c r="BI38" s="75" t="s">
        <v>1514</v>
      </c>
      <c r="BJ38" s="75" t="s">
        <v>1514</v>
      </c>
      <c r="BK38" s="75" t="s">
        <v>1514</v>
      </c>
      <c r="BL38" s="75" t="s">
        <v>1514</v>
      </c>
      <c r="BM38" s="75" t="s">
        <v>1514</v>
      </c>
      <c r="BN38" s="75" t="s">
        <v>1514</v>
      </c>
      <c r="BO38" s="75" t="s">
        <v>1514</v>
      </c>
      <c r="BP38" s="75" t="s">
        <v>1514</v>
      </c>
      <c r="BQ38" s="68">
        <f t="shared" si="62"/>
        <v>33</v>
      </c>
      <c r="BR38" s="69">
        <f t="shared" si="63"/>
        <v>70</v>
      </c>
      <c r="BS38" s="70">
        <f t="shared" si="64"/>
        <v>74</v>
      </c>
      <c r="BT38" s="69">
        <f t="shared" si="65"/>
        <v>106</v>
      </c>
      <c r="BU38" s="70">
        <f t="shared" si="66"/>
        <v>110</v>
      </c>
      <c r="BV38" s="69">
        <f t="shared" si="67"/>
        <v>146</v>
      </c>
      <c r="BW38" s="70">
        <f t="shared" si="68"/>
        <v>155</v>
      </c>
      <c r="BX38" s="69">
        <f t="shared" si="69"/>
        <v>199</v>
      </c>
      <c r="BY38" s="70">
        <f t="shared" si="70"/>
        <v>204</v>
      </c>
      <c r="BZ38" s="69">
        <f t="shared" si="71"/>
        <v>288</v>
      </c>
      <c r="CA38" s="70">
        <f t="shared" si="72"/>
        <v>321</v>
      </c>
      <c r="CB38" s="69">
        <f t="shared" si="73"/>
        <v>346</v>
      </c>
      <c r="CC38" s="68">
        <f t="shared" si="74"/>
        <v>69</v>
      </c>
      <c r="CD38" s="69">
        <f t="shared" si="75"/>
        <v>73</v>
      </c>
      <c r="CE38" s="70">
        <f t="shared" si="76"/>
        <v>104</v>
      </c>
      <c r="CF38" s="70">
        <f t="shared" si="77"/>
        <v>109</v>
      </c>
      <c r="CG38" s="70">
        <f t="shared" si="78"/>
        <v>145</v>
      </c>
      <c r="CH38" s="70">
        <f t="shared" si="79"/>
        <v>153</v>
      </c>
      <c r="CI38" s="70">
        <f t="shared" si="80"/>
        <v>180</v>
      </c>
      <c r="CJ38" s="70">
        <f t="shared" si="81"/>
        <v>201</v>
      </c>
      <c r="CK38" s="70">
        <f t="shared" si="82"/>
        <v>240</v>
      </c>
      <c r="CL38" s="70">
        <f t="shared" si="83"/>
        <v>316</v>
      </c>
      <c r="CM38" s="70">
        <f t="shared" si="84"/>
        <v>345</v>
      </c>
      <c r="CN38" s="70">
        <f t="shared" si="85"/>
        <v>358</v>
      </c>
      <c r="CO38" s="57">
        <f t="shared" si="86"/>
        <v>1</v>
      </c>
    </row>
    <row r="39" spans="1:93" x14ac:dyDescent="0.2">
      <c r="A39" s="3" t="str">
        <f t="shared" si="87"/>
        <v>adrb1_melga_3ZPQ</v>
      </c>
      <c r="B39" s="3" t="s">
        <v>1108</v>
      </c>
      <c r="C39" s="3" t="s">
        <v>1244</v>
      </c>
      <c r="D39" s="3" t="str">
        <f>IFERROR(MID(VLOOKUP($B39,Seqs!$A:$B,2,FALSE),E39,1),"")</f>
        <v>S</v>
      </c>
      <c r="E39" s="3">
        <v>32</v>
      </c>
      <c r="F39" s="3" t="str">
        <f>IFERROR(MID(VLOOKUP($B39,Seqs!$A:$B,2,FALSE),G39,1),"")</f>
        <v>T</v>
      </c>
      <c r="G39" s="3">
        <v>69</v>
      </c>
      <c r="H39" s="3" t="str">
        <f>IFERROR(MID(VLOOKUP($B39,Seqs!$A:$B,2,FALSE),I39,1),"")</f>
        <v>Q</v>
      </c>
      <c r="I39" s="57">
        <v>70</v>
      </c>
      <c r="J39" s="3" t="str">
        <f>IFERROR(MID(VLOOKUP($B39,Seqs!$A:$B,2,FALSE),K39,1),"")</f>
        <v>Q</v>
      </c>
      <c r="K39" s="57">
        <v>73</v>
      </c>
      <c r="L39" s="3" t="str">
        <f>IFERROR(MID(VLOOKUP($B39,Seqs!$A:$B,2,FALSE),M39,1),"")</f>
        <v>T</v>
      </c>
      <c r="M39" s="3">
        <v>74</v>
      </c>
      <c r="N39" s="3" t="str">
        <f>IFERROR(MID(VLOOKUP($B39,Seqs!$A:$B,2,FALSE),O39,1),"")</f>
        <v>R</v>
      </c>
      <c r="O39" s="3">
        <v>104</v>
      </c>
      <c r="P39" s="3" t="str">
        <f>IFERROR(MID(VLOOKUP($B39,Seqs!$A:$B,2,FALSE),Q39,1),"")</f>
        <v>T</v>
      </c>
      <c r="Q39" s="3">
        <v>106</v>
      </c>
      <c r="R39" s="3" t="str">
        <f>IFERROR(MID(VLOOKUP($B39,Seqs!$A:$B,2,FALSE),S39,1),"")</f>
        <v>W</v>
      </c>
      <c r="S39" s="3">
        <v>109</v>
      </c>
      <c r="T39" s="3" t="str">
        <f>IFERROR(MID(VLOOKUP($B39,Seqs!$A:$B,2,FALSE),U39,1),"")</f>
        <v>G</v>
      </c>
      <c r="U39" s="3">
        <v>110</v>
      </c>
      <c r="V39" s="3" t="str">
        <f>IFERROR(MID(VLOOKUP($B39,Seqs!$A:$B,2,FALSE),W39,1),"")</f>
        <v>S</v>
      </c>
      <c r="W39" s="3">
        <v>145</v>
      </c>
      <c r="X39" s="3" t="str">
        <f>IFERROR(MID(VLOOKUP($B39,Seqs!$A:$B,2,FALSE),Y39,1),"")</f>
        <v>P</v>
      </c>
      <c r="Y39" s="3">
        <v>146</v>
      </c>
      <c r="Z39" s="3" t="str">
        <f>IFERROR(MID(VLOOKUP($B39,Seqs!$A:$B,2,FALSE),AA39,1),"")</f>
        <v>M</v>
      </c>
      <c r="AA39" s="3">
        <v>153</v>
      </c>
      <c r="AB39" s="3" t="str">
        <f>IFERROR(MID(VLOOKUP($B39,Seqs!$A:$B,2,FALSE),AC39,1),"")</f>
        <v>R</v>
      </c>
      <c r="AC39" s="3">
        <v>155</v>
      </c>
      <c r="AD39" s="3" t="str">
        <f>IFERROR(MID(VLOOKUP($B39,Seqs!$A:$B,2,FALSE),AE39,1),"")</f>
        <v>H</v>
      </c>
      <c r="AE39" s="3">
        <v>180</v>
      </c>
      <c r="AF39" s="3" t="str">
        <f>IFERROR(MID(VLOOKUP($B39,Seqs!$A:$B,2,FALSE),AG39,1),"")</f>
        <v>C</v>
      </c>
      <c r="AG39" s="3">
        <v>199</v>
      </c>
      <c r="AH39" s="3" t="str">
        <f>IFERROR(MID(VLOOKUP($B39,Seqs!$A:$B,2,FALSE),AI39,1),"")</f>
        <v>F</v>
      </c>
      <c r="AI39" s="3">
        <v>201</v>
      </c>
      <c r="AJ39" s="3" t="str">
        <f>IFERROR(MID(VLOOKUP($B39,Seqs!$A:$B,2,FALSE),AK39,1),"")</f>
        <v>N</v>
      </c>
      <c r="AK39" s="3">
        <v>204</v>
      </c>
      <c r="AL39" s="3" t="str">
        <f>IFERROR(MID(VLOOKUP($B39,Seqs!$A:$B,2,FALSE),AM39,1),"")</f>
        <v>I</v>
      </c>
      <c r="AM39" s="3">
        <v>238</v>
      </c>
      <c r="AN39" s="3" t="str">
        <f>IFERROR(MID(VLOOKUP($B39,Seqs!$A:$B,2,FALSE),AO39,1),"")</f>
        <v>R</v>
      </c>
      <c r="AO39" s="3">
        <v>275</v>
      </c>
      <c r="AP39" s="3" t="str">
        <f>IFERROR(MID(VLOOKUP($B39,Seqs!$A:$B,2,FALSE),AQ39,1),"")</f>
        <v>N</v>
      </c>
      <c r="AQ39" s="3">
        <v>316</v>
      </c>
      <c r="AR39" s="3" t="str">
        <f>IFERROR(MID(VLOOKUP($B39,Seqs!$A:$B,2,FALSE),AS39,1),"")</f>
        <v>P</v>
      </c>
      <c r="AS39" s="3">
        <v>321</v>
      </c>
      <c r="AT39" s="3" t="str">
        <f>IFERROR(MID(VLOOKUP($B39,Seqs!$A:$B,2,FALSE),AU39,1),"")</f>
        <v>R</v>
      </c>
      <c r="AU39" s="3">
        <v>345</v>
      </c>
      <c r="AV39" s="3" t="str">
        <f>IFERROR(MID(VLOOKUP($B39,Seqs!$A:$B,2,FALSE),AW39,1),"")</f>
        <v>S</v>
      </c>
      <c r="AW39" s="3">
        <v>346</v>
      </c>
      <c r="AX39" s="3" t="str">
        <f>IFERROR(MID(VLOOKUP($B39,Seqs!$A:$B,2,FALSE),AY39,1),"")</f>
        <v>C</v>
      </c>
      <c r="AY39" s="3">
        <v>358</v>
      </c>
      <c r="AZ39" s="83" t="str">
        <f>VLOOKUP(B39,Classification!A:D,2,FALSE)</f>
        <v>A</v>
      </c>
      <c r="BC39" s="57">
        <f t="shared" si="88"/>
        <v>265</v>
      </c>
      <c r="BD39" s="63" t="b">
        <f t="shared" si="89"/>
        <v>1</v>
      </c>
      <c r="BE39" s="68" t="s">
        <v>1514</v>
      </c>
      <c r="BF39" s="75" t="s">
        <v>1514</v>
      </c>
      <c r="BG39" s="75" t="s">
        <v>1514</v>
      </c>
      <c r="BH39" s="75" t="s">
        <v>1514</v>
      </c>
      <c r="BI39" s="75" t="s">
        <v>1514</v>
      </c>
      <c r="BJ39" s="75" t="s">
        <v>1514</v>
      </c>
      <c r="BK39" s="75" t="s">
        <v>1514</v>
      </c>
      <c r="BL39" s="75" t="s">
        <v>1514</v>
      </c>
      <c r="BM39" s="75" t="s">
        <v>1514</v>
      </c>
      <c r="BN39" s="75" t="s">
        <v>1514</v>
      </c>
      <c r="BO39" s="75" t="s">
        <v>1514</v>
      </c>
      <c r="BP39" s="75" t="s">
        <v>1514</v>
      </c>
      <c r="BQ39" s="68">
        <f t="shared" si="62"/>
        <v>32</v>
      </c>
      <c r="BR39" s="69">
        <f t="shared" si="63"/>
        <v>70</v>
      </c>
      <c r="BS39" s="70">
        <f t="shared" si="64"/>
        <v>74</v>
      </c>
      <c r="BT39" s="69">
        <f t="shared" si="65"/>
        <v>106</v>
      </c>
      <c r="BU39" s="70">
        <f t="shared" si="66"/>
        <v>110</v>
      </c>
      <c r="BV39" s="69">
        <f t="shared" si="67"/>
        <v>146</v>
      </c>
      <c r="BW39" s="70">
        <f t="shared" si="68"/>
        <v>155</v>
      </c>
      <c r="BX39" s="69">
        <f t="shared" si="69"/>
        <v>199</v>
      </c>
      <c r="BY39" s="70">
        <f t="shared" si="70"/>
        <v>204</v>
      </c>
      <c r="BZ39" s="69">
        <f t="shared" si="71"/>
        <v>275</v>
      </c>
      <c r="CA39" s="70">
        <f t="shared" si="72"/>
        <v>321</v>
      </c>
      <c r="CB39" s="69">
        <f t="shared" si="73"/>
        <v>346</v>
      </c>
      <c r="CC39" s="68">
        <f t="shared" si="74"/>
        <v>69</v>
      </c>
      <c r="CD39" s="69">
        <f t="shared" si="75"/>
        <v>73</v>
      </c>
      <c r="CE39" s="70">
        <f t="shared" si="76"/>
        <v>104</v>
      </c>
      <c r="CF39" s="70">
        <f t="shared" si="77"/>
        <v>109</v>
      </c>
      <c r="CG39" s="70">
        <f t="shared" si="78"/>
        <v>145</v>
      </c>
      <c r="CH39" s="70">
        <f t="shared" si="79"/>
        <v>153</v>
      </c>
      <c r="CI39" s="70">
        <f t="shared" si="80"/>
        <v>180</v>
      </c>
      <c r="CJ39" s="70">
        <f t="shared" si="81"/>
        <v>201</v>
      </c>
      <c r="CK39" s="70">
        <f t="shared" si="82"/>
        <v>238</v>
      </c>
      <c r="CL39" s="70">
        <f t="shared" si="83"/>
        <v>316</v>
      </c>
      <c r="CM39" s="70">
        <f t="shared" si="84"/>
        <v>345</v>
      </c>
      <c r="CN39" s="70">
        <f t="shared" si="85"/>
        <v>358</v>
      </c>
      <c r="CO39" s="57">
        <f t="shared" si="86"/>
        <v>1</v>
      </c>
    </row>
    <row r="40" spans="1:93" x14ac:dyDescent="0.2">
      <c r="A40" s="3" t="str">
        <f t="shared" si="87"/>
        <v>adrb1_melga_3ZPR</v>
      </c>
      <c r="B40" s="3" t="s">
        <v>1108</v>
      </c>
      <c r="C40" s="3" t="s">
        <v>1245</v>
      </c>
      <c r="D40" s="3" t="str">
        <f>IFERROR(MID(VLOOKUP($B40,Seqs!$A:$B,2,FALSE),E40,1),"")</f>
        <v>S</v>
      </c>
      <c r="E40" s="3">
        <v>32</v>
      </c>
      <c r="F40" s="3" t="str">
        <f>IFERROR(MID(VLOOKUP($B40,Seqs!$A:$B,2,FALSE),G40,1),"")</f>
        <v>T</v>
      </c>
      <c r="G40" s="3">
        <v>69</v>
      </c>
      <c r="H40" s="3" t="str">
        <f>IFERROR(MID(VLOOKUP($B40,Seqs!$A:$B,2,FALSE),I40,1),"")</f>
        <v>Q</v>
      </c>
      <c r="I40" s="57">
        <v>70</v>
      </c>
      <c r="J40" s="3" t="str">
        <f>IFERROR(MID(VLOOKUP($B40,Seqs!$A:$B,2,FALSE),K40,1),"")</f>
        <v>Q</v>
      </c>
      <c r="K40" s="57">
        <v>73</v>
      </c>
      <c r="L40" s="3" t="str">
        <f>IFERROR(MID(VLOOKUP($B40,Seqs!$A:$B,2,FALSE),M40,1),"")</f>
        <v>T</v>
      </c>
      <c r="M40" s="3">
        <v>74</v>
      </c>
      <c r="N40" s="3" t="str">
        <f>IFERROR(MID(VLOOKUP($B40,Seqs!$A:$B,2,FALSE),O40,1),"")</f>
        <v>R</v>
      </c>
      <c r="O40" s="3">
        <v>104</v>
      </c>
      <c r="P40" s="3" t="str">
        <f>IFERROR(MID(VLOOKUP($B40,Seqs!$A:$B,2,FALSE),Q40,1),"")</f>
        <v>T</v>
      </c>
      <c r="Q40" s="3">
        <v>106</v>
      </c>
      <c r="R40" s="3" t="str">
        <f>IFERROR(MID(VLOOKUP($B40,Seqs!$A:$B,2,FALSE),S40,1),"")</f>
        <v>W</v>
      </c>
      <c r="S40" s="3">
        <v>109</v>
      </c>
      <c r="T40" s="3" t="str">
        <f>IFERROR(MID(VLOOKUP($B40,Seqs!$A:$B,2,FALSE),U40,1),"")</f>
        <v>G</v>
      </c>
      <c r="U40" s="3">
        <v>110</v>
      </c>
      <c r="V40" s="3" t="str">
        <f>IFERROR(MID(VLOOKUP($B40,Seqs!$A:$B,2,FALSE),W40,1),"")</f>
        <v>S</v>
      </c>
      <c r="W40" s="3">
        <v>145</v>
      </c>
      <c r="X40" s="3" t="str">
        <f>IFERROR(MID(VLOOKUP($B40,Seqs!$A:$B,2,FALSE),Y40,1),"")</f>
        <v>P</v>
      </c>
      <c r="Y40" s="3">
        <v>146</v>
      </c>
      <c r="Z40" s="3" t="str">
        <f>IFERROR(MID(VLOOKUP($B40,Seqs!$A:$B,2,FALSE),AA40,1),"")</f>
        <v>M</v>
      </c>
      <c r="AA40" s="3">
        <v>153</v>
      </c>
      <c r="AB40" s="3" t="str">
        <f>IFERROR(MID(VLOOKUP($B40,Seqs!$A:$B,2,FALSE),AC40,1),"")</f>
        <v>R</v>
      </c>
      <c r="AC40" s="3">
        <v>155</v>
      </c>
      <c r="AD40" s="3" t="str">
        <f>IFERROR(MID(VLOOKUP($B40,Seqs!$A:$B,2,FALSE),AE40,1),"")</f>
        <v>H</v>
      </c>
      <c r="AE40" s="3">
        <v>180</v>
      </c>
      <c r="AF40" s="3" t="str">
        <f>IFERROR(MID(VLOOKUP($B40,Seqs!$A:$B,2,FALSE),AG40,1),"")</f>
        <v>C</v>
      </c>
      <c r="AG40" s="3">
        <v>199</v>
      </c>
      <c r="AH40" s="3" t="str">
        <f>IFERROR(MID(VLOOKUP($B40,Seqs!$A:$B,2,FALSE),AI40,1),"")</f>
        <v>F</v>
      </c>
      <c r="AI40" s="3">
        <v>201</v>
      </c>
      <c r="AJ40" s="3" t="str">
        <f>IFERROR(MID(VLOOKUP($B40,Seqs!$A:$B,2,FALSE),AK40,1),"")</f>
        <v>N</v>
      </c>
      <c r="AK40" s="3">
        <v>204</v>
      </c>
      <c r="AL40" s="3" t="str">
        <f>IFERROR(MID(VLOOKUP($B40,Seqs!$A:$B,2,FALSE),AM40,1),"")</f>
        <v>I</v>
      </c>
      <c r="AM40" s="3">
        <v>238</v>
      </c>
      <c r="AN40" s="3" t="str">
        <f>IFERROR(MID(VLOOKUP($B40,Seqs!$A:$B,2,FALSE),AO40,1),"")</f>
        <v>R</v>
      </c>
      <c r="AO40" s="3">
        <v>275</v>
      </c>
      <c r="AP40" s="3" t="str">
        <f>IFERROR(MID(VLOOKUP($B40,Seqs!$A:$B,2,FALSE),AQ40,1),"")</f>
        <v>N</v>
      </c>
      <c r="AQ40" s="3">
        <v>316</v>
      </c>
      <c r="AR40" s="3" t="str">
        <f>IFERROR(MID(VLOOKUP($B40,Seqs!$A:$B,2,FALSE),AS40,1),"")</f>
        <v>P</v>
      </c>
      <c r="AS40" s="3">
        <v>321</v>
      </c>
      <c r="AT40" s="3" t="str">
        <f>IFERROR(MID(VLOOKUP($B40,Seqs!$A:$B,2,FALSE),AU40,1),"")</f>
        <v>R</v>
      </c>
      <c r="AU40" s="3">
        <v>345</v>
      </c>
      <c r="AV40" s="3" t="str">
        <f>IFERROR(MID(VLOOKUP($B40,Seqs!$A:$B,2,FALSE),AW40,1),"")</f>
        <v>S</v>
      </c>
      <c r="AW40" s="3">
        <v>346</v>
      </c>
      <c r="AX40" s="3" t="str">
        <f>IFERROR(MID(VLOOKUP($B40,Seqs!$A:$B,2,FALSE),AY40,1),"")</f>
        <v>C</v>
      </c>
      <c r="AY40" s="3">
        <v>358</v>
      </c>
      <c r="AZ40" s="83" t="str">
        <f>VLOOKUP(B40,Classification!A:D,2,FALSE)</f>
        <v>A</v>
      </c>
      <c r="BC40" s="57">
        <f t="shared" si="88"/>
        <v>265</v>
      </c>
      <c r="BD40" s="63" t="b">
        <f t="shared" si="89"/>
        <v>1</v>
      </c>
      <c r="BE40" s="68" t="s">
        <v>1514</v>
      </c>
      <c r="BF40" s="75" t="s">
        <v>1514</v>
      </c>
      <c r="BG40" s="75" t="s">
        <v>1514</v>
      </c>
      <c r="BH40" s="75" t="s">
        <v>1514</v>
      </c>
      <c r="BI40" s="75" t="s">
        <v>1514</v>
      </c>
      <c r="BJ40" s="75" t="s">
        <v>1514</v>
      </c>
      <c r="BK40" s="75" t="s">
        <v>1514</v>
      </c>
      <c r="BL40" s="75" t="s">
        <v>1514</v>
      </c>
      <c r="BM40" s="75" t="s">
        <v>1514</v>
      </c>
      <c r="BN40" s="75" t="s">
        <v>1514</v>
      </c>
      <c r="BO40" s="75" t="s">
        <v>1514</v>
      </c>
      <c r="BP40" s="75" t="s">
        <v>1514</v>
      </c>
      <c r="BQ40" s="68">
        <f t="shared" si="62"/>
        <v>32</v>
      </c>
      <c r="BR40" s="69">
        <f t="shared" si="63"/>
        <v>70</v>
      </c>
      <c r="BS40" s="70">
        <f t="shared" si="64"/>
        <v>74</v>
      </c>
      <c r="BT40" s="69">
        <f t="shared" si="65"/>
        <v>106</v>
      </c>
      <c r="BU40" s="70">
        <f t="shared" si="66"/>
        <v>110</v>
      </c>
      <c r="BV40" s="69">
        <f t="shared" si="67"/>
        <v>146</v>
      </c>
      <c r="BW40" s="70">
        <f t="shared" si="68"/>
        <v>155</v>
      </c>
      <c r="BX40" s="69">
        <f t="shared" si="69"/>
        <v>199</v>
      </c>
      <c r="BY40" s="70">
        <f t="shared" si="70"/>
        <v>204</v>
      </c>
      <c r="BZ40" s="69">
        <f t="shared" si="71"/>
        <v>275</v>
      </c>
      <c r="CA40" s="70">
        <f t="shared" si="72"/>
        <v>321</v>
      </c>
      <c r="CB40" s="69">
        <f t="shared" si="73"/>
        <v>346</v>
      </c>
      <c r="CC40" s="68">
        <f t="shared" si="74"/>
        <v>69</v>
      </c>
      <c r="CD40" s="69">
        <f t="shared" si="75"/>
        <v>73</v>
      </c>
      <c r="CE40" s="70">
        <f t="shared" si="76"/>
        <v>104</v>
      </c>
      <c r="CF40" s="70">
        <f t="shared" si="77"/>
        <v>109</v>
      </c>
      <c r="CG40" s="70">
        <f t="shared" si="78"/>
        <v>145</v>
      </c>
      <c r="CH40" s="70">
        <f t="shared" si="79"/>
        <v>153</v>
      </c>
      <c r="CI40" s="70">
        <f t="shared" si="80"/>
        <v>180</v>
      </c>
      <c r="CJ40" s="70">
        <f t="shared" si="81"/>
        <v>201</v>
      </c>
      <c r="CK40" s="70">
        <f t="shared" si="82"/>
        <v>238</v>
      </c>
      <c r="CL40" s="70">
        <f t="shared" si="83"/>
        <v>316</v>
      </c>
      <c r="CM40" s="70">
        <f t="shared" si="84"/>
        <v>345</v>
      </c>
      <c r="CN40" s="70">
        <f t="shared" si="85"/>
        <v>358</v>
      </c>
      <c r="CO40" s="57">
        <f t="shared" si="86"/>
        <v>1</v>
      </c>
    </row>
    <row r="41" spans="1:93" x14ac:dyDescent="0.2">
      <c r="A41" s="3" t="str">
        <f t="shared" si="87"/>
        <v>adrb1_melga_4AMI</v>
      </c>
      <c r="B41" s="3" t="s">
        <v>1108</v>
      </c>
      <c r="C41" s="3" t="s">
        <v>1246</v>
      </c>
      <c r="D41" s="3" t="str">
        <f>IFERROR(MID(VLOOKUP($B41,Seqs!$A:$B,2,FALSE),E41,1),"")</f>
        <v>A</v>
      </c>
      <c r="E41" s="3">
        <v>33</v>
      </c>
      <c r="F41" s="3" t="str">
        <f>IFERROR(MID(VLOOKUP($B41,Seqs!$A:$B,2,FALSE),G41,1),"")</f>
        <v>T</v>
      </c>
      <c r="G41" s="3">
        <v>69</v>
      </c>
      <c r="H41" s="3" t="str">
        <f>IFERROR(MID(VLOOKUP($B41,Seqs!$A:$B,2,FALSE),I41,1),"")</f>
        <v>Q</v>
      </c>
      <c r="I41" s="57">
        <v>70</v>
      </c>
      <c r="J41" s="3" t="str">
        <f>IFERROR(MID(VLOOKUP($B41,Seqs!$A:$B,2,FALSE),K41,1),"")</f>
        <v>Q</v>
      </c>
      <c r="K41" s="57">
        <v>73</v>
      </c>
      <c r="L41" s="3" t="str">
        <f>IFERROR(MID(VLOOKUP($B41,Seqs!$A:$B,2,FALSE),M41,1),"")</f>
        <v>T</v>
      </c>
      <c r="M41" s="3">
        <v>74</v>
      </c>
      <c r="N41" s="3" t="str">
        <f>IFERROR(MID(VLOOKUP($B41,Seqs!$A:$B,2,FALSE),O41,1),"")</f>
        <v>R</v>
      </c>
      <c r="O41" s="3">
        <v>104</v>
      </c>
      <c r="P41" s="3" t="str">
        <f>IFERROR(MID(VLOOKUP($B41,Seqs!$A:$B,2,FALSE),Q41,1),"")</f>
        <v>T</v>
      </c>
      <c r="Q41" s="3">
        <v>106</v>
      </c>
      <c r="R41" s="3" t="str">
        <f>IFERROR(MID(VLOOKUP($B41,Seqs!$A:$B,2,FALSE),S41,1),"")</f>
        <v>W</v>
      </c>
      <c r="S41" s="3">
        <v>109</v>
      </c>
      <c r="T41" s="3" t="str">
        <f>IFERROR(MID(VLOOKUP($B41,Seqs!$A:$B,2,FALSE),U41,1),"")</f>
        <v>G</v>
      </c>
      <c r="U41" s="3">
        <v>110</v>
      </c>
      <c r="V41" s="3" t="str">
        <f>IFERROR(MID(VLOOKUP($B41,Seqs!$A:$B,2,FALSE),W41,1),"")</f>
        <v>S</v>
      </c>
      <c r="W41" s="3">
        <v>145</v>
      </c>
      <c r="X41" s="3" t="str">
        <f>IFERROR(MID(VLOOKUP($B41,Seqs!$A:$B,2,FALSE),Y41,1),"")</f>
        <v>P</v>
      </c>
      <c r="Y41" s="3">
        <v>146</v>
      </c>
      <c r="Z41" s="3" t="str">
        <f>IFERROR(MID(VLOOKUP($B41,Seqs!$A:$B,2,FALSE),AA41,1),"")</f>
        <v>M</v>
      </c>
      <c r="AA41" s="3">
        <v>153</v>
      </c>
      <c r="AB41" s="3" t="str">
        <f>IFERROR(MID(VLOOKUP($B41,Seqs!$A:$B,2,FALSE),AC41,1),"")</f>
        <v>R</v>
      </c>
      <c r="AC41" s="3">
        <v>155</v>
      </c>
      <c r="AD41" s="3" t="str">
        <f>IFERROR(MID(VLOOKUP($B41,Seqs!$A:$B,2,FALSE),AE41,1),"")</f>
        <v>H</v>
      </c>
      <c r="AE41" s="3">
        <v>180</v>
      </c>
      <c r="AF41" s="3" t="str">
        <f>IFERROR(MID(VLOOKUP($B41,Seqs!$A:$B,2,FALSE),AG41,1),"")</f>
        <v>C</v>
      </c>
      <c r="AG41" s="3">
        <v>199</v>
      </c>
      <c r="AH41" s="3" t="str">
        <f>IFERROR(MID(VLOOKUP($B41,Seqs!$A:$B,2,FALSE),AI41,1),"")</f>
        <v>F</v>
      </c>
      <c r="AI41" s="3">
        <v>201</v>
      </c>
      <c r="AJ41" s="3" t="str">
        <f>IFERROR(MID(VLOOKUP($B41,Seqs!$A:$B,2,FALSE),AK41,1),"")</f>
        <v>N</v>
      </c>
      <c r="AK41" s="3">
        <v>204</v>
      </c>
      <c r="AL41" s="3" t="str">
        <f>IFERROR(MID(VLOOKUP($B41,Seqs!$A:$B,2,FALSE),AM41,1),"")</f>
        <v>E</v>
      </c>
      <c r="AM41" s="3">
        <v>236</v>
      </c>
      <c r="AN41" s="3" t="str">
        <f>IFERROR(MID(VLOOKUP($B41,Seqs!$A:$B,2,FALSE),AO41,1),"")</f>
        <v>A</v>
      </c>
      <c r="AO41" s="3">
        <v>288</v>
      </c>
      <c r="AP41" s="3" t="str">
        <f>IFERROR(MID(VLOOKUP($B41,Seqs!$A:$B,2,FALSE),AQ41,1),"")</f>
        <v>N</v>
      </c>
      <c r="AQ41" s="3">
        <v>316</v>
      </c>
      <c r="AR41" s="3" t="str">
        <f>IFERROR(MID(VLOOKUP($B41,Seqs!$A:$B,2,FALSE),AS41,1),"")</f>
        <v>P</v>
      </c>
      <c r="AS41" s="3">
        <v>321</v>
      </c>
      <c r="AT41" s="3" t="str">
        <f>IFERROR(MID(VLOOKUP($B41,Seqs!$A:$B,2,FALSE),AU41,1),"")</f>
        <v>R</v>
      </c>
      <c r="AU41" s="3">
        <v>345</v>
      </c>
      <c r="AV41" s="3" t="str">
        <f>IFERROR(MID(VLOOKUP($B41,Seqs!$A:$B,2,FALSE),AW41,1),"")</f>
        <v>S</v>
      </c>
      <c r="AW41" s="3">
        <v>346</v>
      </c>
      <c r="AX41" s="3" t="str">
        <f>IFERROR(MID(VLOOKUP($B41,Seqs!$A:$B,2,FALSE),AY41,1),"")</f>
        <v>C</v>
      </c>
      <c r="AY41" s="3">
        <v>358</v>
      </c>
      <c r="AZ41" s="83" t="str">
        <f>VLOOKUP(B41,Classification!A:D,2,FALSE)</f>
        <v>A</v>
      </c>
      <c r="BC41" s="57">
        <f t="shared" si="88"/>
        <v>249</v>
      </c>
      <c r="BD41" s="63" t="b">
        <f t="shared" si="89"/>
        <v>1</v>
      </c>
      <c r="BE41" s="68" t="s">
        <v>1514</v>
      </c>
      <c r="BF41" s="75" t="s">
        <v>1514</v>
      </c>
      <c r="BG41" s="75" t="s">
        <v>1514</v>
      </c>
      <c r="BH41" s="75" t="s">
        <v>1514</v>
      </c>
      <c r="BI41" s="75" t="s">
        <v>1514</v>
      </c>
      <c r="BJ41" s="75" t="s">
        <v>1514</v>
      </c>
      <c r="BK41" s="75" t="s">
        <v>1514</v>
      </c>
      <c r="BL41" s="75" t="s">
        <v>1514</v>
      </c>
      <c r="BM41" s="75" t="s">
        <v>1514</v>
      </c>
      <c r="BN41" s="75" t="s">
        <v>1514</v>
      </c>
      <c r="BO41" s="75" t="s">
        <v>1514</v>
      </c>
      <c r="BP41" s="75" t="s">
        <v>1514</v>
      </c>
      <c r="BQ41" s="68">
        <f t="shared" si="62"/>
        <v>33</v>
      </c>
      <c r="BR41" s="69">
        <f t="shared" si="63"/>
        <v>70</v>
      </c>
      <c r="BS41" s="70">
        <f t="shared" si="64"/>
        <v>74</v>
      </c>
      <c r="BT41" s="69">
        <f t="shared" si="65"/>
        <v>106</v>
      </c>
      <c r="BU41" s="70">
        <f t="shared" si="66"/>
        <v>110</v>
      </c>
      <c r="BV41" s="69">
        <f t="shared" si="67"/>
        <v>146</v>
      </c>
      <c r="BW41" s="70">
        <f t="shared" si="68"/>
        <v>155</v>
      </c>
      <c r="BX41" s="69">
        <f t="shared" si="69"/>
        <v>199</v>
      </c>
      <c r="BY41" s="70">
        <f t="shared" si="70"/>
        <v>204</v>
      </c>
      <c r="BZ41" s="69">
        <f t="shared" si="71"/>
        <v>288</v>
      </c>
      <c r="CA41" s="70">
        <f t="shared" si="72"/>
        <v>321</v>
      </c>
      <c r="CB41" s="69">
        <f t="shared" si="73"/>
        <v>346</v>
      </c>
      <c r="CC41" s="68">
        <f t="shared" si="74"/>
        <v>69</v>
      </c>
      <c r="CD41" s="69">
        <f t="shared" si="75"/>
        <v>73</v>
      </c>
      <c r="CE41" s="70">
        <f t="shared" si="76"/>
        <v>104</v>
      </c>
      <c r="CF41" s="70">
        <f t="shared" si="77"/>
        <v>109</v>
      </c>
      <c r="CG41" s="70">
        <f t="shared" si="78"/>
        <v>145</v>
      </c>
      <c r="CH41" s="70">
        <f t="shared" si="79"/>
        <v>153</v>
      </c>
      <c r="CI41" s="70">
        <f t="shared" si="80"/>
        <v>180</v>
      </c>
      <c r="CJ41" s="70">
        <f t="shared" si="81"/>
        <v>201</v>
      </c>
      <c r="CK41" s="70">
        <f t="shared" si="82"/>
        <v>236</v>
      </c>
      <c r="CL41" s="70">
        <f t="shared" si="83"/>
        <v>316</v>
      </c>
      <c r="CM41" s="70">
        <f t="shared" si="84"/>
        <v>345</v>
      </c>
      <c r="CN41" s="70">
        <f t="shared" si="85"/>
        <v>358</v>
      </c>
      <c r="CO41" s="57">
        <f t="shared" si="86"/>
        <v>1</v>
      </c>
    </row>
    <row r="42" spans="1:93" x14ac:dyDescent="0.2">
      <c r="A42" s="3" t="str">
        <f t="shared" si="87"/>
        <v>adrb1_melga_4AMJ</v>
      </c>
      <c r="B42" s="3" t="s">
        <v>1108</v>
      </c>
      <c r="C42" s="3" t="s">
        <v>1247</v>
      </c>
      <c r="D42" s="3" t="str">
        <f>IFERROR(MID(VLOOKUP($B42,Seqs!$A:$B,2,FALSE),E42,1),"")</f>
        <v>S</v>
      </c>
      <c r="E42" s="3">
        <v>32</v>
      </c>
      <c r="F42" s="3" t="str">
        <f>IFERROR(MID(VLOOKUP($B42,Seqs!$A:$B,2,FALSE),G42,1),"")</f>
        <v>T</v>
      </c>
      <c r="G42" s="3">
        <v>69</v>
      </c>
      <c r="H42" s="3" t="str">
        <f>IFERROR(MID(VLOOKUP($B42,Seqs!$A:$B,2,FALSE),I42,1),"")</f>
        <v>Q</v>
      </c>
      <c r="I42" s="57">
        <v>70</v>
      </c>
      <c r="J42" s="3" t="str">
        <f>IFERROR(MID(VLOOKUP($B42,Seqs!$A:$B,2,FALSE),K42,1),"")</f>
        <v>Q</v>
      </c>
      <c r="K42" s="57">
        <v>73</v>
      </c>
      <c r="L42" s="3" t="str">
        <f>IFERROR(MID(VLOOKUP($B42,Seqs!$A:$B,2,FALSE),M42,1),"")</f>
        <v>T</v>
      </c>
      <c r="M42" s="3">
        <v>74</v>
      </c>
      <c r="N42" s="3" t="str">
        <f>IFERROR(MID(VLOOKUP($B42,Seqs!$A:$B,2,FALSE),O42,1),"")</f>
        <v>R</v>
      </c>
      <c r="O42" s="3">
        <v>104</v>
      </c>
      <c r="P42" s="3" t="str">
        <f>IFERROR(MID(VLOOKUP($B42,Seqs!$A:$B,2,FALSE),Q42,1),"")</f>
        <v>T</v>
      </c>
      <c r="Q42" s="3">
        <v>106</v>
      </c>
      <c r="R42" s="3" t="str">
        <f>IFERROR(MID(VLOOKUP($B42,Seqs!$A:$B,2,FALSE),S42,1),"")</f>
        <v>W</v>
      </c>
      <c r="S42" s="3">
        <v>109</v>
      </c>
      <c r="T42" s="3" t="str">
        <f>IFERROR(MID(VLOOKUP($B42,Seqs!$A:$B,2,FALSE),U42,1),"")</f>
        <v>G</v>
      </c>
      <c r="U42" s="3">
        <v>110</v>
      </c>
      <c r="V42" s="3" t="str">
        <f>IFERROR(MID(VLOOKUP($B42,Seqs!$A:$B,2,FALSE),W42,1),"")</f>
        <v>S</v>
      </c>
      <c r="W42" s="3">
        <v>145</v>
      </c>
      <c r="X42" s="3" t="str">
        <f>IFERROR(MID(VLOOKUP($B42,Seqs!$A:$B,2,FALSE),Y42,1),"")</f>
        <v>P</v>
      </c>
      <c r="Y42" s="3">
        <v>146</v>
      </c>
      <c r="Z42" s="3" t="str">
        <f>IFERROR(MID(VLOOKUP($B42,Seqs!$A:$B,2,FALSE),AA42,1),"")</f>
        <v>M</v>
      </c>
      <c r="AA42" s="3">
        <v>153</v>
      </c>
      <c r="AB42" s="3" t="str">
        <f>IFERROR(MID(VLOOKUP($B42,Seqs!$A:$B,2,FALSE),AC42,1),"")</f>
        <v>R</v>
      </c>
      <c r="AC42" s="3">
        <v>155</v>
      </c>
      <c r="AD42" s="3" t="str">
        <f>IFERROR(MID(VLOOKUP($B42,Seqs!$A:$B,2,FALSE),AE42,1),"")</f>
        <v>H</v>
      </c>
      <c r="AE42" s="3">
        <v>180</v>
      </c>
      <c r="AF42" s="3" t="str">
        <f>IFERROR(MID(VLOOKUP($B42,Seqs!$A:$B,2,FALSE),AG42,1),"")</f>
        <v>C</v>
      </c>
      <c r="AG42" s="3">
        <v>199</v>
      </c>
      <c r="AH42" s="3" t="str">
        <f>IFERROR(MID(VLOOKUP($B42,Seqs!$A:$B,2,FALSE),AI42,1),"")</f>
        <v>F</v>
      </c>
      <c r="AI42" s="3">
        <v>201</v>
      </c>
      <c r="AJ42" s="3" t="str">
        <f>IFERROR(MID(VLOOKUP($B42,Seqs!$A:$B,2,FALSE),AK42,1),"")</f>
        <v>N</v>
      </c>
      <c r="AK42" s="3">
        <v>204</v>
      </c>
      <c r="AL42" s="3" t="str">
        <f>IFERROR(MID(VLOOKUP($B42,Seqs!$A:$B,2,FALSE),AM42,1),"")</f>
        <v>I</v>
      </c>
      <c r="AM42" s="3">
        <v>238</v>
      </c>
      <c r="AN42" s="3" t="str">
        <f>IFERROR(MID(VLOOKUP($B42,Seqs!$A:$B,2,FALSE),AO42,1),"")</f>
        <v>R</v>
      </c>
      <c r="AO42" s="3">
        <v>275</v>
      </c>
      <c r="AP42" s="3" t="str">
        <f>IFERROR(MID(VLOOKUP($B42,Seqs!$A:$B,2,FALSE),AQ42,1),"")</f>
        <v>N</v>
      </c>
      <c r="AQ42" s="3">
        <v>316</v>
      </c>
      <c r="AR42" s="3" t="str">
        <f>IFERROR(MID(VLOOKUP($B42,Seqs!$A:$B,2,FALSE),AS42,1),"")</f>
        <v>P</v>
      </c>
      <c r="AS42" s="3">
        <v>321</v>
      </c>
      <c r="AT42" s="3" t="str">
        <f>IFERROR(MID(VLOOKUP($B42,Seqs!$A:$B,2,FALSE),AU42,1),"")</f>
        <v>R</v>
      </c>
      <c r="AU42" s="3">
        <v>345</v>
      </c>
      <c r="AV42" s="3" t="str">
        <f>IFERROR(MID(VLOOKUP($B42,Seqs!$A:$B,2,FALSE),AW42,1),"")</f>
        <v>S</v>
      </c>
      <c r="AW42" s="3">
        <v>346</v>
      </c>
      <c r="AX42" s="3" t="str">
        <f>IFERROR(MID(VLOOKUP($B42,Seqs!$A:$B,2,FALSE),AY42,1),"")</f>
        <v>C</v>
      </c>
      <c r="AY42" s="3">
        <v>358</v>
      </c>
      <c r="AZ42" s="83" t="str">
        <f>VLOOKUP(B42,Classification!A:D,2,FALSE)</f>
        <v>A</v>
      </c>
      <c r="BC42" s="57">
        <f t="shared" si="88"/>
        <v>265</v>
      </c>
      <c r="BD42" s="63" t="b">
        <f t="shared" si="89"/>
        <v>1</v>
      </c>
      <c r="BE42" s="68" t="s">
        <v>1514</v>
      </c>
      <c r="BF42" s="75" t="s">
        <v>1514</v>
      </c>
      <c r="BG42" s="75" t="s">
        <v>1514</v>
      </c>
      <c r="BH42" s="75" t="s">
        <v>1514</v>
      </c>
      <c r="BI42" s="75" t="s">
        <v>1514</v>
      </c>
      <c r="BJ42" s="75" t="s">
        <v>1514</v>
      </c>
      <c r="BK42" s="75" t="s">
        <v>1514</v>
      </c>
      <c r="BL42" s="75" t="s">
        <v>1514</v>
      </c>
      <c r="BM42" s="75" t="s">
        <v>1514</v>
      </c>
      <c r="BN42" s="75" t="s">
        <v>1514</v>
      </c>
      <c r="BO42" s="75" t="s">
        <v>1514</v>
      </c>
      <c r="BP42" s="75" t="s">
        <v>1514</v>
      </c>
      <c r="BQ42" s="68">
        <f t="shared" si="62"/>
        <v>32</v>
      </c>
      <c r="BR42" s="69">
        <f t="shared" si="63"/>
        <v>70</v>
      </c>
      <c r="BS42" s="70">
        <f t="shared" si="64"/>
        <v>74</v>
      </c>
      <c r="BT42" s="69">
        <f t="shared" si="65"/>
        <v>106</v>
      </c>
      <c r="BU42" s="70">
        <f t="shared" si="66"/>
        <v>110</v>
      </c>
      <c r="BV42" s="69">
        <f t="shared" si="67"/>
        <v>146</v>
      </c>
      <c r="BW42" s="70">
        <f t="shared" si="68"/>
        <v>155</v>
      </c>
      <c r="BX42" s="69">
        <f t="shared" si="69"/>
        <v>199</v>
      </c>
      <c r="BY42" s="70">
        <f t="shared" si="70"/>
        <v>204</v>
      </c>
      <c r="BZ42" s="69">
        <f t="shared" si="71"/>
        <v>275</v>
      </c>
      <c r="CA42" s="70">
        <f t="shared" si="72"/>
        <v>321</v>
      </c>
      <c r="CB42" s="69">
        <f t="shared" si="73"/>
        <v>346</v>
      </c>
      <c r="CC42" s="68">
        <f t="shared" si="74"/>
        <v>69</v>
      </c>
      <c r="CD42" s="69">
        <f t="shared" si="75"/>
        <v>73</v>
      </c>
      <c r="CE42" s="70">
        <f t="shared" si="76"/>
        <v>104</v>
      </c>
      <c r="CF42" s="70">
        <f t="shared" si="77"/>
        <v>109</v>
      </c>
      <c r="CG42" s="70">
        <f t="shared" si="78"/>
        <v>145</v>
      </c>
      <c r="CH42" s="70">
        <f t="shared" si="79"/>
        <v>153</v>
      </c>
      <c r="CI42" s="70">
        <f t="shared" si="80"/>
        <v>180</v>
      </c>
      <c r="CJ42" s="70">
        <f t="shared" si="81"/>
        <v>201</v>
      </c>
      <c r="CK42" s="70">
        <f t="shared" si="82"/>
        <v>238</v>
      </c>
      <c r="CL42" s="70">
        <f t="shared" si="83"/>
        <v>316</v>
      </c>
      <c r="CM42" s="70">
        <f t="shared" si="84"/>
        <v>345</v>
      </c>
      <c r="CN42" s="70">
        <f t="shared" si="85"/>
        <v>358</v>
      </c>
      <c r="CO42" s="57">
        <f t="shared" si="86"/>
        <v>1</v>
      </c>
    </row>
    <row r="43" spans="1:93" x14ac:dyDescent="0.2">
      <c r="A43" s="3" t="str">
        <f t="shared" si="87"/>
        <v>adrb1_melga_4BVN</v>
      </c>
      <c r="B43" s="3" t="s">
        <v>1108</v>
      </c>
      <c r="C43" s="3" t="s">
        <v>273</v>
      </c>
      <c r="D43" s="3" t="str">
        <f>IFERROR(MID(VLOOKUP($B43,Seqs!$A:$B,2,FALSE),E43,1),"")</f>
        <v>S</v>
      </c>
      <c r="E43" s="3">
        <v>37</v>
      </c>
      <c r="F43" s="3" t="str">
        <f>IFERROR(MID(VLOOKUP($B43,Seqs!$A:$B,2,FALSE),G43,1),"")</f>
        <v>T</v>
      </c>
      <c r="G43" s="3">
        <v>69</v>
      </c>
      <c r="H43" s="3" t="str">
        <f>IFERROR(MID(VLOOKUP($B43,Seqs!$A:$B,2,FALSE),I43,1),"")</f>
        <v>Q</v>
      </c>
      <c r="I43" s="57">
        <v>70</v>
      </c>
      <c r="J43" s="3" t="str">
        <f>IFERROR(MID(VLOOKUP($B43,Seqs!$A:$B,2,FALSE),K43,1),"")</f>
        <v>Q</v>
      </c>
      <c r="K43" s="57">
        <v>73</v>
      </c>
      <c r="L43" s="3" t="str">
        <f>IFERROR(MID(VLOOKUP($B43,Seqs!$A:$B,2,FALSE),M43,1),"")</f>
        <v>T</v>
      </c>
      <c r="M43" s="3">
        <v>74</v>
      </c>
      <c r="N43" s="3" t="str">
        <f>IFERROR(MID(VLOOKUP($B43,Seqs!$A:$B,2,FALSE),O43,1),"")</f>
        <v>R</v>
      </c>
      <c r="O43" s="3">
        <v>104</v>
      </c>
      <c r="P43" s="3" t="str">
        <f>IFERROR(MID(VLOOKUP($B43,Seqs!$A:$B,2,FALSE),Q43,1),"")</f>
        <v>T</v>
      </c>
      <c r="Q43" s="3">
        <v>106</v>
      </c>
      <c r="R43" s="3" t="str">
        <f>IFERROR(MID(VLOOKUP($B43,Seqs!$A:$B,2,FALSE),S43,1),"")</f>
        <v>W</v>
      </c>
      <c r="S43" s="3">
        <v>109</v>
      </c>
      <c r="T43" s="3" t="str">
        <f>IFERROR(MID(VLOOKUP($B43,Seqs!$A:$B,2,FALSE),U43,1),"")</f>
        <v>G</v>
      </c>
      <c r="U43" s="3">
        <v>110</v>
      </c>
      <c r="V43" s="3" t="str">
        <f>IFERROR(MID(VLOOKUP($B43,Seqs!$A:$B,2,FALSE),W43,1),"")</f>
        <v>S</v>
      </c>
      <c r="W43" s="3">
        <v>145</v>
      </c>
      <c r="X43" s="3" t="str">
        <f>IFERROR(MID(VLOOKUP($B43,Seqs!$A:$B,2,FALSE),Y43,1),"")</f>
        <v>P</v>
      </c>
      <c r="Y43" s="3">
        <v>146</v>
      </c>
      <c r="Z43" s="3" t="str">
        <f>IFERROR(MID(VLOOKUP($B43,Seqs!$A:$B,2,FALSE),AA43,1),"")</f>
        <v>M</v>
      </c>
      <c r="AA43" s="3">
        <v>153</v>
      </c>
      <c r="AB43" s="3" t="str">
        <f>IFERROR(MID(VLOOKUP($B43,Seqs!$A:$B,2,FALSE),AC43,1),"")</f>
        <v>R</v>
      </c>
      <c r="AC43" s="3">
        <v>155</v>
      </c>
      <c r="AD43" s="3" t="str">
        <f>IFERROR(MID(VLOOKUP($B43,Seqs!$A:$B,2,FALSE),AE43,1),"")</f>
        <v>H</v>
      </c>
      <c r="AE43" s="3">
        <v>180</v>
      </c>
      <c r="AF43" s="3" t="str">
        <f>IFERROR(MID(VLOOKUP($B43,Seqs!$A:$B,2,FALSE),AG43,1),"")</f>
        <v>C</v>
      </c>
      <c r="AG43" s="3">
        <v>199</v>
      </c>
      <c r="AH43" s="3" t="str">
        <f>IFERROR(MID(VLOOKUP($B43,Seqs!$A:$B,2,FALSE),AI43,1),"")</f>
        <v>F</v>
      </c>
      <c r="AI43" s="3">
        <v>201</v>
      </c>
      <c r="AJ43" s="3" t="str">
        <f>IFERROR(MID(VLOOKUP($B43,Seqs!$A:$B,2,FALSE),AK43,1),"")</f>
        <v>N</v>
      </c>
      <c r="AK43" s="3">
        <v>204</v>
      </c>
      <c r="AL43" s="3" t="str">
        <f>IFERROR(MID(VLOOKUP($B43,Seqs!$A:$B,2,FALSE),AM43,1),"")</f>
        <v>R</v>
      </c>
      <c r="AM43" s="3">
        <v>239</v>
      </c>
      <c r="AN43" s="3" t="str">
        <f>IFERROR(MID(VLOOKUP($B43,Seqs!$A:$B,2,FALSE),AO43,1),"")</f>
        <v>R</v>
      </c>
      <c r="AO43" s="3">
        <v>279</v>
      </c>
      <c r="AP43" s="3" t="str">
        <f>IFERROR(MID(VLOOKUP($B43,Seqs!$A:$B,2,FALSE),AQ43,1),"")</f>
        <v>N</v>
      </c>
      <c r="AQ43" s="3">
        <v>316</v>
      </c>
      <c r="AR43" s="3" t="str">
        <f>IFERROR(MID(VLOOKUP($B43,Seqs!$A:$B,2,FALSE),AS43,1),"")</f>
        <v>P</v>
      </c>
      <c r="AS43" s="3">
        <v>321</v>
      </c>
      <c r="AT43" s="3" t="str">
        <f>IFERROR(MID(VLOOKUP($B43,Seqs!$A:$B,2,FALSE),AU43,1),"")</f>
        <v>R</v>
      </c>
      <c r="AU43" s="3">
        <v>345</v>
      </c>
      <c r="AV43" s="3" t="str">
        <f>IFERROR(MID(VLOOKUP($B43,Seqs!$A:$B,2,FALSE),AW43,1),"")</f>
        <v>S</v>
      </c>
      <c r="AW43" s="3">
        <v>346</v>
      </c>
      <c r="AX43" s="3" t="str">
        <f>IFERROR(MID(VLOOKUP($B43,Seqs!$A:$B,2,FALSE),AY43,1),"")</f>
        <v>C</v>
      </c>
      <c r="AY43" s="3">
        <v>358</v>
      </c>
      <c r="AZ43" s="83" t="str">
        <f>VLOOKUP(B43,Classification!A:D,2,FALSE)</f>
        <v>A</v>
      </c>
      <c r="BC43" s="57">
        <f t="shared" si="88"/>
        <v>257</v>
      </c>
      <c r="BD43" s="63" t="b">
        <f t="shared" si="89"/>
        <v>1</v>
      </c>
      <c r="BE43" s="68" t="s">
        <v>1514</v>
      </c>
      <c r="BF43" s="75" t="s">
        <v>1514</v>
      </c>
      <c r="BG43" s="75" t="s">
        <v>1514</v>
      </c>
      <c r="BH43" s="75" t="s">
        <v>1514</v>
      </c>
      <c r="BI43" s="75" t="s">
        <v>1514</v>
      </c>
      <c r="BJ43" s="75" t="s">
        <v>1514</v>
      </c>
      <c r="BK43" s="75" t="s">
        <v>1514</v>
      </c>
      <c r="BL43" s="75" t="s">
        <v>1514</v>
      </c>
      <c r="BM43" s="75" t="s">
        <v>1514</v>
      </c>
      <c r="BN43" s="75" t="s">
        <v>1514</v>
      </c>
      <c r="BO43" s="75" t="s">
        <v>1514</v>
      </c>
      <c r="BP43" s="75" t="s">
        <v>1514</v>
      </c>
      <c r="BQ43" s="68">
        <f t="shared" si="62"/>
        <v>37</v>
      </c>
      <c r="BR43" s="69">
        <f t="shared" si="63"/>
        <v>70</v>
      </c>
      <c r="BS43" s="70">
        <f t="shared" si="64"/>
        <v>74</v>
      </c>
      <c r="BT43" s="69">
        <f t="shared" si="65"/>
        <v>106</v>
      </c>
      <c r="BU43" s="70">
        <f t="shared" si="66"/>
        <v>110</v>
      </c>
      <c r="BV43" s="69">
        <f t="shared" si="67"/>
        <v>146</v>
      </c>
      <c r="BW43" s="70">
        <f t="shared" si="68"/>
        <v>155</v>
      </c>
      <c r="BX43" s="69">
        <f t="shared" si="69"/>
        <v>199</v>
      </c>
      <c r="BY43" s="70">
        <f t="shared" si="70"/>
        <v>204</v>
      </c>
      <c r="BZ43" s="69">
        <f t="shared" si="71"/>
        <v>279</v>
      </c>
      <c r="CA43" s="70">
        <f t="shared" si="72"/>
        <v>321</v>
      </c>
      <c r="CB43" s="69">
        <f t="shared" si="73"/>
        <v>346</v>
      </c>
      <c r="CC43" s="68">
        <f t="shared" si="74"/>
        <v>69</v>
      </c>
      <c r="CD43" s="69">
        <f t="shared" si="75"/>
        <v>73</v>
      </c>
      <c r="CE43" s="70">
        <f t="shared" si="76"/>
        <v>104</v>
      </c>
      <c r="CF43" s="70">
        <f t="shared" si="77"/>
        <v>109</v>
      </c>
      <c r="CG43" s="70">
        <f t="shared" si="78"/>
        <v>145</v>
      </c>
      <c r="CH43" s="70">
        <f t="shared" si="79"/>
        <v>153</v>
      </c>
      <c r="CI43" s="70">
        <f t="shared" si="80"/>
        <v>180</v>
      </c>
      <c r="CJ43" s="70">
        <f t="shared" si="81"/>
        <v>201</v>
      </c>
      <c r="CK43" s="70">
        <f t="shared" si="82"/>
        <v>239</v>
      </c>
      <c r="CL43" s="70">
        <f t="shared" si="83"/>
        <v>316</v>
      </c>
      <c r="CM43" s="70">
        <f t="shared" si="84"/>
        <v>345</v>
      </c>
      <c r="CN43" s="70">
        <f t="shared" si="85"/>
        <v>358</v>
      </c>
      <c r="CO43" s="57">
        <f t="shared" si="86"/>
        <v>1</v>
      </c>
    </row>
    <row r="44" spans="1:93" x14ac:dyDescent="0.2">
      <c r="A44" s="3" t="str">
        <f t="shared" si="87"/>
        <v>adrb1_melga_4GPO</v>
      </c>
      <c r="B44" s="3" t="s">
        <v>1108</v>
      </c>
      <c r="C44" s="3" t="s">
        <v>1248</v>
      </c>
      <c r="D44" s="3" t="str">
        <f>IFERROR(MID(VLOOKUP($B44,Seqs!$A:$B,2,FALSE),E44,1),"")</f>
        <v>S</v>
      </c>
      <c r="E44" s="3">
        <v>37</v>
      </c>
      <c r="F44" s="3" t="str">
        <f>IFERROR(MID(VLOOKUP($B44,Seqs!$A:$B,2,FALSE),G44,1),"")</f>
        <v>T</v>
      </c>
      <c r="G44" s="3">
        <v>69</v>
      </c>
      <c r="H44" s="3" t="str">
        <f>IFERROR(MID(VLOOKUP($B44,Seqs!$A:$B,2,FALSE),I44,1),"")</f>
        <v>Q</v>
      </c>
      <c r="I44" s="57">
        <v>70</v>
      </c>
      <c r="J44" s="3" t="str">
        <f>IFERROR(MID(VLOOKUP($B44,Seqs!$A:$B,2,FALSE),K44,1),"")</f>
        <v>Q</v>
      </c>
      <c r="K44" s="57">
        <v>73</v>
      </c>
      <c r="L44" s="3" t="str">
        <f>IFERROR(MID(VLOOKUP($B44,Seqs!$A:$B,2,FALSE),M44,1),"")</f>
        <v>T</v>
      </c>
      <c r="M44" s="3">
        <v>74</v>
      </c>
      <c r="N44" s="3" t="str">
        <f>IFERROR(MID(VLOOKUP($B44,Seqs!$A:$B,2,FALSE),O44,1),"")</f>
        <v>R</v>
      </c>
      <c r="O44" s="3">
        <v>104</v>
      </c>
      <c r="P44" s="3" t="str">
        <f>IFERROR(MID(VLOOKUP($B44,Seqs!$A:$B,2,FALSE),Q44,1),"")</f>
        <v>T</v>
      </c>
      <c r="Q44" s="3">
        <v>106</v>
      </c>
      <c r="R44" s="3" t="str">
        <f>IFERROR(MID(VLOOKUP($B44,Seqs!$A:$B,2,FALSE),S44,1),"")</f>
        <v>W</v>
      </c>
      <c r="S44" s="3">
        <v>109</v>
      </c>
      <c r="T44" s="3" t="str">
        <f>IFERROR(MID(VLOOKUP($B44,Seqs!$A:$B,2,FALSE),U44,1),"")</f>
        <v>G</v>
      </c>
      <c r="U44" s="3">
        <v>110</v>
      </c>
      <c r="V44" s="3" t="str">
        <f>IFERROR(MID(VLOOKUP($B44,Seqs!$A:$B,2,FALSE),W44,1),"")</f>
        <v>S</v>
      </c>
      <c r="W44" s="3">
        <v>145</v>
      </c>
      <c r="X44" s="3" t="str">
        <f>IFERROR(MID(VLOOKUP($B44,Seqs!$A:$B,2,FALSE),Y44,1),"")</f>
        <v>P</v>
      </c>
      <c r="Y44" s="3">
        <v>146</v>
      </c>
      <c r="Z44" s="3" t="str">
        <f>IFERROR(MID(VLOOKUP($B44,Seqs!$A:$B,2,FALSE),AA44,1),"")</f>
        <v>M</v>
      </c>
      <c r="AA44" s="3">
        <v>153</v>
      </c>
      <c r="AB44" s="3" t="str">
        <f>IFERROR(MID(VLOOKUP($B44,Seqs!$A:$B,2,FALSE),AC44,1),"")</f>
        <v>R</v>
      </c>
      <c r="AC44" s="3">
        <v>155</v>
      </c>
      <c r="AD44" s="3" t="str">
        <f>IFERROR(MID(VLOOKUP($B44,Seqs!$A:$B,2,FALSE),AE44,1),"")</f>
        <v>H</v>
      </c>
      <c r="AE44" s="3">
        <v>180</v>
      </c>
      <c r="AF44" s="3" t="str">
        <f>IFERROR(MID(VLOOKUP($B44,Seqs!$A:$B,2,FALSE),AG44,1),"")</f>
        <v>C</v>
      </c>
      <c r="AG44" s="3">
        <v>199</v>
      </c>
      <c r="AH44" s="3" t="str">
        <f>IFERROR(MID(VLOOKUP($B44,Seqs!$A:$B,2,FALSE),AI44,1),"")</f>
        <v>F</v>
      </c>
      <c r="AI44" s="3">
        <v>201</v>
      </c>
      <c r="AJ44" s="3" t="str">
        <f>IFERROR(MID(VLOOKUP($B44,Seqs!$A:$B,2,FALSE),AK44,1),"")</f>
        <v>N</v>
      </c>
      <c r="AK44" s="3">
        <v>204</v>
      </c>
      <c r="AL44" s="3" t="str">
        <f>IFERROR(MID(VLOOKUP($B44,Seqs!$A:$B,2,FALSE),AM44,1),"")</f>
        <v>E</v>
      </c>
      <c r="AM44" s="3">
        <v>233</v>
      </c>
      <c r="AN44" s="3" t="str">
        <f>IFERROR(MID(VLOOKUP($B44,Seqs!$A:$B,2,FALSE),AO44,1),"")</f>
        <v>M</v>
      </c>
      <c r="AO44" s="3">
        <v>283</v>
      </c>
      <c r="AP44" s="3" t="str">
        <f>IFERROR(MID(VLOOKUP($B44,Seqs!$A:$B,2,FALSE),AQ44,1),"")</f>
        <v>N</v>
      </c>
      <c r="AQ44" s="3">
        <v>316</v>
      </c>
      <c r="AR44" s="3" t="str">
        <f>IFERROR(MID(VLOOKUP($B44,Seqs!$A:$B,2,FALSE),AS44,1),"")</f>
        <v>P</v>
      </c>
      <c r="AS44" s="3">
        <v>321</v>
      </c>
      <c r="AT44" s="3" t="str">
        <f>IFERROR(MID(VLOOKUP($B44,Seqs!$A:$B,2,FALSE),AU44,1),"")</f>
        <v>R</v>
      </c>
      <c r="AU44" s="3">
        <v>345</v>
      </c>
      <c r="AV44" s="3" t="str">
        <f>IFERROR(MID(VLOOKUP($B44,Seqs!$A:$B,2,FALSE),AW44,1),"")</f>
        <v>S</v>
      </c>
      <c r="AW44" s="3">
        <v>346</v>
      </c>
      <c r="AX44" s="3" t="str">
        <f>IFERROR(MID(VLOOKUP($B44,Seqs!$A:$B,2,FALSE),AY44,1),"")</f>
        <v>L</v>
      </c>
      <c r="AY44" s="3">
        <v>356</v>
      </c>
      <c r="AZ44" s="83" t="str">
        <f>VLOOKUP(B44,Classification!A:D,2,FALSE)</f>
        <v>A</v>
      </c>
      <c r="BC44" s="57">
        <f t="shared" si="88"/>
        <v>245</v>
      </c>
      <c r="BD44" s="63" t="b">
        <f t="shared" si="89"/>
        <v>1</v>
      </c>
      <c r="BE44" s="68" t="s">
        <v>1514</v>
      </c>
      <c r="BF44" s="75" t="s">
        <v>1514</v>
      </c>
      <c r="BG44" s="75" t="s">
        <v>1514</v>
      </c>
      <c r="BH44" s="75" t="s">
        <v>1514</v>
      </c>
      <c r="BI44" s="75" t="s">
        <v>1514</v>
      </c>
      <c r="BJ44" s="75" t="s">
        <v>1514</v>
      </c>
      <c r="BK44" s="75" t="s">
        <v>1514</v>
      </c>
      <c r="BL44" s="75" t="s">
        <v>1514</v>
      </c>
      <c r="BM44" s="75" t="s">
        <v>1514</v>
      </c>
      <c r="BN44" s="75" t="s">
        <v>1514</v>
      </c>
      <c r="BO44" s="75" t="s">
        <v>1514</v>
      </c>
      <c r="BP44" s="75" t="s">
        <v>1514</v>
      </c>
      <c r="BQ44" s="68">
        <f t="shared" si="62"/>
        <v>37</v>
      </c>
      <c r="BR44" s="69">
        <f t="shared" si="63"/>
        <v>70</v>
      </c>
      <c r="BS44" s="70">
        <f t="shared" si="64"/>
        <v>74</v>
      </c>
      <c r="BT44" s="69">
        <f t="shared" si="65"/>
        <v>106</v>
      </c>
      <c r="BU44" s="70">
        <f t="shared" si="66"/>
        <v>110</v>
      </c>
      <c r="BV44" s="69">
        <f t="shared" si="67"/>
        <v>146</v>
      </c>
      <c r="BW44" s="70">
        <f t="shared" si="68"/>
        <v>155</v>
      </c>
      <c r="BX44" s="69">
        <f t="shared" si="69"/>
        <v>199</v>
      </c>
      <c r="BY44" s="70">
        <f t="shared" si="70"/>
        <v>204</v>
      </c>
      <c r="BZ44" s="69">
        <f t="shared" si="71"/>
        <v>283</v>
      </c>
      <c r="CA44" s="70">
        <f t="shared" si="72"/>
        <v>321</v>
      </c>
      <c r="CB44" s="69">
        <f t="shared" si="73"/>
        <v>346</v>
      </c>
      <c r="CC44" s="68">
        <f t="shared" si="74"/>
        <v>69</v>
      </c>
      <c r="CD44" s="69">
        <f t="shared" si="75"/>
        <v>73</v>
      </c>
      <c r="CE44" s="70">
        <f t="shared" si="76"/>
        <v>104</v>
      </c>
      <c r="CF44" s="70">
        <f t="shared" si="77"/>
        <v>109</v>
      </c>
      <c r="CG44" s="70">
        <f t="shared" si="78"/>
        <v>145</v>
      </c>
      <c r="CH44" s="70">
        <f t="shared" si="79"/>
        <v>153</v>
      </c>
      <c r="CI44" s="70">
        <f t="shared" si="80"/>
        <v>180</v>
      </c>
      <c r="CJ44" s="70">
        <f t="shared" si="81"/>
        <v>201</v>
      </c>
      <c r="CK44" s="70">
        <f t="shared" si="82"/>
        <v>233</v>
      </c>
      <c r="CL44" s="70">
        <f t="shared" si="83"/>
        <v>316</v>
      </c>
      <c r="CM44" s="70">
        <f t="shared" si="84"/>
        <v>345</v>
      </c>
      <c r="CN44" s="70">
        <f t="shared" si="85"/>
        <v>356</v>
      </c>
      <c r="CO44" s="57">
        <f t="shared" si="86"/>
        <v>1</v>
      </c>
    </row>
    <row r="45" spans="1:93" x14ac:dyDescent="0.2">
      <c r="A45" s="3" t="str">
        <f t="shared" si="87"/>
        <v>adrb1_melga_5A8E</v>
      </c>
      <c r="B45" s="3" t="s">
        <v>1108</v>
      </c>
      <c r="C45" s="3" t="s">
        <v>1265</v>
      </c>
      <c r="D45" s="3" t="str">
        <f>IFERROR(MID(VLOOKUP($B45,Seqs!$A:$B,2,FALSE),E45,1),"")</f>
        <v>S</v>
      </c>
      <c r="E45" s="3">
        <v>37</v>
      </c>
      <c r="F45" s="3" t="str">
        <f>IFERROR(MID(VLOOKUP($B45,Seqs!$A:$B,2,FALSE),G45,1),"")</f>
        <v>T</v>
      </c>
      <c r="G45" s="3">
        <v>69</v>
      </c>
      <c r="H45" s="3" t="str">
        <f>IFERROR(MID(VLOOKUP($B45,Seqs!$A:$B,2,FALSE),I45,1),"")</f>
        <v>Q</v>
      </c>
      <c r="I45" s="57">
        <v>70</v>
      </c>
      <c r="J45" s="3" t="str">
        <f>IFERROR(MID(VLOOKUP($B45,Seqs!$A:$B,2,FALSE),K45,1),"")</f>
        <v>Q</v>
      </c>
      <c r="K45" s="57">
        <v>73</v>
      </c>
      <c r="L45" s="3" t="str">
        <f>IFERROR(MID(VLOOKUP($B45,Seqs!$A:$B,2,FALSE),M45,1),"")</f>
        <v>T</v>
      </c>
      <c r="M45" s="3">
        <v>74</v>
      </c>
      <c r="N45" s="3" t="str">
        <f>IFERROR(MID(VLOOKUP($B45,Seqs!$A:$B,2,FALSE),O45,1),"")</f>
        <v>R</v>
      </c>
      <c r="O45" s="3">
        <v>104</v>
      </c>
      <c r="P45" s="3" t="str">
        <f>IFERROR(MID(VLOOKUP($B45,Seqs!$A:$B,2,FALSE),Q45,1),"")</f>
        <v>T</v>
      </c>
      <c r="Q45" s="3">
        <v>106</v>
      </c>
      <c r="R45" s="3" t="str">
        <f>IFERROR(MID(VLOOKUP($B45,Seqs!$A:$B,2,FALSE),S45,1),"")</f>
        <v>W</v>
      </c>
      <c r="S45" s="3">
        <v>109</v>
      </c>
      <c r="T45" s="3" t="str">
        <f>IFERROR(MID(VLOOKUP($B45,Seqs!$A:$B,2,FALSE),U45,1),"")</f>
        <v>G</v>
      </c>
      <c r="U45" s="3">
        <v>110</v>
      </c>
      <c r="V45" s="3" t="str">
        <f>IFERROR(MID(VLOOKUP($B45,Seqs!$A:$B,2,FALSE),W45,1),"")</f>
        <v>S</v>
      </c>
      <c r="W45" s="3">
        <v>145</v>
      </c>
      <c r="X45" s="3" t="str">
        <f>IFERROR(MID(VLOOKUP($B45,Seqs!$A:$B,2,FALSE),Y45,1),"")</f>
        <v>P</v>
      </c>
      <c r="Y45" s="3">
        <v>146</v>
      </c>
      <c r="Z45" s="3" t="str">
        <f>IFERROR(MID(VLOOKUP($B45,Seqs!$A:$B,2,FALSE),AA45,1),"")</f>
        <v>M</v>
      </c>
      <c r="AA45" s="3">
        <v>153</v>
      </c>
      <c r="AB45" s="3" t="str">
        <f>IFERROR(MID(VLOOKUP($B45,Seqs!$A:$B,2,FALSE),AC45,1),"")</f>
        <v>R</v>
      </c>
      <c r="AC45" s="3">
        <v>155</v>
      </c>
      <c r="AD45" s="3" t="str">
        <f>IFERROR(MID(VLOOKUP($B45,Seqs!$A:$B,2,FALSE),AE45,1),"")</f>
        <v>H</v>
      </c>
      <c r="AE45" s="3">
        <v>180</v>
      </c>
      <c r="AF45" s="3" t="str">
        <f>IFERROR(MID(VLOOKUP($B45,Seqs!$A:$B,2,FALSE),AG45,1),"")</f>
        <v>C</v>
      </c>
      <c r="AG45" s="3">
        <v>199</v>
      </c>
      <c r="AH45" s="3" t="str">
        <f>IFERROR(MID(VLOOKUP($B45,Seqs!$A:$B,2,FALSE),AI45,1),"")</f>
        <v>F</v>
      </c>
      <c r="AI45" s="3">
        <v>201</v>
      </c>
      <c r="AJ45" s="3" t="str">
        <f>IFERROR(MID(VLOOKUP($B45,Seqs!$A:$B,2,FALSE),AK45,1),"")</f>
        <v>N</v>
      </c>
      <c r="AK45" s="3">
        <v>204</v>
      </c>
      <c r="AL45" s="3" t="str">
        <f>IFERROR(MID(VLOOKUP($B45,Seqs!$A:$B,2,FALSE),AM45,1),"")</f>
        <v>R</v>
      </c>
      <c r="AM45" s="3">
        <v>239</v>
      </c>
      <c r="AN45" s="3" t="str">
        <f>IFERROR(MID(VLOOKUP($B45,Seqs!$A:$B,2,FALSE),AO45,1),"")</f>
        <v>R</v>
      </c>
      <c r="AO45" s="3">
        <v>279</v>
      </c>
      <c r="AP45" s="3" t="str">
        <f>IFERROR(MID(VLOOKUP($B45,Seqs!$A:$B,2,FALSE),AQ45,1),"")</f>
        <v>N</v>
      </c>
      <c r="AQ45" s="3">
        <v>316</v>
      </c>
      <c r="AR45" s="3" t="str">
        <f>IFERROR(MID(VLOOKUP($B45,Seqs!$A:$B,2,FALSE),AS45,1),"")</f>
        <v>P</v>
      </c>
      <c r="AS45" s="3">
        <v>321</v>
      </c>
      <c r="AT45" s="3" t="str">
        <f>IFERROR(MID(VLOOKUP($B45,Seqs!$A:$B,2,FALSE),AU45,1),"")</f>
        <v>R</v>
      </c>
      <c r="AU45" s="3">
        <v>345</v>
      </c>
      <c r="AV45" s="3" t="str">
        <f>IFERROR(MID(VLOOKUP($B45,Seqs!$A:$B,2,FALSE),AW45,1),"")</f>
        <v>S</v>
      </c>
      <c r="AW45" s="3">
        <v>346</v>
      </c>
      <c r="AX45" s="3" t="str">
        <f>IFERROR(MID(VLOOKUP($B45,Seqs!$A:$B,2,FALSE),AY45,1),"")</f>
        <v>K</v>
      </c>
      <c r="AY45" s="3">
        <v>354</v>
      </c>
      <c r="AZ45" s="83" t="str">
        <f>VLOOKUP(B45,Classification!A:D,2,FALSE)</f>
        <v>A</v>
      </c>
      <c r="BC45" s="57">
        <f t="shared" si="88"/>
        <v>253</v>
      </c>
      <c r="BD45" s="63" t="b">
        <f t="shared" si="89"/>
        <v>1</v>
      </c>
      <c r="BE45" s="68" t="s">
        <v>1514</v>
      </c>
      <c r="BF45" s="75" t="s">
        <v>1514</v>
      </c>
      <c r="BG45" s="75" t="s">
        <v>1514</v>
      </c>
      <c r="BH45" s="75" t="s">
        <v>1514</v>
      </c>
      <c r="BI45" s="75" t="s">
        <v>1514</v>
      </c>
      <c r="BJ45" s="75" t="s">
        <v>1514</v>
      </c>
      <c r="BK45" s="75" t="s">
        <v>1514</v>
      </c>
      <c r="BL45" s="75" t="s">
        <v>1514</v>
      </c>
      <c r="BM45" s="75" t="s">
        <v>1514</v>
      </c>
      <c r="BN45" s="75" t="s">
        <v>1514</v>
      </c>
      <c r="BO45" s="75" t="s">
        <v>1514</v>
      </c>
      <c r="BP45" s="75" t="s">
        <v>1514</v>
      </c>
      <c r="BQ45" s="68">
        <f t="shared" si="62"/>
        <v>37</v>
      </c>
      <c r="BR45" s="69">
        <f t="shared" si="63"/>
        <v>70</v>
      </c>
      <c r="BS45" s="70">
        <f t="shared" si="64"/>
        <v>74</v>
      </c>
      <c r="BT45" s="69">
        <f t="shared" si="65"/>
        <v>106</v>
      </c>
      <c r="BU45" s="70">
        <f t="shared" si="66"/>
        <v>110</v>
      </c>
      <c r="BV45" s="69">
        <f t="shared" si="67"/>
        <v>146</v>
      </c>
      <c r="BW45" s="70">
        <f t="shared" si="68"/>
        <v>155</v>
      </c>
      <c r="BX45" s="69">
        <f t="shared" si="69"/>
        <v>199</v>
      </c>
      <c r="BY45" s="70">
        <f t="shared" si="70"/>
        <v>204</v>
      </c>
      <c r="BZ45" s="69">
        <f t="shared" si="71"/>
        <v>279</v>
      </c>
      <c r="CA45" s="70">
        <f t="shared" si="72"/>
        <v>321</v>
      </c>
      <c r="CB45" s="69">
        <f t="shared" si="73"/>
        <v>346</v>
      </c>
      <c r="CC45" s="68">
        <f t="shared" si="74"/>
        <v>69</v>
      </c>
      <c r="CD45" s="69">
        <f t="shared" si="75"/>
        <v>73</v>
      </c>
      <c r="CE45" s="70">
        <f t="shared" si="76"/>
        <v>104</v>
      </c>
      <c r="CF45" s="70">
        <f t="shared" si="77"/>
        <v>109</v>
      </c>
      <c r="CG45" s="70">
        <f t="shared" si="78"/>
        <v>145</v>
      </c>
      <c r="CH45" s="70">
        <f t="shared" si="79"/>
        <v>153</v>
      </c>
      <c r="CI45" s="70">
        <f t="shared" si="80"/>
        <v>180</v>
      </c>
      <c r="CJ45" s="70">
        <f t="shared" si="81"/>
        <v>201</v>
      </c>
      <c r="CK45" s="70">
        <f t="shared" si="82"/>
        <v>239</v>
      </c>
      <c r="CL45" s="70">
        <f t="shared" si="83"/>
        <v>316</v>
      </c>
      <c r="CM45" s="70">
        <f t="shared" si="84"/>
        <v>345</v>
      </c>
      <c r="CN45" s="70">
        <f t="shared" si="85"/>
        <v>354</v>
      </c>
      <c r="CO45" s="57">
        <f t="shared" si="86"/>
        <v>1</v>
      </c>
    </row>
    <row r="46" spans="1:93" x14ac:dyDescent="0.2">
      <c r="A46" s="3" t="str">
        <f t="shared" si="87"/>
        <v>adrb2_human__wt</v>
      </c>
      <c r="B46" s="3" t="s">
        <v>320</v>
      </c>
      <c r="C46" s="3" t="s">
        <v>294</v>
      </c>
      <c r="D46" s="3" t="str">
        <f>IFERROR(MID(VLOOKUP($B46,Seqs!$A:$B,2,FALSE),E46,1),"")</f>
        <v>Q</v>
      </c>
      <c r="E46" s="3">
        <v>26</v>
      </c>
      <c r="F46" s="3" t="str">
        <f>IFERROR(MID(VLOOKUP($B46,Seqs!$A:$B,2,FALSE),G46,1),"")</f>
        <v>F</v>
      </c>
      <c r="G46" s="3">
        <v>61</v>
      </c>
      <c r="H46" s="3" t="str">
        <f>IFERROR(MID(VLOOKUP($B46,Seqs!$A:$B,2,FALSE),I46,1),"")</f>
        <v>E</v>
      </c>
      <c r="I46" s="57">
        <v>62</v>
      </c>
      <c r="J46" s="3" t="str">
        <f>IFERROR(MID(VLOOKUP($B46,Seqs!$A:$B,2,FALSE),K46,1),"")</f>
        <v>Q</v>
      </c>
      <c r="K46" s="57">
        <v>65</v>
      </c>
      <c r="L46" s="3" t="str">
        <f>IFERROR(MID(VLOOKUP($B46,Seqs!$A:$B,2,FALSE),M46,1),"")</f>
        <v>T</v>
      </c>
      <c r="M46" s="3">
        <v>66</v>
      </c>
      <c r="N46" s="3" t="str">
        <f>IFERROR(MID(VLOOKUP($B46,Seqs!$A:$B,2,FALSE),O46,1),"")</f>
        <v>M</v>
      </c>
      <c r="O46" s="3">
        <v>96</v>
      </c>
      <c r="P46" s="3" t="str">
        <f>IFERROR(MID(VLOOKUP($B46,Seqs!$A:$B,2,FALSE),Q46,1),"")</f>
        <v>M</v>
      </c>
      <c r="Q46" s="3">
        <v>98</v>
      </c>
      <c r="R46" s="3" t="str">
        <f>IFERROR(MID(VLOOKUP($B46,Seqs!$A:$B,2,FALSE),S46,1),"")</f>
        <v>F</v>
      </c>
      <c r="S46" s="3">
        <v>101</v>
      </c>
      <c r="T46" s="3" t="str">
        <f>IFERROR(MID(VLOOKUP($B46,Seqs!$A:$B,2,FALSE),U46,1),"")</f>
        <v>G</v>
      </c>
      <c r="U46" s="3">
        <v>102</v>
      </c>
      <c r="V46" s="3" t="str">
        <f>IFERROR(MID(VLOOKUP($B46,Seqs!$A:$B,2,FALSE),W46,1),"")</f>
        <v>S</v>
      </c>
      <c r="W46" s="3">
        <v>137</v>
      </c>
      <c r="X46" s="3" t="str">
        <f>IFERROR(MID(VLOOKUP($B46,Seqs!$A:$B,2,FALSE),Y46,1),"")</f>
        <v>P</v>
      </c>
      <c r="Y46" s="3">
        <v>138</v>
      </c>
      <c r="Z46" s="3" t="str">
        <f>IFERROR(MID(VLOOKUP($B46,Seqs!$A:$B,2,FALSE),AA46,1),"")</f>
        <v>L</v>
      </c>
      <c r="AA46" s="3">
        <v>145</v>
      </c>
      <c r="AB46" s="3" t="str">
        <f>IFERROR(MID(VLOOKUP($B46,Seqs!$A:$B,2,FALSE),AC46,1),"")</f>
        <v>K</v>
      </c>
      <c r="AC46" s="3">
        <v>147</v>
      </c>
      <c r="AD46" s="3" t="str">
        <f>IFERROR(MID(VLOOKUP($B46,Seqs!$A:$B,2,FALSE),AE46,1),"")</f>
        <v>H</v>
      </c>
      <c r="AE46" s="3">
        <v>172</v>
      </c>
      <c r="AF46" s="3" t="str">
        <f>IFERROR(MID(VLOOKUP($B46,Seqs!$A:$B,2,FALSE),AG46,1),"")</f>
        <v>C</v>
      </c>
      <c r="AG46" s="3">
        <v>191</v>
      </c>
      <c r="AH46" s="3" t="str">
        <f>IFERROR(MID(VLOOKUP($B46,Seqs!$A:$B,2,FALSE),AI46,1),"")</f>
        <v>F</v>
      </c>
      <c r="AI46" s="3">
        <v>193</v>
      </c>
      <c r="AJ46" s="3" t="str">
        <f>IFERROR(MID(VLOOKUP($B46,Seqs!$A:$B,2,FALSE),AK46,1),"")</f>
        <v>N</v>
      </c>
      <c r="AK46" s="3">
        <v>196</v>
      </c>
      <c r="AL46" s="3" t="str">
        <f>IFERROR(MID(VLOOKUP($B46,Seqs!$A:$B,2,FALSE),AM46,1),"")</f>
        <v>E</v>
      </c>
      <c r="AM46" s="3">
        <v>237</v>
      </c>
      <c r="AN46" s="3" t="str">
        <f>IFERROR(MID(VLOOKUP($B46,Seqs!$A:$B,2,FALSE),AO46,1),"")</f>
        <v>S</v>
      </c>
      <c r="AO46" s="3">
        <v>262</v>
      </c>
      <c r="AP46" s="3" t="str">
        <f>IFERROR(MID(VLOOKUP($B46,Seqs!$A:$B,2,FALSE),AQ46,1),"")</f>
        <v>Q</v>
      </c>
      <c r="AQ46" s="3">
        <v>299</v>
      </c>
      <c r="AR46" s="3" t="str">
        <f>IFERROR(MID(VLOOKUP($B46,Seqs!$A:$B,2,FALSE),AS46,1),"")</f>
        <v>R</v>
      </c>
      <c r="AS46" s="3">
        <v>304</v>
      </c>
      <c r="AT46" s="3" t="str">
        <f>IFERROR(MID(VLOOKUP($B46,Seqs!$A:$B,2,FALSE),AU46,1),"")</f>
        <v>R</v>
      </c>
      <c r="AU46" s="3">
        <v>328</v>
      </c>
      <c r="AV46" s="3" t="str">
        <f>IFERROR(MID(VLOOKUP($B46,Seqs!$A:$B,2,FALSE),AW46,1),"")</f>
        <v>S</v>
      </c>
      <c r="AW46" s="3">
        <v>329</v>
      </c>
      <c r="AX46" s="3" t="str">
        <f>IFERROR(MID(VLOOKUP($B46,Seqs!$A:$B,2,FALSE),AY46,1),"")</f>
        <v>C</v>
      </c>
      <c r="AY46" s="3">
        <v>341</v>
      </c>
      <c r="AZ46" s="83" t="str">
        <f>VLOOKUP(B46,Classification!A:D,2,FALSE)</f>
        <v>A</v>
      </c>
      <c r="BA46" s="3" t="s">
        <v>1385</v>
      </c>
      <c r="BB46" s="82">
        <f>S46-Q46+1</f>
        <v>4</v>
      </c>
      <c r="BC46" s="57">
        <f t="shared" si="88"/>
        <v>266</v>
      </c>
      <c r="BD46" s="63" t="b">
        <f t="shared" si="89"/>
        <v>1</v>
      </c>
      <c r="BE46" s="68" t="s">
        <v>1514</v>
      </c>
      <c r="BF46" s="75" t="s">
        <v>1514</v>
      </c>
      <c r="BG46" s="75" t="s">
        <v>1514</v>
      </c>
      <c r="BH46" s="75" t="s">
        <v>1514</v>
      </c>
      <c r="BI46" s="75" t="s">
        <v>1514</v>
      </c>
      <c r="BJ46" s="75" t="s">
        <v>1514</v>
      </c>
      <c r="BK46" s="75" t="s">
        <v>1514</v>
      </c>
      <c r="BL46" s="75" t="s">
        <v>1514</v>
      </c>
      <c r="BM46" s="75" t="s">
        <v>1514</v>
      </c>
      <c r="BN46" s="75" t="s">
        <v>1514</v>
      </c>
      <c r="BO46" s="75" t="s">
        <v>1514</v>
      </c>
      <c r="BP46" s="75" t="s">
        <v>1514</v>
      </c>
      <c r="BQ46" s="68">
        <f t="shared" si="62"/>
        <v>26</v>
      </c>
      <c r="BR46" s="69">
        <f t="shared" si="63"/>
        <v>62</v>
      </c>
      <c r="BS46" s="70">
        <f t="shared" si="64"/>
        <v>66</v>
      </c>
      <c r="BT46" s="69">
        <f t="shared" si="65"/>
        <v>98</v>
      </c>
      <c r="BU46" s="70">
        <f t="shared" si="66"/>
        <v>102</v>
      </c>
      <c r="BV46" s="69">
        <f t="shared" si="67"/>
        <v>138</v>
      </c>
      <c r="BW46" s="70">
        <f t="shared" si="68"/>
        <v>147</v>
      </c>
      <c r="BX46" s="69">
        <f t="shared" si="69"/>
        <v>191</v>
      </c>
      <c r="BY46" s="70">
        <f t="shared" si="70"/>
        <v>196</v>
      </c>
      <c r="BZ46" s="69">
        <f t="shared" si="71"/>
        <v>262</v>
      </c>
      <c r="CA46" s="70">
        <f t="shared" si="72"/>
        <v>304</v>
      </c>
      <c r="CB46" s="69">
        <f t="shared" si="73"/>
        <v>329</v>
      </c>
      <c r="CC46" s="68">
        <f t="shared" si="74"/>
        <v>61</v>
      </c>
      <c r="CD46" s="69">
        <f t="shared" si="75"/>
        <v>65</v>
      </c>
      <c r="CE46" s="70">
        <f t="shared" si="76"/>
        <v>96</v>
      </c>
      <c r="CF46" s="70">
        <f t="shared" si="77"/>
        <v>101</v>
      </c>
      <c r="CG46" s="70">
        <f t="shared" si="78"/>
        <v>137</v>
      </c>
      <c r="CH46" s="70">
        <f t="shared" si="79"/>
        <v>145</v>
      </c>
      <c r="CI46" s="70">
        <f t="shared" si="80"/>
        <v>172</v>
      </c>
      <c r="CJ46" s="70">
        <f t="shared" si="81"/>
        <v>193</v>
      </c>
      <c r="CK46" s="70">
        <f t="shared" si="82"/>
        <v>237</v>
      </c>
      <c r="CL46" s="70">
        <f t="shared" si="83"/>
        <v>299</v>
      </c>
      <c r="CM46" s="70">
        <f t="shared" si="84"/>
        <v>328</v>
      </c>
      <c r="CN46" s="70">
        <f t="shared" si="85"/>
        <v>341</v>
      </c>
      <c r="CO46" s="57">
        <f t="shared" si="86"/>
        <v>1</v>
      </c>
    </row>
    <row r="47" spans="1:93" x14ac:dyDescent="0.2">
      <c r="A47" s="3" t="str">
        <f t="shared" si="87"/>
        <v>adrb2_human_2RH1</v>
      </c>
      <c r="B47" s="3" t="s">
        <v>320</v>
      </c>
      <c r="C47" s="3" t="s">
        <v>266</v>
      </c>
      <c r="D47" s="3" t="str">
        <f>IFERROR(MID(VLOOKUP($B47,Seqs!$A:$B,2,FALSE),E47,1),"")</f>
        <v>D</v>
      </c>
      <c r="E47" s="3">
        <v>29</v>
      </c>
      <c r="F47" s="3" t="str">
        <f>IFERROR(MID(VLOOKUP($B47,Seqs!$A:$B,2,FALSE),G47,1),"")</f>
        <v>F</v>
      </c>
      <c r="G47" s="3">
        <v>61</v>
      </c>
      <c r="H47" s="3" t="str">
        <f>IFERROR(MID(VLOOKUP($B47,Seqs!$A:$B,2,FALSE),I47,1),"")</f>
        <v>E</v>
      </c>
      <c r="I47" s="57">
        <v>62</v>
      </c>
      <c r="J47" s="3" t="str">
        <f>IFERROR(MID(VLOOKUP($B47,Seqs!$A:$B,2,FALSE),K47,1),"")</f>
        <v>Q</v>
      </c>
      <c r="K47" s="57">
        <v>65</v>
      </c>
      <c r="L47" s="3" t="str">
        <f>IFERROR(MID(VLOOKUP($B47,Seqs!$A:$B,2,FALSE),M47,1),"")</f>
        <v>T</v>
      </c>
      <c r="M47" s="3">
        <v>66</v>
      </c>
      <c r="N47" s="3" t="str">
        <f>IFERROR(MID(VLOOKUP($B47,Seqs!$A:$B,2,FALSE),O47,1),"")</f>
        <v>M</v>
      </c>
      <c r="O47" s="3">
        <v>96</v>
      </c>
      <c r="P47" s="3" t="str">
        <f>IFERROR(MID(VLOOKUP($B47,Seqs!$A:$B,2,FALSE),Q47,1),"")</f>
        <v>M</v>
      </c>
      <c r="Q47" s="3">
        <v>98</v>
      </c>
      <c r="R47" s="3" t="str">
        <f>IFERROR(MID(VLOOKUP($B47,Seqs!$A:$B,2,FALSE),S47,1),"")</f>
        <v>F</v>
      </c>
      <c r="S47" s="3">
        <v>101</v>
      </c>
      <c r="T47" s="3" t="str">
        <f>IFERROR(MID(VLOOKUP($B47,Seqs!$A:$B,2,FALSE),U47,1),"")</f>
        <v>G</v>
      </c>
      <c r="U47" s="3">
        <v>102</v>
      </c>
      <c r="V47" s="3" t="str">
        <f>IFERROR(MID(VLOOKUP($B47,Seqs!$A:$B,2,FALSE),W47,1),"")</f>
        <v>S</v>
      </c>
      <c r="W47" s="3">
        <v>137</v>
      </c>
      <c r="X47" s="3" t="str">
        <f>IFERROR(MID(VLOOKUP($B47,Seqs!$A:$B,2,FALSE),Y47,1),"")</f>
        <v/>
      </c>
      <c r="Y47" s="3" t="s">
        <v>129</v>
      </c>
      <c r="Z47" s="3" t="str">
        <f>IFERROR(MID(VLOOKUP($B47,Seqs!$A:$B,2,FALSE),AA47,1),"")</f>
        <v/>
      </c>
      <c r="AA47" s="3" t="s">
        <v>129</v>
      </c>
      <c r="AB47" s="3" t="str">
        <f>IFERROR(MID(VLOOKUP($B47,Seqs!$A:$B,2,FALSE),AC47,1),"")</f>
        <v>K</v>
      </c>
      <c r="AC47" s="3">
        <v>147</v>
      </c>
      <c r="AD47" s="3" t="str">
        <f>IFERROR(MID(VLOOKUP($B47,Seqs!$A:$B,2,FALSE),AE47,1),"")</f>
        <v>H</v>
      </c>
      <c r="AE47" s="3">
        <v>172</v>
      </c>
      <c r="AF47" s="3" t="str">
        <f>IFERROR(MID(VLOOKUP($B47,Seqs!$A:$B,2,FALSE),AG47,1),"")</f>
        <v>C</v>
      </c>
      <c r="AG47" s="3">
        <v>191</v>
      </c>
      <c r="AH47" s="3" t="str">
        <f>IFERROR(MID(VLOOKUP($B47,Seqs!$A:$B,2,FALSE),AI47,1),"")</f>
        <v>F</v>
      </c>
      <c r="AI47" s="3">
        <v>193</v>
      </c>
      <c r="AJ47" s="3" t="str">
        <f>IFERROR(MID(VLOOKUP($B47,Seqs!$A:$B,2,FALSE),AK47,1),"")</f>
        <v>A</v>
      </c>
      <c r="AK47" s="3">
        <v>198</v>
      </c>
      <c r="AL47" s="3" t="str">
        <f>IFERROR(MID(VLOOKUP($B47,Seqs!$A:$B,2,FALSE),AM47,1),"")</f>
        <v>Q</v>
      </c>
      <c r="AM47" s="3">
        <v>229</v>
      </c>
      <c r="AN47" s="3" t="str">
        <f>IFERROR(MID(VLOOKUP($B47,Seqs!$A:$B,2,FALSE),AO47,1),"")</f>
        <v>K</v>
      </c>
      <c r="AO47" s="3">
        <v>267</v>
      </c>
      <c r="AP47" s="3" t="str">
        <f>IFERROR(MID(VLOOKUP($B47,Seqs!$A:$B,2,FALSE),AQ47,1),"")</f>
        <v>Q</v>
      </c>
      <c r="AQ47" s="3">
        <v>299</v>
      </c>
      <c r="AR47" s="3" t="str">
        <f>IFERROR(MID(VLOOKUP($B47,Seqs!$A:$B,2,FALSE),AS47,1),"")</f>
        <v>R</v>
      </c>
      <c r="AS47" s="3">
        <v>304</v>
      </c>
      <c r="AT47" s="3" t="str">
        <f>IFERROR(MID(VLOOKUP($B47,Seqs!$A:$B,2,FALSE),AU47,1),"")</f>
        <v>R</v>
      </c>
      <c r="AU47" s="3">
        <v>328</v>
      </c>
      <c r="AV47" s="3" t="str">
        <f>IFERROR(MID(VLOOKUP($B47,Seqs!$A:$B,2,FALSE),AW47,1),"")</f>
        <v>S</v>
      </c>
      <c r="AW47" s="3">
        <v>329</v>
      </c>
      <c r="AX47" s="3" t="str">
        <f>IFERROR(MID(VLOOKUP($B47,Seqs!$A:$B,2,FALSE),AY47,1),"")</f>
        <v>C</v>
      </c>
      <c r="AY47" s="3">
        <v>341</v>
      </c>
      <c r="AZ47" s="83" t="str">
        <f>VLOOKUP(B47,Classification!A:D,2,FALSE)</f>
        <v>A</v>
      </c>
      <c r="BC47" s="57">
        <f t="shared" si="88"/>
        <v>241</v>
      </c>
      <c r="BD47" s="63" t="b">
        <f t="shared" si="89"/>
        <v>1</v>
      </c>
      <c r="BE47" s="68" t="s">
        <v>1514</v>
      </c>
      <c r="BF47" s="75" t="s">
        <v>1514</v>
      </c>
      <c r="BG47" s="75" t="s">
        <v>1514</v>
      </c>
      <c r="BH47" s="75" t="s">
        <v>1514</v>
      </c>
      <c r="BI47" s="75" t="s">
        <v>1514</v>
      </c>
      <c r="BJ47" s="75" t="s">
        <v>1514</v>
      </c>
      <c r="BK47" s="75" t="s">
        <v>1514</v>
      </c>
      <c r="BL47" s="75" t="s">
        <v>1514</v>
      </c>
      <c r="BM47" s="75" t="s">
        <v>1514</v>
      </c>
      <c r="BN47" s="75" t="s">
        <v>1514</v>
      </c>
      <c r="BO47" s="75" t="s">
        <v>1514</v>
      </c>
      <c r="BP47" s="75" t="s">
        <v>1514</v>
      </c>
      <c r="BQ47" s="68">
        <f t="shared" si="62"/>
        <v>29</v>
      </c>
      <c r="BR47" s="69">
        <f t="shared" si="63"/>
        <v>62</v>
      </c>
      <c r="BS47" s="70">
        <f t="shared" si="64"/>
        <v>66</v>
      </c>
      <c r="BT47" s="69">
        <f t="shared" si="65"/>
        <v>98</v>
      </c>
      <c r="BU47" s="70">
        <f t="shared" si="66"/>
        <v>102</v>
      </c>
      <c r="BV47" s="69" t="str">
        <f t="shared" si="67"/>
        <v>-</v>
      </c>
      <c r="BW47" s="70">
        <f t="shared" si="68"/>
        <v>147</v>
      </c>
      <c r="BX47" s="69">
        <f t="shared" si="69"/>
        <v>191</v>
      </c>
      <c r="BY47" s="70">
        <f t="shared" si="70"/>
        <v>198</v>
      </c>
      <c r="BZ47" s="69">
        <f t="shared" si="71"/>
        <v>267</v>
      </c>
      <c r="CA47" s="70">
        <f t="shared" si="72"/>
        <v>304</v>
      </c>
      <c r="CB47" s="69">
        <f t="shared" si="73"/>
        <v>329</v>
      </c>
      <c r="CC47" s="68">
        <f t="shared" si="74"/>
        <v>61</v>
      </c>
      <c r="CD47" s="69">
        <f t="shared" si="75"/>
        <v>65</v>
      </c>
      <c r="CE47" s="70">
        <f t="shared" si="76"/>
        <v>96</v>
      </c>
      <c r="CF47" s="70">
        <f t="shared" si="77"/>
        <v>101</v>
      </c>
      <c r="CG47" s="70">
        <f t="shared" si="78"/>
        <v>137</v>
      </c>
      <c r="CH47" s="70" t="str">
        <f t="shared" si="79"/>
        <v>-</v>
      </c>
      <c r="CI47" s="70">
        <f t="shared" si="80"/>
        <v>172</v>
      </c>
      <c r="CJ47" s="70">
        <f t="shared" si="81"/>
        <v>193</v>
      </c>
      <c r="CK47" s="70">
        <f t="shared" si="82"/>
        <v>229</v>
      </c>
      <c r="CL47" s="70">
        <f t="shared" si="83"/>
        <v>299</v>
      </c>
      <c r="CM47" s="70">
        <f t="shared" si="84"/>
        <v>328</v>
      </c>
      <c r="CN47" s="70">
        <f t="shared" si="85"/>
        <v>341</v>
      </c>
      <c r="CO47" s="57">
        <f t="shared" si="86"/>
        <v>1</v>
      </c>
    </row>
    <row r="48" spans="1:93" x14ac:dyDescent="0.2">
      <c r="A48" s="3" t="str">
        <f t="shared" si="87"/>
        <v>adrb2_human_3D4S</v>
      </c>
      <c r="B48" s="3" t="s">
        <v>320</v>
      </c>
      <c r="C48" s="3" t="s">
        <v>267</v>
      </c>
      <c r="D48" s="3" t="str">
        <f>IFERROR(MID(VLOOKUP($B48,Seqs!$A:$B,2,FALSE),E48,1),"")</f>
        <v>W</v>
      </c>
      <c r="E48" s="3">
        <v>32</v>
      </c>
      <c r="F48" s="3" t="str">
        <f>IFERROR(MID(VLOOKUP($B48,Seqs!$A:$B,2,FALSE),G48,1),"")</f>
        <v>F</v>
      </c>
      <c r="G48" s="3">
        <v>61</v>
      </c>
      <c r="H48" s="3" t="str">
        <f>IFERROR(MID(VLOOKUP($B48,Seqs!$A:$B,2,FALSE),I48,1),"")</f>
        <v>E</v>
      </c>
      <c r="I48" s="57">
        <v>62</v>
      </c>
      <c r="J48" s="3" t="str">
        <f>IFERROR(MID(VLOOKUP($B48,Seqs!$A:$B,2,FALSE),K48,1),"")</f>
        <v>Q</v>
      </c>
      <c r="K48" s="57">
        <v>65</v>
      </c>
      <c r="L48" s="3" t="str">
        <f>IFERROR(MID(VLOOKUP($B48,Seqs!$A:$B,2,FALSE),M48,1),"")</f>
        <v>T</v>
      </c>
      <c r="M48" s="3">
        <v>66</v>
      </c>
      <c r="N48" s="3" t="str">
        <f>IFERROR(MID(VLOOKUP($B48,Seqs!$A:$B,2,FALSE),O48,1),"")</f>
        <v>M</v>
      </c>
      <c r="O48" s="3">
        <v>96</v>
      </c>
      <c r="P48" s="3" t="str">
        <f>IFERROR(MID(VLOOKUP($B48,Seqs!$A:$B,2,FALSE),Q48,1),"")</f>
        <v>M</v>
      </c>
      <c r="Q48" s="3">
        <v>98</v>
      </c>
      <c r="R48" s="3" t="str">
        <f>IFERROR(MID(VLOOKUP($B48,Seqs!$A:$B,2,FALSE),S48,1),"")</f>
        <v>F</v>
      </c>
      <c r="S48" s="3">
        <v>101</v>
      </c>
      <c r="T48" s="3" t="str">
        <f>IFERROR(MID(VLOOKUP($B48,Seqs!$A:$B,2,FALSE),U48,1),"")</f>
        <v>G</v>
      </c>
      <c r="U48" s="3">
        <v>102</v>
      </c>
      <c r="V48" s="3" t="str">
        <f>IFERROR(MID(VLOOKUP($B48,Seqs!$A:$B,2,FALSE),W48,1),"")</f>
        <v>S</v>
      </c>
      <c r="W48" s="3">
        <v>137</v>
      </c>
      <c r="X48" s="3" t="str">
        <f>IFERROR(MID(VLOOKUP($B48,Seqs!$A:$B,2,FALSE),Y48,1),"")</f>
        <v/>
      </c>
      <c r="Y48" s="3" t="s">
        <v>129</v>
      </c>
      <c r="Z48" s="3" t="str">
        <f>IFERROR(MID(VLOOKUP($B48,Seqs!$A:$B,2,FALSE),AA48,1),"")</f>
        <v/>
      </c>
      <c r="AA48" s="3" t="s">
        <v>129</v>
      </c>
      <c r="AB48" s="3" t="str">
        <f>IFERROR(MID(VLOOKUP($B48,Seqs!$A:$B,2,FALSE),AC48,1),"")</f>
        <v>K</v>
      </c>
      <c r="AC48" s="3">
        <v>147</v>
      </c>
      <c r="AD48" s="3" t="str">
        <f>IFERROR(MID(VLOOKUP($B48,Seqs!$A:$B,2,FALSE),AE48,1),"")</f>
        <v>H</v>
      </c>
      <c r="AE48" s="3">
        <v>172</v>
      </c>
      <c r="AF48" s="3" t="str">
        <f>IFERROR(MID(VLOOKUP($B48,Seqs!$A:$B,2,FALSE),AG48,1),"")</f>
        <v>C</v>
      </c>
      <c r="AG48" s="3">
        <v>191</v>
      </c>
      <c r="AH48" s="3" t="str">
        <f>IFERROR(MID(VLOOKUP($B48,Seqs!$A:$B,2,FALSE),AI48,1),"")</f>
        <v>F</v>
      </c>
      <c r="AI48" s="3">
        <v>193</v>
      </c>
      <c r="AJ48" s="3" t="str">
        <f>IFERROR(MID(VLOOKUP($B48,Seqs!$A:$B,2,FALSE),AK48,1),"")</f>
        <v>A</v>
      </c>
      <c r="AK48" s="3">
        <v>198</v>
      </c>
      <c r="AL48" s="3" t="str">
        <f>IFERROR(MID(VLOOKUP($B48,Seqs!$A:$B,2,FALSE),AM48,1),"")</f>
        <v>Q</v>
      </c>
      <c r="AM48" s="3">
        <v>229</v>
      </c>
      <c r="AN48" s="3" t="str">
        <f>IFERROR(MID(VLOOKUP($B48,Seqs!$A:$B,2,FALSE),AO48,1),"")</f>
        <v>K</v>
      </c>
      <c r="AO48" s="3">
        <v>267</v>
      </c>
      <c r="AP48" s="3" t="str">
        <f>IFERROR(MID(VLOOKUP($B48,Seqs!$A:$B,2,FALSE),AQ48,1),"")</f>
        <v>Q</v>
      </c>
      <c r="AQ48" s="3">
        <v>299</v>
      </c>
      <c r="AR48" s="3" t="str">
        <f>IFERROR(MID(VLOOKUP($B48,Seqs!$A:$B,2,FALSE),AS48,1),"")</f>
        <v>R</v>
      </c>
      <c r="AS48" s="3">
        <v>304</v>
      </c>
      <c r="AT48" s="3" t="str">
        <f>IFERROR(MID(VLOOKUP($B48,Seqs!$A:$B,2,FALSE),AU48,1),"")</f>
        <v>R</v>
      </c>
      <c r="AU48" s="3">
        <v>328</v>
      </c>
      <c r="AV48" s="3" t="str">
        <f>IFERROR(MID(VLOOKUP($B48,Seqs!$A:$B,2,FALSE),AW48,1),"")</f>
        <v>S</v>
      </c>
      <c r="AW48" s="3">
        <v>329</v>
      </c>
      <c r="AX48" s="3" t="str">
        <f>IFERROR(MID(VLOOKUP($B48,Seqs!$A:$B,2,FALSE),AY48,1),"")</f>
        <v>C</v>
      </c>
      <c r="AY48" s="3">
        <v>341</v>
      </c>
      <c r="AZ48" s="83" t="str">
        <f>VLOOKUP(B48,Classification!A:D,2,FALSE)</f>
        <v>A</v>
      </c>
      <c r="BC48" s="57">
        <f t="shared" si="88"/>
        <v>238</v>
      </c>
      <c r="BD48" s="63" t="b">
        <f t="shared" si="89"/>
        <v>1</v>
      </c>
      <c r="BE48" s="68" t="s">
        <v>1514</v>
      </c>
      <c r="BF48" s="75" t="s">
        <v>1514</v>
      </c>
      <c r="BG48" s="75" t="s">
        <v>1514</v>
      </c>
      <c r="BH48" s="75" t="s">
        <v>1514</v>
      </c>
      <c r="BI48" s="75" t="s">
        <v>1514</v>
      </c>
      <c r="BJ48" s="75" t="s">
        <v>1514</v>
      </c>
      <c r="BK48" s="75" t="s">
        <v>1514</v>
      </c>
      <c r="BL48" s="75" t="s">
        <v>1514</v>
      </c>
      <c r="BM48" s="75" t="s">
        <v>1514</v>
      </c>
      <c r="BN48" s="75" t="s">
        <v>1514</v>
      </c>
      <c r="BO48" s="75" t="s">
        <v>1514</v>
      </c>
      <c r="BP48" s="75" t="s">
        <v>1514</v>
      </c>
      <c r="BQ48" s="68">
        <f t="shared" si="62"/>
        <v>32</v>
      </c>
      <c r="BR48" s="69">
        <f t="shared" si="63"/>
        <v>62</v>
      </c>
      <c r="BS48" s="70">
        <f t="shared" si="64"/>
        <v>66</v>
      </c>
      <c r="BT48" s="69">
        <f t="shared" si="65"/>
        <v>98</v>
      </c>
      <c r="BU48" s="70">
        <f t="shared" si="66"/>
        <v>102</v>
      </c>
      <c r="BV48" s="69" t="str">
        <f t="shared" si="67"/>
        <v>-</v>
      </c>
      <c r="BW48" s="70">
        <f t="shared" si="68"/>
        <v>147</v>
      </c>
      <c r="BX48" s="69">
        <f t="shared" si="69"/>
        <v>191</v>
      </c>
      <c r="BY48" s="70">
        <f t="shared" si="70"/>
        <v>198</v>
      </c>
      <c r="BZ48" s="69">
        <f t="shared" si="71"/>
        <v>267</v>
      </c>
      <c r="CA48" s="70">
        <f t="shared" si="72"/>
        <v>304</v>
      </c>
      <c r="CB48" s="69">
        <f t="shared" si="73"/>
        <v>329</v>
      </c>
      <c r="CC48" s="68">
        <f t="shared" si="74"/>
        <v>61</v>
      </c>
      <c r="CD48" s="69">
        <f t="shared" si="75"/>
        <v>65</v>
      </c>
      <c r="CE48" s="70">
        <f t="shared" si="76"/>
        <v>96</v>
      </c>
      <c r="CF48" s="70">
        <f t="shared" si="77"/>
        <v>101</v>
      </c>
      <c r="CG48" s="70">
        <f t="shared" si="78"/>
        <v>137</v>
      </c>
      <c r="CH48" s="70" t="str">
        <f t="shared" si="79"/>
        <v>-</v>
      </c>
      <c r="CI48" s="70">
        <f t="shared" si="80"/>
        <v>172</v>
      </c>
      <c r="CJ48" s="70">
        <f t="shared" si="81"/>
        <v>193</v>
      </c>
      <c r="CK48" s="70">
        <f t="shared" si="82"/>
        <v>229</v>
      </c>
      <c r="CL48" s="70">
        <f t="shared" si="83"/>
        <v>299</v>
      </c>
      <c r="CM48" s="70">
        <f t="shared" si="84"/>
        <v>328</v>
      </c>
      <c r="CN48" s="70">
        <f t="shared" si="85"/>
        <v>341</v>
      </c>
      <c r="CO48" s="57">
        <f t="shared" si="86"/>
        <v>1</v>
      </c>
    </row>
    <row r="49" spans="1:93" x14ac:dyDescent="0.2">
      <c r="A49" s="3" t="str">
        <f t="shared" si="87"/>
        <v>adrb2_human_3NY9</v>
      </c>
      <c r="B49" s="3" t="s">
        <v>320</v>
      </c>
      <c r="C49" s="3" t="s">
        <v>1236</v>
      </c>
      <c r="D49" s="3" t="str">
        <f>IFERROR(MID(VLOOKUP($B49,Seqs!$A:$B,2,FALSE),E49,1),"")</f>
        <v>W</v>
      </c>
      <c r="E49" s="3">
        <v>32</v>
      </c>
      <c r="F49" s="3" t="str">
        <f>IFERROR(MID(VLOOKUP($B49,Seqs!$A:$B,2,FALSE),G49,1),"")</f>
        <v>F</v>
      </c>
      <c r="G49" s="3">
        <v>61</v>
      </c>
      <c r="H49" s="3" t="str">
        <f>IFERROR(MID(VLOOKUP($B49,Seqs!$A:$B,2,FALSE),I49,1),"")</f>
        <v>E</v>
      </c>
      <c r="I49" s="57">
        <v>62</v>
      </c>
      <c r="J49" s="3" t="str">
        <f>IFERROR(MID(VLOOKUP($B49,Seqs!$A:$B,2,FALSE),K49,1),"")</f>
        <v>Q</v>
      </c>
      <c r="K49" s="57">
        <v>65</v>
      </c>
      <c r="L49" s="3" t="str">
        <f>IFERROR(MID(VLOOKUP($B49,Seqs!$A:$B,2,FALSE),M49,1),"")</f>
        <v>T</v>
      </c>
      <c r="M49" s="3">
        <v>66</v>
      </c>
      <c r="N49" s="3" t="str">
        <f>IFERROR(MID(VLOOKUP($B49,Seqs!$A:$B,2,FALSE),O49,1),"")</f>
        <v>M</v>
      </c>
      <c r="O49" s="3">
        <v>96</v>
      </c>
      <c r="P49" s="3" t="str">
        <f>IFERROR(MID(VLOOKUP($B49,Seqs!$A:$B,2,FALSE),Q49,1),"")</f>
        <v>M</v>
      </c>
      <c r="Q49" s="3">
        <v>98</v>
      </c>
      <c r="R49" s="3" t="str">
        <f>IFERROR(MID(VLOOKUP($B49,Seqs!$A:$B,2,FALSE),S49,1),"")</f>
        <v>F</v>
      </c>
      <c r="S49" s="3">
        <v>101</v>
      </c>
      <c r="T49" s="3" t="str">
        <f>IFERROR(MID(VLOOKUP($B49,Seqs!$A:$B,2,FALSE),U49,1),"")</f>
        <v>G</v>
      </c>
      <c r="U49" s="3">
        <v>102</v>
      </c>
      <c r="V49" s="3" t="str">
        <f>IFERROR(MID(VLOOKUP($B49,Seqs!$A:$B,2,FALSE),W49,1),"")</f>
        <v>S</v>
      </c>
      <c r="W49" s="3">
        <v>137</v>
      </c>
      <c r="X49" s="3" t="str">
        <f>IFERROR(MID(VLOOKUP($B49,Seqs!$A:$B,2,FALSE),Y49,1),"")</f>
        <v/>
      </c>
      <c r="Y49" s="3" t="s">
        <v>129</v>
      </c>
      <c r="Z49" s="3" t="str">
        <f>IFERROR(MID(VLOOKUP($B49,Seqs!$A:$B,2,FALSE),AA49,1),"")</f>
        <v/>
      </c>
      <c r="AA49" s="3" t="s">
        <v>129</v>
      </c>
      <c r="AB49" s="3" t="str">
        <f>IFERROR(MID(VLOOKUP($B49,Seqs!$A:$B,2,FALSE),AC49,1),"")</f>
        <v>K</v>
      </c>
      <c r="AC49" s="3">
        <v>147</v>
      </c>
      <c r="AD49" s="3" t="str">
        <f>IFERROR(MID(VLOOKUP($B49,Seqs!$A:$B,2,FALSE),AE49,1),"")</f>
        <v>H</v>
      </c>
      <c r="AE49" s="3">
        <v>172</v>
      </c>
      <c r="AF49" s="3" t="str">
        <f>IFERROR(MID(VLOOKUP($B49,Seqs!$A:$B,2,FALSE),AG49,1),"")</f>
        <v>C</v>
      </c>
      <c r="AG49" s="3">
        <v>191</v>
      </c>
      <c r="AH49" s="3" t="str">
        <f>IFERROR(MID(VLOOKUP($B49,Seqs!$A:$B,2,FALSE),AI49,1),"")</f>
        <v>F</v>
      </c>
      <c r="AI49" s="3">
        <v>193</v>
      </c>
      <c r="AJ49" s="3" t="str">
        <f>IFERROR(MID(VLOOKUP($B49,Seqs!$A:$B,2,FALSE),AK49,1),"")</f>
        <v>A</v>
      </c>
      <c r="AK49" s="3">
        <v>198</v>
      </c>
      <c r="AL49" s="3" t="str">
        <f>IFERROR(MID(VLOOKUP($B49,Seqs!$A:$B,2,FALSE),AM49,1),"")</f>
        <v>Q</v>
      </c>
      <c r="AM49" s="3">
        <v>229</v>
      </c>
      <c r="AN49" s="3" t="str">
        <f>IFERROR(MID(VLOOKUP($B49,Seqs!$A:$B,2,FALSE),AO49,1),"")</f>
        <v>K</v>
      </c>
      <c r="AO49" s="3">
        <v>267</v>
      </c>
      <c r="AP49" s="3" t="str">
        <f>IFERROR(MID(VLOOKUP($B49,Seqs!$A:$B,2,FALSE),AQ49,1),"")</f>
        <v>Q</v>
      </c>
      <c r="AQ49" s="3">
        <v>299</v>
      </c>
      <c r="AR49" s="3" t="str">
        <f>IFERROR(MID(VLOOKUP($B49,Seqs!$A:$B,2,FALSE),AS49,1),"")</f>
        <v>R</v>
      </c>
      <c r="AS49" s="3">
        <v>304</v>
      </c>
      <c r="AT49" s="3" t="str">
        <f>IFERROR(MID(VLOOKUP($B49,Seqs!$A:$B,2,FALSE),AU49,1),"")</f>
        <v>R</v>
      </c>
      <c r="AU49" s="3">
        <v>328</v>
      </c>
      <c r="AV49" s="3" t="str">
        <f>IFERROR(MID(VLOOKUP($B49,Seqs!$A:$B,2,FALSE),AW49,1),"")</f>
        <v>S</v>
      </c>
      <c r="AW49" s="3">
        <v>329</v>
      </c>
      <c r="AX49" s="3" t="str">
        <f>IFERROR(MID(VLOOKUP($B49,Seqs!$A:$B,2,FALSE),AY49,1),"")</f>
        <v>C</v>
      </c>
      <c r="AY49" s="3">
        <v>341</v>
      </c>
      <c r="AZ49" s="83" t="str">
        <f>VLOOKUP(B49,Classification!A:D,2,FALSE)</f>
        <v>A</v>
      </c>
      <c r="BC49" s="57">
        <f t="shared" si="88"/>
        <v>238</v>
      </c>
      <c r="BD49" s="63" t="b">
        <f t="shared" si="89"/>
        <v>1</v>
      </c>
      <c r="BE49" s="68" t="s">
        <v>1514</v>
      </c>
      <c r="BF49" s="75" t="s">
        <v>1514</v>
      </c>
      <c r="BG49" s="75" t="s">
        <v>1514</v>
      </c>
      <c r="BH49" s="75" t="s">
        <v>1514</v>
      </c>
      <c r="BI49" s="75" t="s">
        <v>1514</v>
      </c>
      <c r="BJ49" s="75" t="s">
        <v>1514</v>
      </c>
      <c r="BK49" s="75" t="s">
        <v>1514</v>
      </c>
      <c r="BL49" s="75" t="s">
        <v>1514</v>
      </c>
      <c r="BM49" s="75" t="s">
        <v>1514</v>
      </c>
      <c r="BN49" s="75" t="s">
        <v>1514</v>
      </c>
      <c r="BO49" s="75" t="s">
        <v>1514</v>
      </c>
      <c r="BP49" s="75" t="s">
        <v>1514</v>
      </c>
      <c r="BQ49" s="68">
        <f t="shared" si="62"/>
        <v>32</v>
      </c>
      <c r="BR49" s="69">
        <f t="shared" si="63"/>
        <v>62</v>
      </c>
      <c r="BS49" s="70">
        <f t="shared" si="64"/>
        <v>66</v>
      </c>
      <c r="BT49" s="69">
        <f t="shared" si="65"/>
        <v>98</v>
      </c>
      <c r="BU49" s="70">
        <f t="shared" si="66"/>
        <v>102</v>
      </c>
      <c r="BV49" s="69" t="str">
        <f t="shared" si="67"/>
        <v>-</v>
      </c>
      <c r="BW49" s="70">
        <f t="shared" si="68"/>
        <v>147</v>
      </c>
      <c r="BX49" s="69">
        <f t="shared" si="69"/>
        <v>191</v>
      </c>
      <c r="BY49" s="70">
        <f t="shared" si="70"/>
        <v>198</v>
      </c>
      <c r="BZ49" s="69">
        <f t="shared" si="71"/>
        <v>267</v>
      </c>
      <c r="CA49" s="70">
        <f t="shared" si="72"/>
        <v>304</v>
      </c>
      <c r="CB49" s="69">
        <f t="shared" si="73"/>
        <v>329</v>
      </c>
      <c r="CC49" s="68">
        <f t="shared" si="74"/>
        <v>61</v>
      </c>
      <c r="CD49" s="69">
        <f t="shared" si="75"/>
        <v>65</v>
      </c>
      <c r="CE49" s="70">
        <f t="shared" si="76"/>
        <v>96</v>
      </c>
      <c r="CF49" s="70">
        <f t="shared" si="77"/>
        <v>101</v>
      </c>
      <c r="CG49" s="70">
        <f t="shared" si="78"/>
        <v>137</v>
      </c>
      <c r="CH49" s="70" t="str">
        <f t="shared" si="79"/>
        <v>-</v>
      </c>
      <c r="CI49" s="70">
        <f t="shared" si="80"/>
        <v>172</v>
      </c>
      <c r="CJ49" s="70">
        <f t="shared" si="81"/>
        <v>193</v>
      </c>
      <c r="CK49" s="70">
        <f t="shared" si="82"/>
        <v>229</v>
      </c>
      <c r="CL49" s="70">
        <f t="shared" si="83"/>
        <v>299</v>
      </c>
      <c r="CM49" s="70">
        <f t="shared" si="84"/>
        <v>328</v>
      </c>
      <c r="CN49" s="70">
        <f t="shared" si="85"/>
        <v>341</v>
      </c>
      <c r="CO49" s="57">
        <f t="shared" si="86"/>
        <v>1</v>
      </c>
    </row>
    <row r="50" spans="1:93" x14ac:dyDescent="0.2">
      <c r="A50" s="3" t="str">
        <f t="shared" si="87"/>
        <v>adrb2_human_3P0G</v>
      </c>
      <c r="B50" s="3" t="s">
        <v>320</v>
      </c>
      <c r="C50" s="3" t="s">
        <v>257</v>
      </c>
      <c r="D50" s="3" t="str">
        <f>IFERROR(MID(VLOOKUP($B50,Seqs!$A:$B,2,FALSE),E50,1),"")</f>
        <v>Q</v>
      </c>
      <c r="E50" s="3">
        <v>26</v>
      </c>
      <c r="F50" s="3" t="str">
        <f>IFERROR(MID(VLOOKUP($B50,Seqs!$A:$B,2,FALSE),G50,1),"")</f>
        <v>F</v>
      </c>
      <c r="G50" s="3">
        <v>61</v>
      </c>
      <c r="H50" s="3" t="str">
        <f>IFERROR(MID(VLOOKUP($B50,Seqs!$A:$B,2,FALSE),I50,1),"")</f>
        <v>E</v>
      </c>
      <c r="I50" s="57">
        <v>62</v>
      </c>
      <c r="J50" s="3" t="str">
        <f>IFERROR(MID(VLOOKUP($B50,Seqs!$A:$B,2,FALSE),K50,1),"")</f>
        <v>Q</v>
      </c>
      <c r="K50" s="57">
        <v>65</v>
      </c>
      <c r="L50" s="3" t="str">
        <f>IFERROR(MID(VLOOKUP($B50,Seqs!$A:$B,2,FALSE),M50,1),"")</f>
        <v>T</v>
      </c>
      <c r="M50" s="3">
        <v>66</v>
      </c>
      <c r="N50" s="3" t="str">
        <f>IFERROR(MID(VLOOKUP($B50,Seqs!$A:$B,2,FALSE),O50,1),"")</f>
        <v>M</v>
      </c>
      <c r="O50" s="3">
        <v>96</v>
      </c>
      <c r="P50" s="3" t="str">
        <f>IFERROR(MID(VLOOKUP($B50,Seqs!$A:$B,2,FALSE),Q50,1),"")</f>
        <v>M</v>
      </c>
      <c r="Q50" s="3">
        <v>98</v>
      </c>
      <c r="R50" s="3" t="str">
        <f>IFERROR(MID(VLOOKUP($B50,Seqs!$A:$B,2,FALSE),S50,1),"")</f>
        <v>F</v>
      </c>
      <c r="S50" s="3">
        <v>101</v>
      </c>
      <c r="T50" s="3" t="str">
        <f>IFERROR(MID(VLOOKUP($B50,Seqs!$A:$B,2,FALSE),U50,1),"")</f>
        <v>G</v>
      </c>
      <c r="U50" s="3">
        <v>102</v>
      </c>
      <c r="V50" s="3" t="str">
        <f>IFERROR(MID(VLOOKUP($B50,Seqs!$A:$B,2,FALSE),W50,1),"")</f>
        <v>S</v>
      </c>
      <c r="W50" s="3">
        <v>137</v>
      </c>
      <c r="X50" s="3" t="str">
        <f>IFERROR(MID(VLOOKUP($B50,Seqs!$A:$B,2,FALSE),Y50,1),"")</f>
        <v>P</v>
      </c>
      <c r="Y50" s="3">
        <v>138</v>
      </c>
      <c r="Z50" s="3" t="str">
        <f>IFERROR(MID(VLOOKUP($B50,Seqs!$A:$B,2,FALSE),AA50,1),"")</f>
        <v>L</v>
      </c>
      <c r="AA50" s="3">
        <v>145</v>
      </c>
      <c r="AB50" s="3" t="str">
        <f>IFERROR(MID(VLOOKUP($B50,Seqs!$A:$B,2,FALSE),AC50,1),"")</f>
        <v>K</v>
      </c>
      <c r="AC50" s="3">
        <v>147</v>
      </c>
      <c r="AD50" s="3" t="str">
        <f>IFERROR(MID(VLOOKUP($B50,Seqs!$A:$B,2,FALSE),AE50,1),"")</f>
        <v>H</v>
      </c>
      <c r="AE50" s="3">
        <v>172</v>
      </c>
      <c r="AF50" s="3" t="str">
        <f>IFERROR(MID(VLOOKUP($B50,Seqs!$A:$B,2,FALSE),AG50,1),"")</f>
        <v>C</v>
      </c>
      <c r="AG50" s="3">
        <v>191</v>
      </c>
      <c r="AH50" s="3" t="str">
        <f>IFERROR(MID(VLOOKUP($B50,Seqs!$A:$B,2,FALSE),AI50,1),"")</f>
        <v>F</v>
      </c>
      <c r="AI50" s="3">
        <v>193</v>
      </c>
      <c r="AJ50" s="3" t="str">
        <f>IFERROR(MID(VLOOKUP($B50,Seqs!$A:$B,2,FALSE),AK50,1),"")</f>
        <v>Q</v>
      </c>
      <c r="AK50" s="3">
        <v>197</v>
      </c>
      <c r="AL50" s="3" t="str">
        <f>IFERROR(MID(VLOOKUP($B50,Seqs!$A:$B,2,FALSE),AM50,1),"")</f>
        <v>A</v>
      </c>
      <c r="AM50" s="3">
        <v>226</v>
      </c>
      <c r="AN50" s="3" t="str">
        <f>IFERROR(MID(VLOOKUP($B50,Seqs!$A:$B,2,FALSE),AO50,1),"")</f>
        <v>H</v>
      </c>
      <c r="AO50" s="3">
        <v>269</v>
      </c>
      <c r="AP50" s="3" t="str">
        <f>IFERROR(MID(VLOOKUP($B50,Seqs!$A:$B,2,FALSE),AQ50,1),"")</f>
        <v>Q</v>
      </c>
      <c r="AQ50" s="3">
        <v>299</v>
      </c>
      <c r="AR50" s="3" t="str">
        <f>IFERROR(MID(VLOOKUP($B50,Seqs!$A:$B,2,FALSE),AS50,1),"")</f>
        <v>R</v>
      </c>
      <c r="AS50" s="3">
        <v>304</v>
      </c>
      <c r="AT50" s="3" t="str">
        <f>IFERROR(MID(VLOOKUP($B50,Seqs!$A:$B,2,FALSE),AU50,1),"")</f>
        <v>R</v>
      </c>
      <c r="AU50" s="3">
        <v>328</v>
      </c>
      <c r="AV50" s="3" t="str">
        <f>IFERROR(MID(VLOOKUP($B50,Seqs!$A:$B,2,FALSE),AW50,1),"")</f>
        <v>S</v>
      </c>
      <c r="AW50" s="3">
        <v>329</v>
      </c>
      <c r="AX50" s="3" t="str">
        <f>IFERROR(MID(VLOOKUP($B50,Seqs!$A:$B,2,FALSE),AY50,1),"")</f>
        <v>C</v>
      </c>
      <c r="AY50" s="3">
        <v>341</v>
      </c>
      <c r="AZ50" s="83" t="str">
        <f>VLOOKUP(B50,Classification!A:D,2,FALSE)</f>
        <v>A</v>
      </c>
      <c r="BC50" s="57">
        <f t="shared" si="88"/>
        <v>247</v>
      </c>
      <c r="BD50" s="63" t="b">
        <f t="shared" si="89"/>
        <v>1</v>
      </c>
      <c r="BE50" s="68" t="s">
        <v>1514</v>
      </c>
      <c r="BF50" s="75" t="s">
        <v>1514</v>
      </c>
      <c r="BG50" s="75" t="s">
        <v>1514</v>
      </c>
      <c r="BH50" s="75" t="s">
        <v>1514</v>
      </c>
      <c r="BI50" s="75" t="s">
        <v>1514</v>
      </c>
      <c r="BJ50" s="75" t="s">
        <v>1514</v>
      </c>
      <c r="BK50" s="75" t="s">
        <v>1514</v>
      </c>
      <c r="BL50" s="75" t="s">
        <v>1514</v>
      </c>
      <c r="BM50" s="75" t="s">
        <v>1514</v>
      </c>
      <c r="BN50" s="75" t="s">
        <v>1514</v>
      </c>
      <c r="BO50" s="75" t="s">
        <v>1514</v>
      </c>
      <c r="BP50" s="75" t="s">
        <v>1514</v>
      </c>
      <c r="BQ50" s="68">
        <f t="shared" si="62"/>
        <v>26</v>
      </c>
      <c r="BR50" s="69">
        <f t="shared" si="63"/>
        <v>62</v>
      </c>
      <c r="BS50" s="70">
        <f t="shared" si="64"/>
        <v>66</v>
      </c>
      <c r="BT50" s="69">
        <f t="shared" si="65"/>
        <v>98</v>
      </c>
      <c r="BU50" s="70">
        <f t="shared" si="66"/>
        <v>102</v>
      </c>
      <c r="BV50" s="69">
        <f t="shared" si="67"/>
        <v>138</v>
      </c>
      <c r="BW50" s="70">
        <f t="shared" si="68"/>
        <v>147</v>
      </c>
      <c r="BX50" s="69">
        <f t="shared" si="69"/>
        <v>191</v>
      </c>
      <c r="BY50" s="70">
        <f t="shared" si="70"/>
        <v>197</v>
      </c>
      <c r="BZ50" s="69">
        <f t="shared" si="71"/>
        <v>269</v>
      </c>
      <c r="CA50" s="70">
        <f t="shared" si="72"/>
        <v>304</v>
      </c>
      <c r="CB50" s="69">
        <f t="shared" si="73"/>
        <v>329</v>
      </c>
      <c r="CC50" s="68">
        <f t="shared" si="74"/>
        <v>61</v>
      </c>
      <c r="CD50" s="69">
        <f t="shared" si="75"/>
        <v>65</v>
      </c>
      <c r="CE50" s="70">
        <f t="shared" si="76"/>
        <v>96</v>
      </c>
      <c r="CF50" s="70">
        <f t="shared" si="77"/>
        <v>101</v>
      </c>
      <c r="CG50" s="70">
        <f t="shared" si="78"/>
        <v>137</v>
      </c>
      <c r="CH50" s="70">
        <f t="shared" si="79"/>
        <v>145</v>
      </c>
      <c r="CI50" s="70">
        <f t="shared" si="80"/>
        <v>172</v>
      </c>
      <c r="CJ50" s="70">
        <f t="shared" si="81"/>
        <v>193</v>
      </c>
      <c r="CK50" s="70">
        <f t="shared" si="82"/>
        <v>226</v>
      </c>
      <c r="CL50" s="70">
        <f t="shared" si="83"/>
        <v>299</v>
      </c>
      <c r="CM50" s="70">
        <f t="shared" si="84"/>
        <v>328</v>
      </c>
      <c r="CN50" s="70">
        <f t="shared" si="85"/>
        <v>341</v>
      </c>
      <c r="CO50" s="57">
        <f t="shared" si="86"/>
        <v>1</v>
      </c>
    </row>
    <row r="51" spans="1:93" x14ac:dyDescent="0.2">
      <c r="A51" s="3" t="str">
        <f t="shared" si="87"/>
        <v>adrb2_human_3SN6</v>
      </c>
      <c r="B51" s="3" t="s">
        <v>320</v>
      </c>
      <c r="C51" s="3" t="s">
        <v>277</v>
      </c>
      <c r="D51" s="3" t="str">
        <f>IFERROR(MID(VLOOKUP($B51,Seqs!$A:$B,2,FALSE),E51,1),"")</f>
        <v>D</v>
      </c>
      <c r="E51" s="3">
        <v>29</v>
      </c>
      <c r="F51" s="3" t="str">
        <f>IFERROR(MID(VLOOKUP($B51,Seqs!$A:$B,2,FALSE),G51,1),"")</f>
        <v>F</v>
      </c>
      <c r="G51" s="3">
        <v>61</v>
      </c>
      <c r="H51" s="3" t="str">
        <f>IFERROR(MID(VLOOKUP($B51,Seqs!$A:$B,2,FALSE),I51,1),"")</f>
        <v>E</v>
      </c>
      <c r="I51" s="57">
        <v>62</v>
      </c>
      <c r="J51" s="3" t="str">
        <f>IFERROR(MID(VLOOKUP($B51,Seqs!$A:$B,2,FALSE),K51,1),"")</f>
        <v>Q</v>
      </c>
      <c r="K51" s="57">
        <v>65</v>
      </c>
      <c r="L51" s="3" t="str">
        <f>IFERROR(MID(VLOOKUP($B51,Seqs!$A:$B,2,FALSE),M51,1),"")</f>
        <v>T</v>
      </c>
      <c r="M51" s="3">
        <v>66</v>
      </c>
      <c r="N51" s="3" t="str">
        <f>IFERROR(MID(VLOOKUP($B51,Seqs!$A:$B,2,FALSE),O51,1),"")</f>
        <v>M</v>
      </c>
      <c r="O51" s="3">
        <v>96</v>
      </c>
      <c r="P51" s="3" t="str">
        <f>IFERROR(MID(VLOOKUP($B51,Seqs!$A:$B,2,FALSE),Q51,1),"")</f>
        <v>M</v>
      </c>
      <c r="Q51" s="3">
        <v>98</v>
      </c>
      <c r="R51" s="3" t="str">
        <f>IFERROR(MID(VLOOKUP($B51,Seqs!$A:$B,2,FALSE),S51,1),"")</f>
        <v>F</v>
      </c>
      <c r="S51" s="3">
        <v>101</v>
      </c>
      <c r="T51" s="3" t="str">
        <f>IFERROR(MID(VLOOKUP($B51,Seqs!$A:$B,2,FALSE),U51,1),"")</f>
        <v>G</v>
      </c>
      <c r="U51" s="3">
        <v>102</v>
      </c>
      <c r="V51" s="3" t="str">
        <f>IFERROR(MID(VLOOKUP($B51,Seqs!$A:$B,2,FALSE),W51,1),"")</f>
        <v>S</v>
      </c>
      <c r="W51" s="3">
        <v>137</v>
      </c>
      <c r="X51" s="3" t="str">
        <f>IFERROR(MID(VLOOKUP($B51,Seqs!$A:$B,2,FALSE),Y51,1),"")</f>
        <v>P</v>
      </c>
      <c r="Y51" s="3">
        <v>138</v>
      </c>
      <c r="Z51" s="3" t="str">
        <f>IFERROR(MID(VLOOKUP($B51,Seqs!$A:$B,2,FALSE),AA51,1),"")</f>
        <v>L</v>
      </c>
      <c r="AA51" s="3">
        <v>145</v>
      </c>
      <c r="AB51" s="3" t="str">
        <f>IFERROR(MID(VLOOKUP($B51,Seqs!$A:$B,2,FALSE),AC51,1),"")</f>
        <v>K</v>
      </c>
      <c r="AC51" s="3">
        <v>147</v>
      </c>
      <c r="AD51" s="3" t="str">
        <f>IFERROR(MID(VLOOKUP($B51,Seqs!$A:$B,2,FALSE),AE51,1),"")</f>
        <v>H</v>
      </c>
      <c r="AE51" s="3">
        <v>172</v>
      </c>
      <c r="AF51" s="3" t="str">
        <f>IFERROR(MID(VLOOKUP($B51,Seqs!$A:$B,2,FALSE),AG51,1),"")</f>
        <v>C</v>
      </c>
      <c r="AG51" s="3">
        <v>191</v>
      </c>
      <c r="AH51" s="3" t="str">
        <f>IFERROR(MID(VLOOKUP($B51,Seqs!$A:$B,2,FALSE),AI51,1),"")</f>
        <v>F</v>
      </c>
      <c r="AI51" s="3">
        <v>193</v>
      </c>
      <c r="AJ51" s="3" t="str">
        <f>IFERROR(MID(VLOOKUP($B51,Seqs!$A:$B,2,FALSE),AK51,1),"")</f>
        <v>N</v>
      </c>
      <c r="AK51" s="3">
        <v>196</v>
      </c>
      <c r="AL51" s="3" t="str">
        <f>IFERROR(MID(VLOOKUP($B51,Seqs!$A:$B,2,FALSE),AM51,1),"")</f>
        <v>E</v>
      </c>
      <c r="AM51" s="3">
        <v>237</v>
      </c>
      <c r="AN51" s="3" t="str">
        <f>IFERROR(MID(VLOOKUP($B51,Seqs!$A:$B,2,FALSE),AO51,1),"")</f>
        <v>C</v>
      </c>
      <c r="AO51" s="3">
        <v>265</v>
      </c>
      <c r="AP51" s="3" t="str">
        <f>IFERROR(MID(VLOOKUP($B51,Seqs!$A:$B,2,FALSE),AQ51,1),"")</f>
        <v>Q</v>
      </c>
      <c r="AQ51" s="3">
        <v>299</v>
      </c>
      <c r="AR51" s="3" t="str">
        <f>IFERROR(MID(VLOOKUP($B51,Seqs!$A:$B,2,FALSE),AS51,1),"")</f>
        <v>R</v>
      </c>
      <c r="AS51" s="3">
        <v>304</v>
      </c>
      <c r="AT51" s="3" t="str">
        <f>IFERROR(MID(VLOOKUP($B51,Seqs!$A:$B,2,FALSE),AU51,1),"")</f>
        <v>R</v>
      </c>
      <c r="AU51" s="3">
        <v>328</v>
      </c>
      <c r="AV51" s="3" t="str">
        <f>IFERROR(MID(VLOOKUP($B51,Seqs!$A:$B,2,FALSE),AW51,1),"")</f>
        <v>S</v>
      </c>
      <c r="AW51" s="3">
        <v>329</v>
      </c>
      <c r="AX51" s="3" t="str">
        <f>IFERROR(MID(VLOOKUP($B51,Seqs!$A:$B,2,FALSE),AY51,1),"")</f>
        <v>C</v>
      </c>
      <c r="AY51" s="3">
        <v>341</v>
      </c>
      <c r="AZ51" s="83" t="str">
        <f>VLOOKUP(B51,Classification!A:D,2,FALSE)</f>
        <v>A</v>
      </c>
      <c r="BB51" s="35" t="s">
        <v>1315</v>
      </c>
      <c r="BC51" s="57">
        <f t="shared" si="88"/>
        <v>260</v>
      </c>
      <c r="BD51" s="63" t="b">
        <f t="shared" si="89"/>
        <v>1</v>
      </c>
      <c r="BE51" s="68" t="s">
        <v>1514</v>
      </c>
      <c r="BF51" s="75" t="s">
        <v>1514</v>
      </c>
      <c r="BG51" s="75" t="s">
        <v>1514</v>
      </c>
      <c r="BH51" s="75" t="s">
        <v>1514</v>
      </c>
      <c r="BI51" s="75" t="s">
        <v>1514</v>
      </c>
      <c r="BJ51" s="75" t="s">
        <v>1514</v>
      </c>
      <c r="BK51" s="75" t="s">
        <v>1514</v>
      </c>
      <c r="BL51" s="75" t="s">
        <v>1514</v>
      </c>
      <c r="BM51" s="75" t="s">
        <v>1514</v>
      </c>
      <c r="BN51" s="75" t="s">
        <v>1514</v>
      </c>
      <c r="BO51" s="75" t="s">
        <v>1514</v>
      </c>
      <c r="BP51" s="75" t="s">
        <v>1514</v>
      </c>
      <c r="BQ51" s="68">
        <f t="shared" si="62"/>
        <v>29</v>
      </c>
      <c r="BR51" s="69">
        <f t="shared" si="63"/>
        <v>62</v>
      </c>
      <c r="BS51" s="70">
        <f t="shared" si="64"/>
        <v>66</v>
      </c>
      <c r="BT51" s="69">
        <f t="shared" si="65"/>
        <v>98</v>
      </c>
      <c r="BU51" s="70">
        <f t="shared" si="66"/>
        <v>102</v>
      </c>
      <c r="BV51" s="69">
        <f t="shared" si="67"/>
        <v>138</v>
      </c>
      <c r="BW51" s="70">
        <f t="shared" si="68"/>
        <v>147</v>
      </c>
      <c r="BX51" s="69">
        <f t="shared" si="69"/>
        <v>191</v>
      </c>
      <c r="BY51" s="70">
        <f t="shared" si="70"/>
        <v>196</v>
      </c>
      <c r="BZ51" s="69">
        <f t="shared" si="71"/>
        <v>265</v>
      </c>
      <c r="CA51" s="70">
        <f t="shared" si="72"/>
        <v>304</v>
      </c>
      <c r="CB51" s="69">
        <f t="shared" si="73"/>
        <v>329</v>
      </c>
      <c r="CC51" s="68">
        <f t="shared" si="74"/>
        <v>61</v>
      </c>
      <c r="CD51" s="69">
        <f t="shared" si="75"/>
        <v>65</v>
      </c>
      <c r="CE51" s="70">
        <f t="shared" si="76"/>
        <v>96</v>
      </c>
      <c r="CF51" s="70">
        <f t="shared" si="77"/>
        <v>101</v>
      </c>
      <c r="CG51" s="70">
        <f t="shared" si="78"/>
        <v>137</v>
      </c>
      <c r="CH51" s="70">
        <f t="shared" si="79"/>
        <v>145</v>
      </c>
      <c r="CI51" s="70">
        <f t="shared" si="80"/>
        <v>172</v>
      </c>
      <c r="CJ51" s="70">
        <f t="shared" si="81"/>
        <v>193</v>
      </c>
      <c r="CK51" s="70">
        <f t="shared" si="82"/>
        <v>237</v>
      </c>
      <c r="CL51" s="70">
        <f t="shared" si="83"/>
        <v>299</v>
      </c>
      <c r="CM51" s="70">
        <f t="shared" si="84"/>
        <v>328</v>
      </c>
      <c r="CN51" s="70">
        <f t="shared" si="85"/>
        <v>341</v>
      </c>
      <c r="CO51" s="57">
        <f t="shared" si="86"/>
        <v>1</v>
      </c>
    </row>
    <row r="52" spans="1:93" x14ac:dyDescent="0.2">
      <c r="A52" s="3" t="str">
        <f t="shared" si="87"/>
        <v>adrb2_human_4LDE</v>
      </c>
      <c r="B52" s="3" t="s">
        <v>320</v>
      </c>
      <c r="C52" s="3" t="s">
        <v>268</v>
      </c>
      <c r="D52" s="3" t="str">
        <f>IFERROR(MID(VLOOKUP($B52,Seqs!$A:$B,2,FALSE),E52,1),"")</f>
        <v>D</v>
      </c>
      <c r="E52" s="3">
        <v>29</v>
      </c>
      <c r="F52" s="3" t="str">
        <f>IFERROR(MID(VLOOKUP($B52,Seqs!$A:$B,2,FALSE),G52,1),"")</f>
        <v>F</v>
      </c>
      <c r="G52" s="3">
        <v>61</v>
      </c>
      <c r="H52" s="3" t="str">
        <f>IFERROR(MID(VLOOKUP($B52,Seqs!$A:$B,2,FALSE),I52,1),"")</f>
        <v>E</v>
      </c>
      <c r="I52" s="57">
        <v>62</v>
      </c>
      <c r="J52" s="3" t="str">
        <f>IFERROR(MID(VLOOKUP($B52,Seqs!$A:$B,2,FALSE),K52,1),"")</f>
        <v>Q</v>
      </c>
      <c r="K52" s="57">
        <v>65</v>
      </c>
      <c r="L52" s="3" t="str">
        <f>IFERROR(MID(VLOOKUP($B52,Seqs!$A:$B,2,FALSE),M52,1),"")</f>
        <v>T</v>
      </c>
      <c r="M52" s="3">
        <v>66</v>
      </c>
      <c r="N52" s="3" t="str">
        <f>IFERROR(MID(VLOOKUP($B52,Seqs!$A:$B,2,FALSE),O52,1),"")</f>
        <v>M</v>
      </c>
      <c r="O52" s="3">
        <v>96</v>
      </c>
      <c r="P52" s="3" t="str">
        <f>IFERROR(MID(VLOOKUP($B52,Seqs!$A:$B,2,FALSE),Q52,1),"")</f>
        <v>M</v>
      </c>
      <c r="Q52" s="3">
        <v>98</v>
      </c>
      <c r="R52" s="3" t="str">
        <f>IFERROR(MID(VLOOKUP($B52,Seqs!$A:$B,2,FALSE),S52,1),"")</f>
        <v>F</v>
      </c>
      <c r="S52" s="3">
        <v>101</v>
      </c>
      <c r="T52" s="3" t="str">
        <f>IFERROR(MID(VLOOKUP($B52,Seqs!$A:$B,2,FALSE),U52,1),"")</f>
        <v>G</v>
      </c>
      <c r="U52" s="3">
        <v>102</v>
      </c>
      <c r="V52" s="3" t="str">
        <f>IFERROR(MID(VLOOKUP($B52,Seqs!$A:$B,2,FALSE),W52,1),"")</f>
        <v>S</v>
      </c>
      <c r="W52" s="3">
        <v>137</v>
      </c>
      <c r="X52" s="3" t="str">
        <f>IFERROR(MID(VLOOKUP($B52,Seqs!$A:$B,2,FALSE),Y52,1),"")</f>
        <v>P</v>
      </c>
      <c r="Y52" s="3">
        <v>138</v>
      </c>
      <c r="Z52" s="3" t="str">
        <f>IFERROR(MID(VLOOKUP($B52,Seqs!$A:$B,2,FALSE),AA52,1),"")</f>
        <v>L</v>
      </c>
      <c r="AA52" s="3">
        <v>145</v>
      </c>
      <c r="AB52" s="3" t="str">
        <f>IFERROR(MID(VLOOKUP($B52,Seqs!$A:$B,2,FALSE),AC52,1),"")</f>
        <v>K</v>
      </c>
      <c r="AC52" s="3">
        <v>147</v>
      </c>
      <c r="AD52" s="3" t="str">
        <f>IFERROR(MID(VLOOKUP($B52,Seqs!$A:$B,2,FALSE),AE52,1),"")</f>
        <v>H</v>
      </c>
      <c r="AE52" s="3">
        <v>172</v>
      </c>
      <c r="AF52" s="3" t="str">
        <f>IFERROR(MID(VLOOKUP($B52,Seqs!$A:$B,2,FALSE),AG52,1),"")</f>
        <v>C</v>
      </c>
      <c r="AG52" s="3">
        <v>191</v>
      </c>
      <c r="AH52" s="3" t="str">
        <f>IFERROR(MID(VLOOKUP($B52,Seqs!$A:$B,2,FALSE),AI52,1),"")</f>
        <v>F</v>
      </c>
      <c r="AI52" s="3">
        <v>193</v>
      </c>
      <c r="AJ52" s="3" t="str">
        <f>IFERROR(MID(VLOOKUP($B52,Seqs!$A:$B,2,FALSE),AK52,1),"")</f>
        <v>A</v>
      </c>
      <c r="AK52" s="3">
        <v>198</v>
      </c>
      <c r="AL52" s="3" t="str">
        <f>IFERROR(MID(VLOOKUP($B52,Seqs!$A:$B,2,FALSE),AM52,1),"")</f>
        <v>E</v>
      </c>
      <c r="AM52" s="3">
        <v>225</v>
      </c>
      <c r="AN52" s="3" t="str">
        <f>IFERROR(MID(VLOOKUP($B52,Seqs!$A:$B,2,FALSE),AO52,1),"")</f>
        <v>L</v>
      </c>
      <c r="AO52" s="3">
        <v>266</v>
      </c>
      <c r="AP52" s="3" t="str">
        <f>IFERROR(MID(VLOOKUP($B52,Seqs!$A:$B,2,FALSE),AQ52,1),"")</f>
        <v>Q</v>
      </c>
      <c r="AQ52" s="3">
        <v>299</v>
      </c>
      <c r="AR52" s="3" t="str">
        <f>IFERROR(MID(VLOOKUP($B52,Seqs!$A:$B,2,FALSE),AS52,1),"")</f>
        <v>R</v>
      </c>
      <c r="AS52" s="3">
        <v>304</v>
      </c>
      <c r="AT52" s="3" t="str">
        <f>IFERROR(MID(VLOOKUP($B52,Seqs!$A:$B,2,FALSE),AU52,1),"")</f>
        <v>R</v>
      </c>
      <c r="AU52" s="3">
        <v>328</v>
      </c>
      <c r="AV52" s="3" t="str">
        <f>IFERROR(MID(VLOOKUP($B52,Seqs!$A:$B,2,FALSE),AW52,1),"")</f>
        <v>S</v>
      </c>
      <c r="AW52" s="3">
        <v>329</v>
      </c>
      <c r="AX52" s="3" t="str">
        <f>IFERROR(MID(VLOOKUP($B52,Seqs!$A:$B,2,FALSE),AY52,1),"")</f>
        <v>C</v>
      </c>
      <c r="AY52" s="3">
        <v>341</v>
      </c>
      <c r="AZ52" s="83" t="str">
        <f>VLOOKUP(B52,Classification!A:D,2,FALSE)</f>
        <v>A</v>
      </c>
      <c r="BC52" s="57">
        <f t="shared" si="88"/>
        <v>245</v>
      </c>
      <c r="BD52" s="63" t="b">
        <f t="shared" si="89"/>
        <v>1</v>
      </c>
      <c r="BE52" s="68" t="s">
        <v>1514</v>
      </c>
      <c r="BF52" s="75" t="s">
        <v>1514</v>
      </c>
      <c r="BG52" s="75" t="s">
        <v>1514</v>
      </c>
      <c r="BH52" s="75" t="s">
        <v>1514</v>
      </c>
      <c r="BI52" s="75" t="s">
        <v>1514</v>
      </c>
      <c r="BJ52" s="75" t="s">
        <v>1514</v>
      </c>
      <c r="BK52" s="75" t="s">
        <v>1514</v>
      </c>
      <c r="BL52" s="75" t="s">
        <v>1514</v>
      </c>
      <c r="BM52" s="75" t="s">
        <v>1514</v>
      </c>
      <c r="BN52" s="75" t="s">
        <v>1514</v>
      </c>
      <c r="BO52" s="75" t="s">
        <v>1514</v>
      </c>
      <c r="BP52" s="75" t="s">
        <v>1514</v>
      </c>
      <c r="BQ52" s="68">
        <f t="shared" si="62"/>
        <v>29</v>
      </c>
      <c r="BR52" s="69">
        <f t="shared" si="63"/>
        <v>62</v>
      </c>
      <c r="BS52" s="70">
        <f t="shared" si="64"/>
        <v>66</v>
      </c>
      <c r="BT52" s="69">
        <f t="shared" si="65"/>
        <v>98</v>
      </c>
      <c r="BU52" s="70">
        <f t="shared" si="66"/>
        <v>102</v>
      </c>
      <c r="BV52" s="69">
        <f t="shared" si="67"/>
        <v>138</v>
      </c>
      <c r="BW52" s="70">
        <f t="shared" si="68"/>
        <v>147</v>
      </c>
      <c r="BX52" s="69">
        <f t="shared" si="69"/>
        <v>191</v>
      </c>
      <c r="BY52" s="70">
        <f t="shared" si="70"/>
        <v>198</v>
      </c>
      <c r="BZ52" s="69">
        <f t="shared" si="71"/>
        <v>266</v>
      </c>
      <c r="CA52" s="70">
        <f t="shared" si="72"/>
        <v>304</v>
      </c>
      <c r="CB52" s="69">
        <f t="shared" si="73"/>
        <v>329</v>
      </c>
      <c r="CC52" s="68">
        <f t="shared" si="74"/>
        <v>61</v>
      </c>
      <c r="CD52" s="69">
        <f t="shared" si="75"/>
        <v>65</v>
      </c>
      <c r="CE52" s="70">
        <f t="shared" si="76"/>
        <v>96</v>
      </c>
      <c r="CF52" s="70">
        <f t="shared" si="77"/>
        <v>101</v>
      </c>
      <c r="CG52" s="70">
        <f t="shared" si="78"/>
        <v>137</v>
      </c>
      <c r="CH52" s="70">
        <f t="shared" si="79"/>
        <v>145</v>
      </c>
      <c r="CI52" s="70">
        <f t="shared" si="80"/>
        <v>172</v>
      </c>
      <c r="CJ52" s="70">
        <f t="shared" si="81"/>
        <v>193</v>
      </c>
      <c r="CK52" s="70">
        <f t="shared" si="82"/>
        <v>225</v>
      </c>
      <c r="CL52" s="70">
        <f t="shared" si="83"/>
        <v>299</v>
      </c>
      <c r="CM52" s="70">
        <f t="shared" si="84"/>
        <v>328</v>
      </c>
      <c r="CN52" s="70">
        <f t="shared" si="85"/>
        <v>341</v>
      </c>
      <c r="CO52" s="57">
        <f t="shared" si="86"/>
        <v>1</v>
      </c>
    </row>
    <row r="53" spans="1:93" x14ac:dyDescent="0.2">
      <c r="A53" s="3" t="str">
        <f t="shared" si="87"/>
        <v>adrb2_human_4LDL</v>
      </c>
      <c r="B53" s="3" t="s">
        <v>320</v>
      </c>
      <c r="C53" s="3" t="s">
        <v>1251</v>
      </c>
      <c r="D53" s="3" t="str">
        <f>IFERROR(MID(VLOOKUP($B53,Seqs!$A:$B,2,FALSE),E53,1),"")</f>
        <v>D</v>
      </c>
      <c r="E53" s="3">
        <v>29</v>
      </c>
      <c r="F53" s="3" t="str">
        <f>IFERROR(MID(VLOOKUP($B53,Seqs!$A:$B,2,FALSE),G53,1),"")</f>
        <v>F</v>
      </c>
      <c r="G53" s="3">
        <v>61</v>
      </c>
      <c r="H53" s="3" t="str">
        <f>IFERROR(MID(VLOOKUP($B53,Seqs!$A:$B,2,FALSE),I53,1),"")</f>
        <v>E</v>
      </c>
      <c r="I53" s="57">
        <v>62</v>
      </c>
      <c r="J53" s="3" t="str">
        <f>IFERROR(MID(VLOOKUP($B53,Seqs!$A:$B,2,FALSE),K53,1),"")</f>
        <v>Q</v>
      </c>
      <c r="K53" s="57">
        <v>65</v>
      </c>
      <c r="L53" s="3" t="str">
        <f>IFERROR(MID(VLOOKUP($B53,Seqs!$A:$B,2,FALSE),M53,1),"")</f>
        <v>T</v>
      </c>
      <c r="M53" s="3">
        <v>66</v>
      </c>
      <c r="N53" s="3" t="str">
        <f>IFERROR(MID(VLOOKUP($B53,Seqs!$A:$B,2,FALSE),O53,1),"")</f>
        <v>M</v>
      </c>
      <c r="O53" s="3">
        <v>96</v>
      </c>
      <c r="P53" s="3" t="str">
        <f>IFERROR(MID(VLOOKUP($B53,Seqs!$A:$B,2,FALSE),Q53,1),"")</f>
        <v>M</v>
      </c>
      <c r="Q53" s="3">
        <v>98</v>
      </c>
      <c r="R53" s="3" t="str">
        <f>IFERROR(MID(VLOOKUP($B53,Seqs!$A:$B,2,FALSE),S53,1),"")</f>
        <v>F</v>
      </c>
      <c r="S53" s="3">
        <v>101</v>
      </c>
      <c r="T53" s="3" t="str">
        <f>IFERROR(MID(VLOOKUP($B53,Seqs!$A:$B,2,FALSE),U53,1),"")</f>
        <v>G</v>
      </c>
      <c r="U53" s="3">
        <v>102</v>
      </c>
      <c r="V53" s="3" t="str">
        <f>IFERROR(MID(VLOOKUP($B53,Seqs!$A:$B,2,FALSE),W53,1),"")</f>
        <v>S</v>
      </c>
      <c r="W53" s="3">
        <v>137</v>
      </c>
      <c r="X53" s="3" t="str">
        <f>IFERROR(MID(VLOOKUP($B53,Seqs!$A:$B,2,FALSE),Y53,1),"")</f>
        <v>P</v>
      </c>
      <c r="Y53" s="3">
        <v>138</v>
      </c>
      <c r="Z53" s="3" t="str">
        <f>IFERROR(MID(VLOOKUP($B53,Seqs!$A:$B,2,FALSE),AA53,1),"")</f>
        <v>L</v>
      </c>
      <c r="AA53" s="3">
        <v>145</v>
      </c>
      <c r="AB53" s="3" t="str">
        <f>IFERROR(MID(VLOOKUP($B53,Seqs!$A:$B,2,FALSE),AC53,1),"")</f>
        <v>K</v>
      </c>
      <c r="AC53" s="3">
        <v>147</v>
      </c>
      <c r="AD53" s="3" t="str">
        <f>IFERROR(MID(VLOOKUP($B53,Seqs!$A:$B,2,FALSE),AE53,1),"")</f>
        <v>H</v>
      </c>
      <c r="AE53" s="3">
        <v>172</v>
      </c>
      <c r="AF53" s="3" t="str">
        <f>IFERROR(MID(VLOOKUP($B53,Seqs!$A:$B,2,FALSE),AG53,1),"")</f>
        <v>C</v>
      </c>
      <c r="AG53" s="3">
        <v>191</v>
      </c>
      <c r="AH53" s="3" t="str">
        <f>IFERROR(MID(VLOOKUP($B53,Seqs!$A:$B,2,FALSE),AI53,1),"")</f>
        <v>F</v>
      </c>
      <c r="AI53" s="3">
        <v>193</v>
      </c>
      <c r="AJ53" s="3" t="str">
        <f>IFERROR(MID(VLOOKUP($B53,Seqs!$A:$B,2,FALSE),AK53,1),"")</f>
        <v>A</v>
      </c>
      <c r="AK53" s="3">
        <v>198</v>
      </c>
      <c r="AL53" s="3" t="str">
        <f>IFERROR(MID(VLOOKUP($B53,Seqs!$A:$B,2,FALSE),AM53,1),"")</f>
        <v>E</v>
      </c>
      <c r="AM53" s="3">
        <v>225</v>
      </c>
      <c r="AN53" s="3" t="str">
        <f>IFERROR(MID(VLOOKUP($B53,Seqs!$A:$B,2,FALSE),AO53,1),"")</f>
        <v>L</v>
      </c>
      <c r="AO53" s="3">
        <v>266</v>
      </c>
      <c r="AP53" s="3" t="str">
        <f>IFERROR(MID(VLOOKUP($B53,Seqs!$A:$B,2,FALSE),AQ53,1),"")</f>
        <v>Q</v>
      </c>
      <c r="AQ53" s="3">
        <v>299</v>
      </c>
      <c r="AR53" s="3" t="str">
        <f>IFERROR(MID(VLOOKUP($B53,Seqs!$A:$B,2,FALSE),AS53,1),"")</f>
        <v>R</v>
      </c>
      <c r="AS53" s="3">
        <v>304</v>
      </c>
      <c r="AT53" s="3" t="str">
        <f>IFERROR(MID(VLOOKUP($B53,Seqs!$A:$B,2,FALSE),AU53,1),"")</f>
        <v>R</v>
      </c>
      <c r="AU53" s="3">
        <v>328</v>
      </c>
      <c r="AV53" s="3" t="str">
        <f>IFERROR(MID(VLOOKUP($B53,Seqs!$A:$B,2,FALSE),AW53,1),"")</f>
        <v>S</v>
      </c>
      <c r="AW53" s="3">
        <v>329</v>
      </c>
      <c r="AX53" s="3" t="str">
        <f>IFERROR(MID(VLOOKUP($B53,Seqs!$A:$B,2,FALSE),AY53,1),"")</f>
        <v>C</v>
      </c>
      <c r="AY53" s="3">
        <v>341</v>
      </c>
      <c r="AZ53" s="83" t="str">
        <f>VLOOKUP(B53,Classification!A:D,2,FALSE)</f>
        <v>A</v>
      </c>
      <c r="BC53" s="57">
        <f t="shared" si="88"/>
        <v>245</v>
      </c>
      <c r="BD53" s="63" t="b">
        <f t="shared" si="89"/>
        <v>1</v>
      </c>
      <c r="BE53" s="68" t="s">
        <v>1514</v>
      </c>
      <c r="BF53" s="75" t="s">
        <v>1514</v>
      </c>
      <c r="BG53" s="75" t="s">
        <v>1514</v>
      </c>
      <c r="BH53" s="75" t="s">
        <v>1514</v>
      </c>
      <c r="BI53" s="75" t="s">
        <v>1514</v>
      </c>
      <c r="BJ53" s="75" t="s">
        <v>1514</v>
      </c>
      <c r="BK53" s="75" t="s">
        <v>1514</v>
      </c>
      <c r="BL53" s="75" t="s">
        <v>1514</v>
      </c>
      <c r="BM53" s="75" t="s">
        <v>1514</v>
      </c>
      <c r="BN53" s="75" t="s">
        <v>1514</v>
      </c>
      <c r="BO53" s="75" t="s">
        <v>1514</v>
      </c>
      <c r="BP53" s="75" t="s">
        <v>1514</v>
      </c>
      <c r="BQ53" s="68">
        <f t="shared" si="62"/>
        <v>29</v>
      </c>
      <c r="BR53" s="69">
        <f t="shared" si="63"/>
        <v>62</v>
      </c>
      <c r="BS53" s="70">
        <f t="shared" si="64"/>
        <v>66</v>
      </c>
      <c r="BT53" s="69">
        <f t="shared" si="65"/>
        <v>98</v>
      </c>
      <c r="BU53" s="70">
        <f t="shared" si="66"/>
        <v>102</v>
      </c>
      <c r="BV53" s="69">
        <f t="shared" si="67"/>
        <v>138</v>
      </c>
      <c r="BW53" s="70">
        <f t="shared" si="68"/>
        <v>147</v>
      </c>
      <c r="BX53" s="69">
        <f t="shared" si="69"/>
        <v>191</v>
      </c>
      <c r="BY53" s="70">
        <f t="shared" si="70"/>
        <v>198</v>
      </c>
      <c r="BZ53" s="69">
        <f t="shared" si="71"/>
        <v>266</v>
      </c>
      <c r="CA53" s="70">
        <f t="shared" si="72"/>
        <v>304</v>
      </c>
      <c r="CB53" s="69">
        <f t="shared" si="73"/>
        <v>329</v>
      </c>
      <c r="CC53" s="68">
        <f t="shared" si="74"/>
        <v>61</v>
      </c>
      <c r="CD53" s="69">
        <f t="shared" si="75"/>
        <v>65</v>
      </c>
      <c r="CE53" s="70">
        <f t="shared" si="76"/>
        <v>96</v>
      </c>
      <c r="CF53" s="70">
        <f t="shared" si="77"/>
        <v>101</v>
      </c>
      <c r="CG53" s="70">
        <f t="shared" si="78"/>
        <v>137</v>
      </c>
      <c r="CH53" s="70">
        <f t="shared" si="79"/>
        <v>145</v>
      </c>
      <c r="CI53" s="70">
        <f t="shared" si="80"/>
        <v>172</v>
      </c>
      <c r="CJ53" s="70">
        <f t="shared" si="81"/>
        <v>193</v>
      </c>
      <c r="CK53" s="70">
        <f t="shared" si="82"/>
        <v>225</v>
      </c>
      <c r="CL53" s="70">
        <f t="shared" si="83"/>
        <v>299</v>
      </c>
      <c r="CM53" s="70">
        <f t="shared" si="84"/>
        <v>328</v>
      </c>
      <c r="CN53" s="70">
        <f t="shared" si="85"/>
        <v>341</v>
      </c>
      <c r="CO53" s="57">
        <f t="shared" si="86"/>
        <v>1</v>
      </c>
    </row>
    <row r="54" spans="1:93" x14ac:dyDescent="0.2">
      <c r="A54" s="3" t="str">
        <f t="shared" si="87"/>
        <v>adrb2_human_4LDO</v>
      </c>
      <c r="B54" s="3" t="s">
        <v>320</v>
      </c>
      <c r="C54" s="3" t="s">
        <v>1252</v>
      </c>
      <c r="D54" s="3" t="str">
        <f>IFERROR(MID(VLOOKUP($B54,Seqs!$A:$B,2,FALSE),E54,1),"")</f>
        <v>D</v>
      </c>
      <c r="E54" s="3">
        <v>29</v>
      </c>
      <c r="F54" s="3" t="str">
        <f>IFERROR(MID(VLOOKUP($B54,Seqs!$A:$B,2,FALSE),G54,1),"")</f>
        <v>F</v>
      </c>
      <c r="G54" s="3">
        <v>61</v>
      </c>
      <c r="H54" s="3" t="str">
        <f>IFERROR(MID(VLOOKUP($B54,Seqs!$A:$B,2,FALSE),I54,1),"")</f>
        <v>E</v>
      </c>
      <c r="I54" s="57">
        <v>62</v>
      </c>
      <c r="J54" s="3" t="str">
        <f>IFERROR(MID(VLOOKUP($B54,Seqs!$A:$B,2,FALSE),K54,1),"")</f>
        <v>Q</v>
      </c>
      <c r="K54" s="57">
        <v>65</v>
      </c>
      <c r="L54" s="3" t="str">
        <f>IFERROR(MID(VLOOKUP($B54,Seqs!$A:$B,2,FALSE),M54,1),"")</f>
        <v>T</v>
      </c>
      <c r="M54" s="3">
        <v>66</v>
      </c>
      <c r="N54" s="3" t="str">
        <f>IFERROR(MID(VLOOKUP($B54,Seqs!$A:$B,2,FALSE),O54,1),"")</f>
        <v>M</v>
      </c>
      <c r="O54" s="3">
        <v>96</v>
      </c>
      <c r="P54" s="3" t="str">
        <f>IFERROR(MID(VLOOKUP($B54,Seqs!$A:$B,2,FALSE),Q54,1),"")</f>
        <v>M</v>
      </c>
      <c r="Q54" s="3">
        <v>98</v>
      </c>
      <c r="R54" s="3" t="str">
        <f>IFERROR(MID(VLOOKUP($B54,Seqs!$A:$B,2,FALSE),S54,1),"")</f>
        <v>F</v>
      </c>
      <c r="S54" s="3">
        <v>101</v>
      </c>
      <c r="T54" s="3" t="str">
        <f>IFERROR(MID(VLOOKUP($B54,Seqs!$A:$B,2,FALSE),U54,1),"")</f>
        <v>G</v>
      </c>
      <c r="U54" s="3">
        <v>102</v>
      </c>
      <c r="V54" s="3" t="str">
        <f>IFERROR(MID(VLOOKUP($B54,Seqs!$A:$B,2,FALSE),W54,1),"")</f>
        <v>S</v>
      </c>
      <c r="W54" s="3">
        <v>137</v>
      </c>
      <c r="X54" s="3" t="str">
        <f>IFERROR(MID(VLOOKUP($B54,Seqs!$A:$B,2,FALSE),Y54,1),"")</f>
        <v>P</v>
      </c>
      <c r="Y54" s="3">
        <v>138</v>
      </c>
      <c r="Z54" s="3" t="str">
        <f>IFERROR(MID(VLOOKUP($B54,Seqs!$A:$B,2,FALSE),AA54,1),"")</f>
        <v>L</v>
      </c>
      <c r="AA54" s="3">
        <v>145</v>
      </c>
      <c r="AB54" s="3" t="str">
        <f>IFERROR(MID(VLOOKUP($B54,Seqs!$A:$B,2,FALSE),AC54,1),"")</f>
        <v>K</v>
      </c>
      <c r="AC54" s="3">
        <v>147</v>
      </c>
      <c r="AD54" s="3" t="str">
        <f>IFERROR(MID(VLOOKUP($B54,Seqs!$A:$B,2,FALSE),AE54,1),"")</f>
        <v>H</v>
      </c>
      <c r="AE54" s="3">
        <v>172</v>
      </c>
      <c r="AF54" s="3" t="str">
        <f>IFERROR(MID(VLOOKUP($B54,Seqs!$A:$B,2,FALSE),AG54,1),"")</f>
        <v>C</v>
      </c>
      <c r="AG54" s="3">
        <v>191</v>
      </c>
      <c r="AH54" s="3" t="str">
        <f>IFERROR(MID(VLOOKUP($B54,Seqs!$A:$B,2,FALSE),AI54,1),"")</f>
        <v>F</v>
      </c>
      <c r="AI54" s="3">
        <v>193</v>
      </c>
      <c r="AJ54" s="3" t="str">
        <f>IFERROR(MID(VLOOKUP($B54,Seqs!$A:$B,2,FALSE),AK54,1),"")</f>
        <v>A</v>
      </c>
      <c r="AK54" s="3">
        <v>198</v>
      </c>
      <c r="AL54" s="3" t="str">
        <f>IFERROR(MID(VLOOKUP($B54,Seqs!$A:$B,2,FALSE),AM54,1),"")</f>
        <v>E</v>
      </c>
      <c r="AM54" s="3">
        <v>225</v>
      </c>
      <c r="AN54" s="3" t="str">
        <f>IFERROR(MID(VLOOKUP($B54,Seqs!$A:$B,2,FALSE),AO54,1),"")</f>
        <v>L</v>
      </c>
      <c r="AO54" s="3">
        <v>266</v>
      </c>
      <c r="AP54" s="3" t="str">
        <f>IFERROR(MID(VLOOKUP($B54,Seqs!$A:$B,2,FALSE),AQ54,1),"")</f>
        <v>Q</v>
      </c>
      <c r="AQ54" s="3">
        <v>299</v>
      </c>
      <c r="AR54" s="3" t="str">
        <f>IFERROR(MID(VLOOKUP($B54,Seqs!$A:$B,2,FALSE),AS54,1),"")</f>
        <v>R</v>
      </c>
      <c r="AS54" s="3">
        <v>304</v>
      </c>
      <c r="AT54" s="3" t="str">
        <f>IFERROR(MID(VLOOKUP($B54,Seqs!$A:$B,2,FALSE),AU54,1),"")</f>
        <v>R</v>
      </c>
      <c r="AU54" s="3">
        <v>328</v>
      </c>
      <c r="AV54" s="3" t="str">
        <f>IFERROR(MID(VLOOKUP($B54,Seqs!$A:$B,2,FALSE),AW54,1),"")</f>
        <v>S</v>
      </c>
      <c r="AW54" s="3">
        <v>329</v>
      </c>
      <c r="AX54" s="3" t="str">
        <f>IFERROR(MID(VLOOKUP($B54,Seqs!$A:$B,2,FALSE),AY54,1),"")</f>
        <v>C</v>
      </c>
      <c r="AY54" s="3">
        <v>341</v>
      </c>
      <c r="AZ54" s="83" t="str">
        <f>VLOOKUP(B54,Classification!A:D,2,FALSE)</f>
        <v>A</v>
      </c>
      <c r="BC54" s="57">
        <f t="shared" si="88"/>
        <v>245</v>
      </c>
      <c r="BD54" s="63" t="b">
        <f t="shared" si="89"/>
        <v>1</v>
      </c>
      <c r="BE54" s="68" t="s">
        <v>1514</v>
      </c>
      <c r="BF54" s="75" t="s">
        <v>1514</v>
      </c>
      <c r="BG54" s="75" t="s">
        <v>1514</v>
      </c>
      <c r="BH54" s="75" t="s">
        <v>1514</v>
      </c>
      <c r="BI54" s="75" t="s">
        <v>1514</v>
      </c>
      <c r="BJ54" s="75" t="s">
        <v>1514</v>
      </c>
      <c r="BK54" s="75" t="s">
        <v>1514</v>
      </c>
      <c r="BL54" s="75" t="s">
        <v>1514</v>
      </c>
      <c r="BM54" s="75" t="s">
        <v>1514</v>
      </c>
      <c r="BN54" s="75" t="s">
        <v>1514</v>
      </c>
      <c r="BO54" s="75" t="s">
        <v>1514</v>
      </c>
      <c r="BP54" s="75" t="s">
        <v>1514</v>
      </c>
      <c r="BQ54" s="68">
        <f t="shared" si="62"/>
        <v>29</v>
      </c>
      <c r="BR54" s="69">
        <f t="shared" si="63"/>
        <v>62</v>
      </c>
      <c r="BS54" s="70">
        <f t="shared" si="64"/>
        <v>66</v>
      </c>
      <c r="BT54" s="69">
        <f t="shared" si="65"/>
        <v>98</v>
      </c>
      <c r="BU54" s="70">
        <f t="shared" si="66"/>
        <v>102</v>
      </c>
      <c r="BV54" s="69">
        <f t="shared" si="67"/>
        <v>138</v>
      </c>
      <c r="BW54" s="70">
        <f t="shared" si="68"/>
        <v>147</v>
      </c>
      <c r="BX54" s="69">
        <f t="shared" si="69"/>
        <v>191</v>
      </c>
      <c r="BY54" s="70">
        <f t="shared" si="70"/>
        <v>198</v>
      </c>
      <c r="BZ54" s="69">
        <f t="shared" si="71"/>
        <v>266</v>
      </c>
      <c r="CA54" s="70">
        <f t="shared" si="72"/>
        <v>304</v>
      </c>
      <c r="CB54" s="69">
        <f t="shared" si="73"/>
        <v>329</v>
      </c>
      <c r="CC54" s="68">
        <f t="shared" si="74"/>
        <v>61</v>
      </c>
      <c r="CD54" s="69">
        <f t="shared" si="75"/>
        <v>65</v>
      </c>
      <c r="CE54" s="70">
        <f t="shared" si="76"/>
        <v>96</v>
      </c>
      <c r="CF54" s="70">
        <f t="shared" si="77"/>
        <v>101</v>
      </c>
      <c r="CG54" s="70">
        <f t="shared" si="78"/>
        <v>137</v>
      </c>
      <c r="CH54" s="70">
        <f t="shared" si="79"/>
        <v>145</v>
      </c>
      <c r="CI54" s="70">
        <f t="shared" si="80"/>
        <v>172</v>
      </c>
      <c r="CJ54" s="70">
        <f t="shared" si="81"/>
        <v>193</v>
      </c>
      <c r="CK54" s="70">
        <f t="shared" si="82"/>
        <v>225</v>
      </c>
      <c r="CL54" s="70">
        <f t="shared" si="83"/>
        <v>299</v>
      </c>
      <c r="CM54" s="70">
        <f t="shared" si="84"/>
        <v>328</v>
      </c>
      <c r="CN54" s="70">
        <f t="shared" si="85"/>
        <v>341</v>
      </c>
      <c r="CO54" s="57">
        <f t="shared" si="86"/>
        <v>1</v>
      </c>
    </row>
    <row r="55" spans="1:93" x14ac:dyDescent="0.2">
      <c r="A55" s="3" t="str">
        <f t="shared" si="87"/>
        <v>adrb2_human_4QKX</v>
      </c>
      <c r="B55" s="3" t="s">
        <v>320</v>
      </c>
      <c r="C55" s="3" t="s">
        <v>269</v>
      </c>
      <c r="D55" s="3" t="str">
        <f>IFERROR(MID(VLOOKUP($B55,Seqs!$A:$B,2,FALSE),E55,1),"")</f>
        <v>D</v>
      </c>
      <c r="E55" s="3">
        <v>29</v>
      </c>
      <c r="F55" s="3" t="str">
        <f>IFERROR(MID(VLOOKUP($B55,Seqs!$A:$B,2,FALSE),G55,1),"")</f>
        <v>F</v>
      </c>
      <c r="G55" s="3">
        <v>61</v>
      </c>
      <c r="H55" s="3" t="str">
        <f>IFERROR(MID(VLOOKUP($B55,Seqs!$A:$B,2,FALSE),I55,1),"")</f>
        <v>E</v>
      </c>
      <c r="I55" s="57">
        <v>62</v>
      </c>
      <c r="J55" s="3" t="str">
        <f>IFERROR(MID(VLOOKUP($B55,Seqs!$A:$B,2,FALSE),K55,1),"")</f>
        <v>Q</v>
      </c>
      <c r="K55" s="57">
        <v>65</v>
      </c>
      <c r="L55" s="3" t="str">
        <f>IFERROR(MID(VLOOKUP($B55,Seqs!$A:$B,2,FALSE),M55,1),"")</f>
        <v>T</v>
      </c>
      <c r="M55" s="3">
        <v>66</v>
      </c>
      <c r="N55" s="3" t="str">
        <f>IFERROR(MID(VLOOKUP($B55,Seqs!$A:$B,2,FALSE),O55,1),"")</f>
        <v>M</v>
      </c>
      <c r="O55" s="3">
        <v>96</v>
      </c>
      <c r="P55" s="3" t="str">
        <f>IFERROR(MID(VLOOKUP($B55,Seqs!$A:$B,2,FALSE),Q55,1),"")</f>
        <v>M</v>
      </c>
      <c r="Q55" s="3">
        <v>98</v>
      </c>
      <c r="R55" s="3" t="str">
        <f>IFERROR(MID(VLOOKUP($B55,Seqs!$A:$B,2,FALSE),S55,1),"")</f>
        <v>F</v>
      </c>
      <c r="S55" s="3">
        <v>101</v>
      </c>
      <c r="T55" s="3" t="str">
        <f>IFERROR(MID(VLOOKUP($B55,Seqs!$A:$B,2,FALSE),U55,1),"")</f>
        <v>G</v>
      </c>
      <c r="U55" s="3">
        <v>102</v>
      </c>
      <c r="V55" s="3" t="str">
        <f>IFERROR(MID(VLOOKUP($B55,Seqs!$A:$B,2,FALSE),W55,1),"")</f>
        <v>S</v>
      </c>
      <c r="W55" s="3">
        <v>137</v>
      </c>
      <c r="X55" s="3" t="str">
        <f>IFERROR(MID(VLOOKUP($B55,Seqs!$A:$B,2,FALSE),Y55,1),"")</f>
        <v>P</v>
      </c>
      <c r="Y55" s="3">
        <v>138</v>
      </c>
      <c r="Z55" s="3" t="str">
        <f>IFERROR(MID(VLOOKUP($B55,Seqs!$A:$B,2,FALSE),AA55,1),"")</f>
        <v>L</v>
      </c>
      <c r="AA55" s="3">
        <v>145</v>
      </c>
      <c r="AB55" s="3" t="str">
        <f>IFERROR(MID(VLOOKUP($B55,Seqs!$A:$B,2,FALSE),AC55,1),"")</f>
        <v>K</v>
      </c>
      <c r="AC55" s="3">
        <v>147</v>
      </c>
      <c r="AD55" s="3" t="str">
        <f>IFERROR(MID(VLOOKUP($B55,Seqs!$A:$B,2,FALSE),AE55,1),"")</f>
        <v>H</v>
      </c>
      <c r="AE55" s="3">
        <v>172</v>
      </c>
      <c r="AF55" s="3" t="str">
        <f>IFERROR(MID(VLOOKUP($B55,Seqs!$A:$B,2,FALSE),AG55,1),"")</f>
        <v>C</v>
      </c>
      <c r="AG55" s="3">
        <v>191</v>
      </c>
      <c r="AH55" s="3" t="str">
        <f>IFERROR(MID(VLOOKUP($B55,Seqs!$A:$B,2,FALSE),AI55,1),"")</f>
        <v>F</v>
      </c>
      <c r="AI55" s="3">
        <v>193</v>
      </c>
      <c r="AJ55" s="3" t="str">
        <f>IFERROR(MID(VLOOKUP($B55,Seqs!$A:$B,2,FALSE),AK55,1),"")</f>
        <v>A</v>
      </c>
      <c r="AK55" s="3">
        <v>198</v>
      </c>
      <c r="AL55" s="3" t="str">
        <f>IFERROR(MID(VLOOKUP($B55,Seqs!$A:$B,2,FALSE),AM55,1),"")</f>
        <v>E</v>
      </c>
      <c r="AM55" s="3">
        <v>225</v>
      </c>
      <c r="AN55" s="3" t="str">
        <f>IFERROR(MID(VLOOKUP($B55,Seqs!$A:$B,2,FALSE),AO55,1),"")</f>
        <v>L</v>
      </c>
      <c r="AO55" s="3">
        <v>266</v>
      </c>
      <c r="AP55" s="3" t="str">
        <f>IFERROR(MID(VLOOKUP($B55,Seqs!$A:$B,2,FALSE),AQ55,1),"")</f>
        <v>Q</v>
      </c>
      <c r="AQ55" s="3">
        <v>299</v>
      </c>
      <c r="AR55" s="3" t="str">
        <f>IFERROR(MID(VLOOKUP($B55,Seqs!$A:$B,2,FALSE),AS55,1),"")</f>
        <v>R</v>
      </c>
      <c r="AS55" s="3">
        <v>304</v>
      </c>
      <c r="AT55" s="3" t="str">
        <f>IFERROR(MID(VLOOKUP($B55,Seqs!$A:$B,2,FALSE),AU55,1),"")</f>
        <v>R</v>
      </c>
      <c r="AU55" s="3">
        <v>328</v>
      </c>
      <c r="AV55" s="3" t="str">
        <f>IFERROR(MID(VLOOKUP($B55,Seqs!$A:$B,2,FALSE),AW55,1),"")</f>
        <v>S</v>
      </c>
      <c r="AW55" s="3">
        <v>329</v>
      </c>
      <c r="AX55" s="3" t="str">
        <f>IFERROR(MID(VLOOKUP($B55,Seqs!$A:$B,2,FALSE),AY55,1),"")</f>
        <v>C</v>
      </c>
      <c r="AY55" s="3">
        <v>341</v>
      </c>
      <c r="AZ55" s="83" t="str">
        <f>VLOOKUP(B55,Classification!A:D,2,FALSE)</f>
        <v>A</v>
      </c>
      <c r="BC55" s="57">
        <f t="shared" si="88"/>
        <v>245</v>
      </c>
      <c r="BD55" s="63" t="b">
        <f t="shared" si="89"/>
        <v>1</v>
      </c>
      <c r="BE55" s="68" t="s">
        <v>1514</v>
      </c>
      <c r="BF55" s="75" t="s">
        <v>1514</v>
      </c>
      <c r="BG55" s="75" t="s">
        <v>1514</v>
      </c>
      <c r="BH55" s="75" t="s">
        <v>1514</v>
      </c>
      <c r="BI55" s="75" t="s">
        <v>1514</v>
      </c>
      <c r="BJ55" s="75" t="s">
        <v>1514</v>
      </c>
      <c r="BK55" s="75" t="s">
        <v>1514</v>
      </c>
      <c r="BL55" s="75" t="s">
        <v>1514</v>
      </c>
      <c r="BM55" s="75" t="s">
        <v>1514</v>
      </c>
      <c r="BN55" s="75" t="s">
        <v>1514</v>
      </c>
      <c r="BO55" s="75" t="s">
        <v>1514</v>
      </c>
      <c r="BP55" s="75" t="s">
        <v>1514</v>
      </c>
      <c r="BQ55" s="68">
        <f t="shared" si="62"/>
        <v>29</v>
      </c>
      <c r="BR55" s="69">
        <f t="shared" si="63"/>
        <v>62</v>
      </c>
      <c r="BS55" s="70">
        <f t="shared" si="64"/>
        <v>66</v>
      </c>
      <c r="BT55" s="69">
        <f t="shared" si="65"/>
        <v>98</v>
      </c>
      <c r="BU55" s="70">
        <f t="shared" si="66"/>
        <v>102</v>
      </c>
      <c r="BV55" s="69">
        <f t="shared" si="67"/>
        <v>138</v>
      </c>
      <c r="BW55" s="70">
        <f t="shared" si="68"/>
        <v>147</v>
      </c>
      <c r="BX55" s="69">
        <f t="shared" si="69"/>
        <v>191</v>
      </c>
      <c r="BY55" s="70">
        <f t="shared" si="70"/>
        <v>198</v>
      </c>
      <c r="BZ55" s="69">
        <f t="shared" si="71"/>
        <v>266</v>
      </c>
      <c r="CA55" s="70">
        <f t="shared" si="72"/>
        <v>304</v>
      </c>
      <c r="CB55" s="69">
        <f t="shared" si="73"/>
        <v>329</v>
      </c>
      <c r="CC55" s="68">
        <f t="shared" si="74"/>
        <v>61</v>
      </c>
      <c r="CD55" s="69">
        <f t="shared" si="75"/>
        <v>65</v>
      </c>
      <c r="CE55" s="70">
        <f t="shared" si="76"/>
        <v>96</v>
      </c>
      <c r="CF55" s="70">
        <f t="shared" si="77"/>
        <v>101</v>
      </c>
      <c r="CG55" s="70">
        <f t="shared" si="78"/>
        <v>137</v>
      </c>
      <c r="CH55" s="70">
        <f t="shared" si="79"/>
        <v>145</v>
      </c>
      <c r="CI55" s="70">
        <f t="shared" si="80"/>
        <v>172</v>
      </c>
      <c r="CJ55" s="70">
        <f t="shared" si="81"/>
        <v>193</v>
      </c>
      <c r="CK55" s="70">
        <f t="shared" si="82"/>
        <v>225</v>
      </c>
      <c r="CL55" s="70">
        <f t="shared" si="83"/>
        <v>299</v>
      </c>
      <c r="CM55" s="70">
        <f t="shared" si="84"/>
        <v>328</v>
      </c>
      <c r="CN55" s="70">
        <f t="shared" si="85"/>
        <v>341</v>
      </c>
      <c r="CO55" s="57">
        <f t="shared" si="86"/>
        <v>1</v>
      </c>
    </row>
    <row r="56" spans="1:93" x14ac:dyDescent="0.2">
      <c r="A56" s="3" t="str">
        <f t="shared" si="87"/>
        <v>agtr1_human__wt</v>
      </c>
      <c r="B56" s="3" t="s">
        <v>352</v>
      </c>
      <c r="C56" s="3" t="s">
        <v>294</v>
      </c>
      <c r="D56" s="3" t="str">
        <f>IFERROR(MID(VLOOKUP($B56,Seqs!$A:$B,2,FALSE),E56,1),"")</f>
        <v>Y</v>
      </c>
      <c r="E56" s="3">
        <v>26</v>
      </c>
      <c r="F56" s="3" t="str">
        <f>IFERROR(MID(VLOOKUP($B56,Seqs!$A:$B,2,FALSE),G56,1),"")</f>
        <v>Y</v>
      </c>
      <c r="G56" s="3">
        <v>56</v>
      </c>
      <c r="H56" s="3" t="str">
        <f>IFERROR(MID(VLOOKUP($B56,Seqs!$A:$B,2,FALSE),I56,1),"")</f>
        <v>M</v>
      </c>
      <c r="I56" s="57">
        <v>57</v>
      </c>
      <c r="J56" s="3" t="str">
        <f>IFERROR(MID(VLOOKUP($B56,Seqs!$A:$B,2,FALSE),K56,1),"")</f>
        <v>K</v>
      </c>
      <c r="K56" s="57">
        <v>60</v>
      </c>
      <c r="L56" s="3" t="str">
        <f>IFERROR(MID(VLOOKUP($B56,Seqs!$A:$B,2,FALSE),M56,1),"")</f>
        <v>T</v>
      </c>
      <c r="M56" s="3">
        <v>61</v>
      </c>
      <c r="N56" s="3" t="str">
        <f>IFERROR(MID(VLOOKUP($B56,Seqs!$A:$B,2,FALSE),O56,1),"")</f>
        <v>M</v>
      </c>
      <c r="O56" s="3">
        <v>90</v>
      </c>
      <c r="P56" s="3" t="str">
        <f>IFERROR(MID(VLOOKUP($B56,Seqs!$A:$B,2,FALSE),Q56,1),"")</f>
        <v>R</v>
      </c>
      <c r="Q56" s="3">
        <v>93</v>
      </c>
      <c r="R56" s="3" t="str">
        <f>IFERROR(MID(VLOOKUP($B56,Seqs!$A:$B,2,FALSE),S56,1),"")</f>
        <v>F</v>
      </c>
      <c r="S56" s="3">
        <v>96</v>
      </c>
      <c r="T56" s="3" t="str">
        <f>IFERROR(MID(VLOOKUP($B56,Seqs!$A:$B,2,FALSE),U56,1),"")</f>
        <v>G</v>
      </c>
      <c r="U56" s="3">
        <v>97</v>
      </c>
      <c r="V56" s="3" t="str">
        <f>IFERROR(MID(VLOOKUP($B56,Seqs!$A:$B,2,FALSE),W56,1),"")</f>
        <v>H</v>
      </c>
      <c r="W56" s="3">
        <v>132</v>
      </c>
      <c r="X56" s="3" t="str">
        <f>IFERROR(MID(VLOOKUP($B56,Seqs!$A:$B,2,FALSE),Y56,1),"")</f>
        <v>P</v>
      </c>
      <c r="Y56" s="3">
        <v>133</v>
      </c>
      <c r="Z56" s="3" t="str">
        <f>IFERROR(MID(VLOOKUP($B56,Seqs!$A:$B,2,FALSE),AA56,1),"")</f>
        <v>R</v>
      </c>
      <c r="AA56" s="3">
        <v>140</v>
      </c>
      <c r="AB56" s="3" t="str">
        <f>IFERROR(MID(VLOOKUP($B56,Seqs!$A:$B,2,FALSE),AC56,1),"")</f>
        <v>M</v>
      </c>
      <c r="AC56" s="3">
        <v>142</v>
      </c>
      <c r="AD56" s="3" t="str">
        <f>IFERROR(MID(VLOOKUP($B56,Seqs!$A:$B,2,FALSE),AE56,1),"")</f>
        <v>R</v>
      </c>
      <c r="AE56" s="3">
        <v>167</v>
      </c>
      <c r="AF56" s="3" t="str">
        <f>IFERROR(MID(VLOOKUP($B56,Seqs!$A:$B,2,FALSE),AG56,1),"")</f>
        <v>C</v>
      </c>
      <c r="AG56" s="3">
        <v>180</v>
      </c>
      <c r="AH56" s="3" t="str">
        <f>IFERROR(MID(VLOOKUP($B56,Seqs!$A:$B,2,FALSE),AI56,1),"")</f>
        <v>F</v>
      </c>
      <c r="AI56" s="3">
        <v>182</v>
      </c>
      <c r="AJ56" s="3" t="str">
        <f>IFERROR(MID(VLOOKUP($B56,Seqs!$A:$B,2,FALSE),AK56,1),"")</f>
        <v>L</v>
      </c>
      <c r="AK56" s="3">
        <v>191</v>
      </c>
      <c r="AL56" s="3" t="str">
        <f>IFERROR(MID(VLOOKUP($B56,Seqs!$A:$B,2,FALSE),AM56,1),"")</f>
        <v>A</v>
      </c>
      <c r="AM56" s="3">
        <v>225</v>
      </c>
      <c r="AN56" s="3" t="str">
        <f>IFERROR(MID(VLOOKUP($B56,Seqs!$A:$B,2,FALSE),AO56,1),"")</f>
        <v>P</v>
      </c>
      <c r="AO56" s="3">
        <v>233</v>
      </c>
      <c r="AP56" s="3" t="str">
        <f>IFERROR(MID(VLOOKUP($B56,Seqs!$A:$B,2,FALSE),AQ56,1),"")</f>
        <v>G</v>
      </c>
      <c r="AQ56" s="3">
        <v>269</v>
      </c>
      <c r="AR56" s="3" t="str">
        <f>IFERROR(MID(VLOOKUP($B56,Seqs!$A:$B,2,FALSE),AS56,1),"")</f>
        <v>D</v>
      </c>
      <c r="AS56" s="3">
        <v>273</v>
      </c>
      <c r="AT56" s="3" t="str">
        <f>IFERROR(MID(VLOOKUP($B56,Seqs!$A:$B,2,FALSE),AU56,1),"")</f>
        <v>L</v>
      </c>
      <c r="AU56" s="3">
        <v>305</v>
      </c>
      <c r="AV56" s="3" t="str">
        <f>IFERROR(MID(VLOOKUP($B56,Seqs!$A:$B,2,FALSE),AW56,1),"")</f>
        <v>G</v>
      </c>
      <c r="AW56" s="3">
        <v>306</v>
      </c>
      <c r="AX56" s="3" t="str">
        <f>IFERROR(MID(VLOOKUP($B56,Seqs!$A:$B,2,FALSE),AY56,1),"")</f>
        <v>I</v>
      </c>
      <c r="AY56" s="3">
        <v>320</v>
      </c>
      <c r="AZ56" s="83" t="str">
        <f>VLOOKUP(B56,Classification!A:D,2,FALSE)</f>
        <v>A</v>
      </c>
      <c r="BB56" s="82">
        <f>S56-Q56+1</f>
        <v>4</v>
      </c>
      <c r="BC56" s="57">
        <f t="shared" si="88"/>
        <v>262</v>
      </c>
      <c r="BD56" s="63" t="b">
        <f t="shared" si="89"/>
        <v>1</v>
      </c>
      <c r="BE56" s="68" t="s">
        <v>1514</v>
      </c>
      <c r="BF56" s="75" t="s">
        <v>1514</v>
      </c>
      <c r="BG56" s="75" t="s">
        <v>1514</v>
      </c>
      <c r="BH56" s="75" t="s">
        <v>1514</v>
      </c>
      <c r="BI56" s="75" t="s">
        <v>1514</v>
      </c>
      <c r="BJ56" s="75" t="s">
        <v>1514</v>
      </c>
      <c r="BK56" s="75" t="s">
        <v>1514</v>
      </c>
      <c r="BL56" s="75" t="s">
        <v>1514</v>
      </c>
      <c r="BM56" s="75" t="s">
        <v>1514</v>
      </c>
      <c r="BN56" s="75" t="s">
        <v>1514</v>
      </c>
      <c r="BO56" s="75" t="s">
        <v>1514</v>
      </c>
      <c r="BP56" s="75" t="s">
        <v>1514</v>
      </c>
      <c r="BQ56" s="68">
        <f t="shared" si="62"/>
        <v>26</v>
      </c>
      <c r="BR56" s="69">
        <f t="shared" si="63"/>
        <v>57</v>
      </c>
      <c r="BS56" s="70">
        <f t="shared" si="64"/>
        <v>61</v>
      </c>
      <c r="BT56" s="69">
        <f t="shared" si="65"/>
        <v>93</v>
      </c>
      <c r="BU56" s="70">
        <f t="shared" si="66"/>
        <v>97</v>
      </c>
      <c r="BV56" s="69">
        <f t="shared" si="67"/>
        <v>133</v>
      </c>
      <c r="BW56" s="70">
        <f t="shared" si="68"/>
        <v>142</v>
      </c>
      <c r="BX56" s="69">
        <f t="shared" si="69"/>
        <v>180</v>
      </c>
      <c r="BY56" s="70">
        <f t="shared" si="70"/>
        <v>191</v>
      </c>
      <c r="BZ56" s="69">
        <f t="shared" si="71"/>
        <v>233</v>
      </c>
      <c r="CA56" s="70">
        <f t="shared" si="72"/>
        <v>273</v>
      </c>
      <c r="CB56" s="69">
        <f t="shared" si="73"/>
        <v>306</v>
      </c>
      <c r="CC56" s="68">
        <f t="shared" si="74"/>
        <v>56</v>
      </c>
      <c r="CD56" s="69">
        <f t="shared" si="75"/>
        <v>60</v>
      </c>
      <c r="CE56" s="70">
        <f t="shared" si="76"/>
        <v>90</v>
      </c>
      <c r="CF56" s="70">
        <f t="shared" si="77"/>
        <v>96</v>
      </c>
      <c r="CG56" s="70">
        <f t="shared" si="78"/>
        <v>132</v>
      </c>
      <c r="CH56" s="70">
        <f t="shared" si="79"/>
        <v>140</v>
      </c>
      <c r="CI56" s="70">
        <f t="shared" si="80"/>
        <v>167</v>
      </c>
      <c r="CJ56" s="70">
        <f t="shared" si="81"/>
        <v>182</v>
      </c>
      <c r="CK56" s="70">
        <f t="shared" si="82"/>
        <v>225</v>
      </c>
      <c r="CL56" s="70">
        <f t="shared" si="83"/>
        <v>269</v>
      </c>
      <c r="CM56" s="70">
        <f t="shared" si="84"/>
        <v>305</v>
      </c>
      <c r="CN56" s="70">
        <f t="shared" si="85"/>
        <v>320</v>
      </c>
      <c r="CO56" s="57">
        <f t="shared" si="86"/>
        <v>1</v>
      </c>
    </row>
    <row r="57" spans="1:93" x14ac:dyDescent="0.2">
      <c r="A57" s="3" t="str">
        <f t="shared" si="87"/>
        <v>agtr1_human_4YAY</v>
      </c>
      <c r="B57" s="3" t="s">
        <v>352</v>
      </c>
      <c r="C57" s="3" t="s">
        <v>260</v>
      </c>
      <c r="D57" s="3" t="str">
        <f>IFERROR(MID(VLOOKUP($B57,Seqs!$A:$B,2,FALSE),E57,1),"")</f>
        <v>Y</v>
      </c>
      <c r="E57" s="3">
        <v>26</v>
      </c>
      <c r="F57" s="3" t="str">
        <f>IFERROR(MID(VLOOKUP($B57,Seqs!$A:$B,2,FALSE),G57,1),"")</f>
        <v>Y</v>
      </c>
      <c r="G57" s="3">
        <v>56</v>
      </c>
      <c r="H57" s="3" t="str">
        <f>IFERROR(MID(VLOOKUP($B57,Seqs!$A:$B,2,FALSE),I57,1),"")</f>
        <v>M</v>
      </c>
      <c r="I57" s="57">
        <v>57</v>
      </c>
      <c r="J57" s="3" t="str">
        <f>IFERROR(MID(VLOOKUP($B57,Seqs!$A:$B,2,FALSE),K57,1),"")</f>
        <v>K</v>
      </c>
      <c r="K57" s="57">
        <v>60</v>
      </c>
      <c r="L57" s="3" t="str">
        <f>IFERROR(MID(VLOOKUP($B57,Seqs!$A:$B,2,FALSE),M57,1),"")</f>
        <v>T</v>
      </c>
      <c r="M57" s="3">
        <v>61</v>
      </c>
      <c r="N57" s="3" t="str">
        <f>IFERROR(MID(VLOOKUP($B57,Seqs!$A:$B,2,FALSE),O57,1),"")</f>
        <v>M</v>
      </c>
      <c r="O57" s="3">
        <v>90</v>
      </c>
      <c r="P57" s="3" t="str">
        <f>IFERROR(MID(VLOOKUP($B57,Seqs!$A:$B,2,FALSE),Q57,1),"")</f>
        <v>R</v>
      </c>
      <c r="Q57" s="3">
        <v>93</v>
      </c>
      <c r="R57" s="3" t="str">
        <f>IFERROR(MID(VLOOKUP($B57,Seqs!$A:$B,2,FALSE),S57,1),"")</f>
        <v>F</v>
      </c>
      <c r="S57" s="3">
        <v>96</v>
      </c>
      <c r="T57" s="3" t="str">
        <f>IFERROR(MID(VLOOKUP($B57,Seqs!$A:$B,2,FALSE),U57,1),"")</f>
        <v>G</v>
      </c>
      <c r="U57" s="3">
        <v>97</v>
      </c>
      <c r="V57" s="3" t="str">
        <f>IFERROR(MID(VLOOKUP($B57,Seqs!$A:$B,2,FALSE),W57,1),"")</f>
        <v>H</v>
      </c>
      <c r="W57" s="3">
        <v>132</v>
      </c>
      <c r="X57" s="3" t="str">
        <f>IFERROR(MID(VLOOKUP($B57,Seqs!$A:$B,2,FALSE),Y57,1),"")</f>
        <v/>
      </c>
      <c r="Y57" s="3" t="s">
        <v>129</v>
      </c>
      <c r="Z57" s="3" t="str">
        <f>IFERROR(MID(VLOOKUP($B57,Seqs!$A:$B,2,FALSE),AA57,1),"")</f>
        <v/>
      </c>
      <c r="AA57" s="3" t="s">
        <v>129</v>
      </c>
      <c r="AB57" s="3" t="str">
        <f>IFERROR(MID(VLOOKUP($B57,Seqs!$A:$B,2,FALSE),AC57,1),"")</f>
        <v>L</v>
      </c>
      <c r="AC57" s="3">
        <v>138</v>
      </c>
      <c r="AD57" s="3" t="str">
        <f>IFERROR(MID(VLOOKUP($B57,Seqs!$A:$B,2,FALSE),AE57,1),"")</f>
        <v>R</v>
      </c>
      <c r="AE57" s="3">
        <v>167</v>
      </c>
      <c r="AF57" s="3" t="str">
        <f>IFERROR(MID(VLOOKUP($B57,Seqs!$A:$B,2,FALSE),AG57,1),"")</f>
        <v>C</v>
      </c>
      <c r="AG57" s="3">
        <v>180</v>
      </c>
      <c r="AH57" s="3" t="str">
        <f>IFERROR(MID(VLOOKUP($B57,Seqs!$A:$B,2,FALSE),AI57,1),"")</f>
        <v>F</v>
      </c>
      <c r="AI57" s="3">
        <v>182</v>
      </c>
      <c r="AJ57" s="3" t="str">
        <f>IFERROR(MID(VLOOKUP($B57,Seqs!$A:$B,2,FALSE),AK57,1),"")</f>
        <v>L</v>
      </c>
      <c r="AK57" s="3">
        <v>191</v>
      </c>
      <c r="AL57" s="3" t="str">
        <f>IFERROR(MID(VLOOKUP($B57,Seqs!$A:$B,2,FALSE),AM57,1),"")</f>
        <v>L</v>
      </c>
      <c r="AM57" s="3">
        <v>222</v>
      </c>
      <c r="AN57" s="3" t="str">
        <f>IFERROR(MID(VLOOKUP($B57,Seqs!$A:$B,2,FALSE),AO57,1),"")</f>
        <v>N</v>
      </c>
      <c r="AO57" s="3">
        <v>235</v>
      </c>
      <c r="AP57" s="3" t="str">
        <f>IFERROR(MID(VLOOKUP($B57,Seqs!$A:$B,2,FALSE),AQ57,1),"")</f>
        <v>G</v>
      </c>
      <c r="AQ57" s="3">
        <v>269</v>
      </c>
      <c r="AR57" s="3" t="str">
        <f>IFERROR(MID(VLOOKUP($B57,Seqs!$A:$B,2,FALSE),AS57,1),"")</f>
        <v>D</v>
      </c>
      <c r="AS57" s="3">
        <v>273</v>
      </c>
      <c r="AT57" s="3" t="str">
        <f>IFERROR(MID(VLOOKUP($B57,Seqs!$A:$B,2,FALSE),AU57,1),"")</f>
        <v>N</v>
      </c>
      <c r="AU57" s="3">
        <v>298</v>
      </c>
      <c r="AV57" s="3" t="str">
        <f>IFERROR(MID(VLOOKUP($B57,Seqs!$A:$B,2,FALSE),AW57,1),"")</f>
        <v/>
      </c>
      <c r="AW57" s="3" t="s">
        <v>129</v>
      </c>
      <c r="AX57" s="3" t="str">
        <f>IFERROR(MID(VLOOKUP($B57,Seqs!$A:$B,2,FALSE),AY57,1),"")</f>
        <v/>
      </c>
      <c r="AY57" s="3" t="s">
        <v>129</v>
      </c>
      <c r="AZ57" s="83" t="str">
        <f>VLOOKUP(B57,Classification!A:D,2,FALSE)</f>
        <v>A</v>
      </c>
      <c r="BC57" s="57">
        <f t="shared" si="88"/>
        <v>233</v>
      </c>
      <c r="BD57" s="63" t="b">
        <f t="shared" si="89"/>
        <v>1</v>
      </c>
      <c r="BE57" s="68" t="s">
        <v>1514</v>
      </c>
      <c r="BF57" s="75" t="s">
        <v>1514</v>
      </c>
      <c r="BG57" s="75" t="s">
        <v>1514</v>
      </c>
      <c r="BH57" s="75" t="s">
        <v>1514</v>
      </c>
      <c r="BI57" s="75" t="s">
        <v>1514</v>
      </c>
      <c r="BJ57" s="75" t="s">
        <v>1514</v>
      </c>
      <c r="BK57" s="75" t="s">
        <v>1514</v>
      </c>
      <c r="BL57" s="75" t="s">
        <v>1514</v>
      </c>
      <c r="BM57" s="75" t="s">
        <v>1514</v>
      </c>
      <c r="BN57" s="75" t="s">
        <v>1514</v>
      </c>
      <c r="BO57" s="75" t="s">
        <v>1514</v>
      </c>
      <c r="BP57" s="75" t="s">
        <v>1514</v>
      </c>
      <c r="BQ57" s="68">
        <f t="shared" si="62"/>
        <v>26</v>
      </c>
      <c r="BR57" s="69">
        <f t="shared" si="63"/>
        <v>57</v>
      </c>
      <c r="BS57" s="70">
        <f t="shared" si="64"/>
        <v>61</v>
      </c>
      <c r="BT57" s="69">
        <f t="shared" si="65"/>
        <v>93</v>
      </c>
      <c r="BU57" s="70">
        <f t="shared" si="66"/>
        <v>97</v>
      </c>
      <c r="BV57" s="69" t="str">
        <f t="shared" si="67"/>
        <v>-</v>
      </c>
      <c r="BW57" s="70">
        <f t="shared" si="68"/>
        <v>138</v>
      </c>
      <c r="BX57" s="69">
        <f t="shared" si="69"/>
        <v>180</v>
      </c>
      <c r="BY57" s="70">
        <f t="shared" si="70"/>
        <v>191</v>
      </c>
      <c r="BZ57" s="69">
        <f t="shared" si="71"/>
        <v>235</v>
      </c>
      <c r="CA57" s="70">
        <f t="shared" si="72"/>
        <v>273</v>
      </c>
      <c r="CB57" s="69" t="str">
        <f t="shared" si="73"/>
        <v>-</v>
      </c>
      <c r="CC57" s="68">
        <f t="shared" si="74"/>
        <v>56</v>
      </c>
      <c r="CD57" s="69">
        <f t="shared" si="75"/>
        <v>60</v>
      </c>
      <c r="CE57" s="70">
        <f t="shared" si="76"/>
        <v>90</v>
      </c>
      <c r="CF57" s="70">
        <f t="shared" si="77"/>
        <v>96</v>
      </c>
      <c r="CG57" s="70">
        <f t="shared" si="78"/>
        <v>132</v>
      </c>
      <c r="CH57" s="70" t="str">
        <f t="shared" si="79"/>
        <v>-</v>
      </c>
      <c r="CI57" s="70">
        <f t="shared" si="80"/>
        <v>167</v>
      </c>
      <c r="CJ57" s="70">
        <f t="shared" si="81"/>
        <v>182</v>
      </c>
      <c r="CK57" s="70">
        <f t="shared" si="82"/>
        <v>222</v>
      </c>
      <c r="CL57" s="70">
        <f t="shared" si="83"/>
        <v>269</v>
      </c>
      <c r="CM57" s="70">
        <f t="shared" si="84"/>
        <v>298</v>
      </c>
      <c r="CN57" s="70" t="str">
        <f t="shared" si="85"/>
        <v>-</v>
      </c>
      <c r="CO57" s="57">
        <f t="shared" si="86"/>
        <v>1</v>
      </c>
    </row>
    <row r="58" spans="1:93" x14ac:dyDescent="0.2">
      <c r="A58" s="3" t="str">
        <f t="shared" si="87"/>
        <v>agtr1_human_4YAY_dist</v>
      </c>
      <c r="B58" s="3" t="s">
        <v>352</v>
      </c>
      <c r="C58" s="3" t="s">
        <v>1379</v>
      </c>
      <c r="D58" s="3" t="str">
        <f>IFERROR(MID(VLOOKUP($B58,Seqs!$A:$B,2,FALSE),E58,1),"")</f>
        <v>Y</v>
      </c>
      <c r="E58" s="3">
        <v>26</v>
      </c>
      <c r="F58" s="3" t="str">
        <f>IFERROR(MID(VLOOKUP($B58,Seqs!$A:$B,2,FALSE),G58,1),"")</f>
        <v>Y</v>
      </c>
      <c r="G58" s="3">
        <v>56</v>
      </c>
      <c r="H58" s="3" t="str">
        <f>IFERROR(MID(VLOOKUP($B58,Seqs!$A:$B,2,FALSE),I58,1),"")</f>
        <v>M</v>
      </c>
      <c r="I58" s="57">
        <v>57</v>
      </c>
      <c r="J58" s="3" t="str">
        <f>IFERROR(MID(VLOOKUP($B58,Seqs!$A:$B,2,FALSE),K58,1),"")</f>
        <v>K</v>
      </c>
      <c r="K58" s="57">
        <v>60</v>
      </c>
      <c r="L58" s="3" t="str">
        <f>IFERROR(MID(VLOOKUP($B58,Seqs!$A:$B,2,FALSE),M58,1),"")</f>
        <v>T</v>
      </c>
      <c r="M58" s="3">
        <v>61</v>
      </c>
      <c r="N58" s="3" t="str">
        <f>IFERROR(MID(VLOOKUP($B58,Seqs!$A:$B,2,FALSE),O58,1),"")</f>
        <v>M</v>
      </c>
      <c r="O58" s="3">
        <v>90</v>
      </c>
      <c r="P58" s="3" t="str">
        <f>IFERROR(MID(VLOOKUP($B58,Seqs!$A:$B,2,FALSE),Q58,1),"")</f>
        <v>R</v>
      </c>
      <c r="Q58" s="3">
        <v>93</v>
      </c>
      <c r="R58" s="3" t="str">
        <f>IFERROR(MID(VLOOKUP($B58,Seqs!$A:$B,2,FALSE),S58,1),"")</f>
        <v>F</v>
      </c>
      <c r="S58" s="3">
        <v>96</v>
      </c>
      <c r="T58" s="3" t="str">
        <f>IFERROR(MID(VLOOKUP($B58,Seqs!$A:$B,2,FALSE),U58,1),"")</f>
        <v>G</v>
      </c>
      <c r="U58" s="3">
        <v>97</v>
      </c>
      <c r="V58" s="3" t="str">
        <f>IFERROR(MID(VLOOKUP($B58,Seqs!$A:$B,2,FALSE),W58,1),"")</f>
        <v>H</v>
      </c>
      <c r="W58" s="3">
        <v>132</v>
      </c>
      <c r="X58" s="3" t="str">
        <f>IFERROR(MID(VLOOKUP($B58,Seqs!$A:$B,2,FALSE),Y58,1),"")</f>
        <v/>
      </c>
      <c r="Y58" s="3" t="s">
        <v>129</v>
      </c>
      <c r="Z58" s="3" t="str">
        <f>IFERROR(MID(VLOOKUP($B58,Seqs!$A:$B,2,FALSE),AA58,1),"")</f>
        <v/>
      </c>
      <c r="AA58" s="3" t="s">
        <v>129</v>
      </c>
      <c r="AB58" s="3" t="str">
        <f>IFERROR(MID(VLOOKUP($B58,Seqs!$A:$B,2,FALSE),AC58,1),"")</f>
        <v>L</v>
      </c>
      <c r="AC58" s="3">
        <v>138</v>
      </c>
      <c r="AD58" s="3" t="str">
        <f>IFERROR(MID(VLOOKUP($B58,Seqs!$A:$B,2,FALSE),AE58,1),"")</f>
        <v>R</v>
      </c>
      <c r="AE58" s="3">
        <v>167</v>
      </c>
      <c r="AF58" s="3" t="str">
        <f>IFERROR(MID(VLOOKUP($B58,Seqs!$A:$B,2,FALSE),AG58,1),"")</f>
        <v>C</v>
      </c>
      <c r="AG58" s="3">
        <v>180</v>
      </c>
      <c r="AH58" s="3" t="str">
        <f>IFERROR(MID(VLOOKUP($B58,Seqs!$A:$B,2,FALSE),AI58,1),"")</f>
        <v>F</v>
      </c>
      <c r="AI58" s="3">
        <v>182</v>
      </c>
      <c r="AJ58" s="3" t="str">
        <f>IFERROR(MID(VLOOKUP($B58,Seqs!$A:$B,2,FALSE),AK58,1),"")</f>
        <v>L</v>
      </c>
      <c r="AK58" s="3">
        <v>191</v>
      </c>
      <c r="AL58" s="3" t="str">
        <f>IFERROR(MID(VLOOKUP($B58,Seqs!$A:$B,2,FALSE),AM58,1),"")</f>
        <v>L</v>
      </c>
      <c r="AM58" s="3">
        <v>222</v>
      </c>
      <c r="AN58" s="3" t="str">
        <f>IFERROR(MID(VLOOKUP($B58,Seqs!$A:$B,2,FALSE),AO58,1),"")</f>
        <v>N</v>
      </c>
      <c r="AO58" s="3">
        <v>235</v>
      </c>
      <c r="AP58" s="3" t="str">
        <f>IFERROR(MID(VLOOKUP($B58,Seqs!$A:$B,2,FALSE),AQ58,1),"")</f>
        <v>G</v>
      </c>
      <c r="AQ58" s="3">
        <v>269</v>
      </c>
      <c r="AR58" s="3" t="str">
        <f>IFERROR(MID(VLOOKUP($B58,Seqs!$A:$B,2,FALSE),AS58,1),"")</f>
        <v>D</v>
      </c>
      <c r="AS58" s="3">
        <v>273</v>
      </c>
      <c r="AT58" s="3" t="str">
        <f>IFERROR(MID(VLOOKUP($B58,Seqs!$A:$B,2,FALSE),AU58,1),"")</f>
        <v>F</v>
      </c>
      <c r="AU58" s="3">
        <v>304</v>
      </c>
      <c r="AV58" s="3" t="str">
        <f>IFERROR(MID(VLOOKUP($B58,Seqs!$A:$B,2,FALSE),AW58,1),"")</f>
        <v>G</v>
      </c>
      <c r="AW58" s="3">
        <v>306</v>
      </c>
      <c r="AX58" s="3" t="str">
        <f>IFERROR(MID(VLOOKUP($B58,Seqs!$A:$B,2,FALSE),AY58,1),"")</f>
        <v>L</v>
      </c>
      <c r="AY58" s="3">
        <v>317</v>
      </c>
      <c r="AZ58" s="83" t="str">
        <f>VLOOKUP(B58,Classification!A:D,2,FALSE)</f>
        <v>A</v>
      </c>
      <c r="BC58" s="57">
        <f t="shared" si="88"/>
        <v>250</v>
      </c>
      <c r="BD58" s="63" t="b">
        <f t="shared" si="89"/>
        <v>1</v>
      </c>
      <c r="BE58" s="68" t="s">
        <v>1514</v>
      </c>
      <c r="BF58" s="75" t="s">
        <v>1514</v>
      </c>
      <c r="BG58" s="75" t="s">
        <v>1514</v>
      </c>
      <c r="BH58" s="75" t="s">
        <v>1514</v>
      </c>
      <c r="BI58" s="75" t="s">
        <v>1514</v>
      </c>
      <c r="BJ58" s="75" t="s">
        <v>1514</v>
      </c>
      <c r="BK58" s="75" t="s">
        <v>1514</v>
      </c>
      <c r="BL58" s="75" t="s">
        <v>1514</v>
      </c>
      <c r="BM58" s="75" t="s">
        <v>1514</v>
      </c>
      <c r="BN58" s="75" t="s">
        <v>1514</v>
      </c>
      <c r="BO58" s="75" t="s">
        <v>1514</v>
      </c>
      <c r="BP58" s="75" t="s">
        <v>1514</v>
      </c>
      <c r="BQ58" s="68">
        <f t="shared" si="62"/>
        <v>26</v>
      </c>
      <c r="BR58" s="69">
        <f t="shared" si="63"/>
        <v>57</v>
      </c>
      <c r="BS58" s="70">
        <f t="shared" si="64"/>
        <v>61</v>
      </c>
      <c r="BT58" s="69">
        <f t="shared" si="65"/>
        <v>93</v>
      </c>
      <c r="BU58" s="70">
        <f t="shared" si="66"/>
        <v>97</v>
      </c>
      <c r="BV58" s="69" t="str">
        <f t="shared" si="67"/>
        <v>-</v>
      </c>
      <c r="BW58" s="70">
        <f t="shared" si="68"/>
        <v>138</v>
      </c>
      <c r="BX58" s="69">
        <f t="shared" si="69"/>
        <v>180</v>
      </c>
      <c r="BY58" s="70">
        <f t="shared" si="70"/>
        <v>191</v>
      </c>
      <c r="BZ58" s="69">
        <f t="shared" si="71"/>
        <v>235</v>
      </c>
      <c r="CA58" s="70">
        <f t="shared" si="72"/>
        <v>273</v>
      </c>
      <c r="CB58" s="69">
        <f t="shared" si="73"/>
        <v>306</v>
      </c>
      <c r="CC58" s="68">
        <f t="shared" si="74"/>
        <v>56</v>
      </c>
      <c r="CD58" s="69">
        <f t="shared" si="75"/>
        <v>60</v>
      </c>
      <c r="CE58" s="70">
        <f t="shared" si="76"/>
        <v>90</v>
      </c>
      <c r="CF58" s="70">
        <f t="shared" si="77"/>
        <v>96</v>
      </c>
      <c r="CG58" s="70">
        <f t="shared" si="78"/>
        <v>132</v>
      </c>
      <c r="CH58" s="70" t="str">
        <f t="shared" si="79"/>
        <v>-</v>
      </c>
      <c r="CI58" s="70">
        <f t="shared" si="80"/>
        <v>167</v>
      </c>
      <c r="CJ58" s="70">
        <f t="shared" si="81"/>
        <v>182</v>
      </c>
      <c r="CK58" s="70">
        <f t="shared" si="82"/>
        <v>222</v>
      </c>
      <c r="CL58" s="70">
        <f t="shared" si="83"/>
        <v>269</v>
      </c>
      <c r="CM58" s="70">
        <f t="shared" si="84"/>
        <v>304</v>
      </c>
      <c r="CN58" s="70">
        <f t="shared" si="85"/>
        <v>317</v>
      </c>
      <c r="CO58" s="57">
        <f t="shared" si="86"/>
        <v>1</v>
      </c>
    </row>
    <row r="59" spans="1:93" x14ac:dyDescent="0.2">
      <c r="A59" s="3" t="str">
        <f t="shared" si="87"/>
        <v>ccr5_human__wt</v>
      </c>
      <c r="B59" s="3" t="s">
        <v>367</v>
      </c>
      <c r="C59" s="3" t="s">
        <v>294</v>
      </c>
      <c r="D59" s="3" t="str">
        <f>IFERROR(MID(VLOOKUP($B59,Seqs!$A:$B,2,FALSE),E59,1),"")</f>
        <v>V</v>
      </c>
      <c r="E59" s="3">
        <v>25</v>
      </c>
      <c r="F59" s="3" t="str">
        <f>IFERROR(MID(VLOOKUP($B59,Seqs!$A:$B,2,FALSE),G59,1),"")</f>
        <v>C</v>
      </c>
      <c r="G59" s="3">
        <v>58</v>
      </c>
      <c r="H59" s="3" t="str">
        <f>IFERROR(MID(VLOOKUP($B59,Seqs!$A:$B,2,FALSE),I59,1),"")</f>
        <v>K</v>
      </c>
      <c r="I59" s="57">
        <v>59</v>
      </c>
      <c r="J59" s="3" t="str">
        <f>IFERROR(MID(VLOOKUP($B59,Seqs!$A:$B,2,FALSE),K59,1),"")</f>
        <v>K</v>
      </c>
      <c r="K59" s="57">
        <v>62</v>
      </c>
      <c r="L59" s="3" t="str">
        <f>IFERROR(MID(VLOOKUP($B59,Seqs!$A:$B,2,FALSE),M59,1),"")</f>
        <v>S</v>
      </c>
      <c r="M59" s="3">
        <v>63</v>
      </c>
      <c r="N59" s="3" t="str">
        <f>IFERROR(MID(VLOOKUP($B59,Seqs!$A:$B,2,FALSE),O59,1),"")</f>
        <v>A</v>
      </c>
      <c r="O59" s="3">
        <v>92</v>
      </c>
      <c r="P59" s="3" t="str">
        <f>IFERROR(MID(VLOOKUP($B59,Seqs!$A:$B,2,FALSE),Q59,1),"")</f>
        <v>Q</v>
      </c>
      <c r="Q59" s="3">
        <v>93</v>
      </c>
      <c r="R59" s="3" t="str">
        <f>IFERROR(MID(VLOOKUP($B59,Seqs!$A:$B,2,FALSE),S59,1),"")</f>
        <v>F</v>
      </c>
      <c r="S59" s="3">
        <v>96</v>
      </c>
      <c r="T59" s="3" t="str">
        <f>IFERROR(MID(VLOOKUP($B59,Seqs!$A:$B,2,FALSE),U59,1),"")</f>
        <v>G</v>
      </c>
      <c r="U59" s="3">
        <v>97</v>
      </c>
      <c r="V59" s="3" t="str">
        <f>IFERROR(MID(VLOOKUP($B59,Seqs!$A:$B,2,FALSE),W59,1),"")</f>
        <v>H</v>
      </c>
      <c r="W59" s="3">
        <v>132</v>
      </c>
      <c r="X59" s="3" t="str">
        <f>IFERROR(MID(VLOOKUP($B59,Seqs!$A:$B,2,FALSE),Y59,1),"")</f>
        <v>A</v>
      </c>
      <c r="Y59" s="3">
        <v>133</v>
      </c>
      <c r="Z59" s="3" t="str">
        <f>IFERROR(MID(VLOOKUP($B59,Seqs!$A:$B,2,FALSE),AA59,1),"")</f>
        <v>R</v>
      </c>
      <c r="AA59" s="3">
        <v>140</v>
      </c>
      <c r="AB59" s="3" t="str">
        <f>IFERROR(MID(VLOOKUP($B59,Seqs!$A:$B,2,FALSE),AC59,1),"")</f>
        <v>V</v>
      </c>
      <c r="AC59" s="3">
        <v>142</v>
      </c>
      <c r="AD59" s="3" t="str">
        <f>IFERROR(MID(VLOOKUP($B59,Seqs!$A:$B,2,FALSE),AE59,1),"")</f>
        <v>T</v>
      </c>
      <c r="AE59" s="3">
        <v>167</v>
      </c>
      <c r="AF59" s="3" t="str">
        <f>IFERROR(MID(VLOOKUP($B59,Seqs!$A:$B,2,FALSE),AG59,1),"")</f>
        <v>C</v>
      </c>
      <c r="AG59" s="3">
        <v>178</v>
      </c>
      <c r="AH59" s="3" t="str">
        <f>IFERROR(MID(VLOOKUP($B59,Seqs!$A:$B,2,FALSE),AI59,1),"")</f>
        <v>S</v>
      </c>
      <c r="AI59" s="3">
        <v>180</v>
      </c>
      <c r="AJ59" s="3" t="str">
        <f>IFERROR(MID(VLOOKUP($B59,Seqs!$A:$B,2,FALSE),AK59,1),"")</f>
        <v>Y</v>
      </c>
      <c r="AK59" s="3">
        <v>187</v>
      </c>
      <c r="AL59" s="3" t="str">
        <f>IFERROR(MID(VLOOKUP($B59,Seqs!$A:$B,2,FALSE),AM59,1),"")</f>
        <v>C</v>
      </c>
      <c r="AM59" s="3">
        <v>224</v>
      </c>
      <c r="AN59" s="3" t="str">
        <f>IFERROR(MID(VLOOKUP($B59,Seqs!$A:$B,2,FALSE),AO59,1),"")</f>
        <v>R</v>
      </c>
      <c r="AO59" s="3">
        <v>230</v>
      </c>
      <c r="AP59" s="3" t="str">
        <f>IFERROR(MID(VLOOKUP($B59,Seqs!$A:$B,2,FALSE),AQ59,1),"")</f>
        <v>G</v>
      </c>
      <c r="AQ59" s="3">
        <v>265</v>
      </c>
      <c r="AR59" s="3" t="str">
        <f>IFERROR(MID(VLOOKUP($B59,Seqs!$A:$B,2,FALSE),AS59,1),"")</f>
        <v>N</v>
      </c>
      <c r="AS59" s="3">
        <v>268</v>
      </c>
      <c r="AT59" s="3" t="str">
        <f>IFERROR(MID(VLOOKUP($B59,Seqs!$A:$B,2,FALSE),AU59,1),"")</f>
        <v>V</v>
      </c>
      <c r="AU59" s="3">
        <v>300</v>
      </c>
      <c r="AV59" s="3" t="str">
        <f>IFERROR(MID(VLOOKUP($B59,Seqs!$A:$B,2,FALSE),AW59,1),"")</f>
        <v>G</v>
      </c>
      <c r="AW59" s="3">
        <v>301</v>
      </c>
      <c r="AX59" s="3" t="str">
        <f>IFERROR(MID(VLOOKUP($B59,Seqs!$A:$B,2,FALSE),AY59,1),"")</f>
        <v>Q</v>
      </c>
      <c r="AY59" s="3">
        <v>313</v>
      </c>
      <c r="AZ59" s="83" t="str">
        <f>VLOOKUP(B59,Classification!A:D,2,FALSE)</f>
        <v>A</v>
      </c>
      <c r="BB59" s="82">
        <f>S59-Q59+1</f>
        <v>4</v>
      </c>
      <c r="BC59" s="57">
        <f t="shared" si="88"/>
        <v>265</v>
      </c>
      <c r="BD59" s="63" t="b">
        <f t="shared" si="89"/>
        <v>1</v>
      </c>
      <c r="BE59" s="68" t="s">
        <v>1514</v>
      </c>
      <c r="BF59" s="75" t="s">
        <v>1514</v>
      </c>
      <c r="BG59" s="75" t="s">
        <v>1514</v>
      </c>
      <c r="BH59" s="75" t="s">
        <v>1514</v>
      </c>
      <c r="BI59" s="75" t="s">
        <v>1514</v>
      </c>
      <c r="BJ59" s="75" t="s">
        <v>1514</v>
      </c>
      <c r="BK59" s="75" t="s">
        <v>1514</v>
      </c>
      <c r="BL59" s="75" t="s">
        <v>1514</v>
      </c>
      <c r="BM59" s="75" t="s">
        <v>1514</v>
      </c>
      <c r="BN59" s="75" t="s">
        <v>1514</v>
      </c>
      <c r="BO59" s="75" t="s">
        <v>1514</v>
      </c>
      <c r="BP59" s="75" t="s">
        <v>1514</v>
      </c>
      <c r="BQ59" s="68">
        <f t="shared" si="62"/>
        <v>25</v>
      </c>
      <c r="BR59" s="69">
        <f t="shared" si="63"/>
        <v>59</v>
      </c>
      <c r="BS59" s="70">
        <f t="shared" si="64"/>
        <v>63</v>
      </c>
      <c r="BT59" s="69">
        <f t="shared" si="65"/>
        <v>93</v>
      </c>
      <c r="BU59" s="70">
        <f t="shared" si="66"/>
        <v>97</v>
      </c>
      <c r="BV59" s="69">
        <f t="shared" si="67"/>
        <v>133</v>
      </c>
      <c r="BW59" s="70">
        <f t="shared" si="68"/>
        <v>142</v>
      </c>
      <c r="BX59" s="69">
        <f t="shared" si="69"/>
        <v>178</v>
      </c>
      <c r="BY59" s="70">
        <f t="shared" si="70"/>
        <v>187</v>
      </c>
      <c r="BZ59" s="69">
        <f t="shared" si="71"/>
        <v>230</v>
      </c>
      <c r="CA59" s="70">
        <f t="shared" si="72"/>
        <v>268</v>
      </c>
      <c r="CB59" s="69">
        <f t="shared" si="73"/>
        <v>301</v>
      </c>
      <c r="CC59" s="68">
        <f t="shared" si="74"/>
        <v>58</v>
      </c>
      <c r="CD59" s="69">
        <f t="shared" si="75"/>
        <v>62</v>
      </c>
      <c r="CE59" s="70">
        <f t="shared" si="76"/>
        <v>92</v>
      </c>
      <c r="CF59" s="70">
        <f t="shared" si="77"/>
        <v>96</v>
      </c>
      <c r="CG59" s="70">
        <f t="shared" si="78"/>
        <v>132</v>
      </c>
      <c r="CH59" s="70">
        <f t="shared" si="79"/>
        <v>140</v>
      </c>
      <c r="CI59" s="70">
        <f t="shared" si="80"/>
        <v>167</v>
      </c>
      <c r="CJ59" s="70">
        <f t="shared" si="81"/>
        <v>180</v>
      </c>
      <c r="CK59" s="70">
        <f t="shared" si="82"/>
        <v>224</v>
      </c>
      <c r="CL59" s="70">
        <f t="shared" si="83"/>
        <v>265</v>
      </c>
      <c r="CM59" s="70">
        <f t="shared" si="84"/>
        <v>300</v>
      </c>
      <c r="CN59" s="70">
        <f t="shared" si="85"/>
        <v>313</v>
      </c>
      <c r="CO59" s="57">
        <f t="shared" si="86"/>
        <v>1</v>
      </c>
    </row>
    <row r="60" spans="1:93" x14ac:dyDescent="0.2">
      <c r="A60" s="3" t="str">
        <f t="shared" si="87"/>
        <v>ccr5_human_4MBS</v>
      </c>
      <c r="B60" s="3" t="s">
        <v>367</v>
      </c>
      <c r="C60" s="3" t="s">
        <v>265</v>
      </c>
      <c r="D60" s="3" t="str">
        <f>IFERROR(MID(VLOOKUP($B60,Seqs!$A:$B,2,FALSE),E60,1),"")</f>
        <v>V</v>
      </c>
      <c r="E60" s="3">
        <v>25</v>
      </c>
      <c r="F60" s="3" t="str">
        <f>IFERROR(MID(VLOOKUP($B60,Seqs!$A:$B,2,FALSE),G60,1),"")</f>
        <v>C</v>
      </c>
      <c r="G60" s="3">
        <v>58</v>
      </c>
      <c r="H60" s="3" t="str">
        <f>IFERROR(MID(VLOOKUP($B60,Seqs!$A:$B,2,FALSE),I60,1),"")</f>
        <v>K</v>
      </c>
      <c r="I60" s="57">
        <v>59</v>
      </c>
      <c r="J60" s="3" t="str">
        <f>IFERROR(MID(VLOOKUP($B60,Seqs!$A:$B,2,FALSE),K60,1),"")</f>
        <v>K</v>
      </c>
      <c r="K60" s="57">
        <v>62</v>
      </c>
      <c r="L60" s="3" t="str">
        <f>IFERROR(MID(VLOOKUP($B60,Seqs!$A:$B,2,FALSE),M60,1),"")</f>
        <v>S</v>
      </c>
      <c r="M60" s="3">
        <v>63</v>
      </c>
      <c r="N60" s="3" t="str">
        <f>IFERROR(MID(VLOOKUP($B60,Seqs!$A:$B,2,FALSE),O60,1),"")</f>
        <v>A</v>
      </c>
      <c r="O60" s="3">
        <v>92</v>
      </c>
      <c r="P60" s="3" t="str">
        <f>IFERROR(MID(VLOOKUP($B60,Seqs!$A:$B,2,FALSE),Q60,1),"")</f>
        <v>Q</v>
      </c>
      <c r="Q60" s="3">
        <v>93</v>
      </c>
      <c r="R60" s="3" t="str">
        <f>IFERROR(MID(VLOOKUP($B60,Seqs!$A:$B,2,FALSE),S60,1),"")</f>
        <v>F</v>
      </c>
      <c r="S60" s="3">
        <v>96</v>
      </c>
      <c r="T60" s="3" t="str">
        <f>IFERROR(MID(VLOOKUP($B60,Seqs!$A:$B,2,FALSE),U60,1),"")</f>
        <v>G</v>
      </c>
      <c r="U60" s="3">
        <v>97</v>
      </c>
      <c r="V60" s="3" t="str">
        <f>IFERROR(MID(VLOOKUP($B60,Seqs!$A:$B,2,FALSE),W60,1),"")</f>
        <v>H</v>
      </c>
      <c r="W60" s="3">
        <v>132</v>
      </c>
      <c r="X60" s="3" t="str">
        <f>IFERROR(MID(VLOOKUP($B60,Seqs!$A:$B,2,FALSE),Y60,1),"")</f>
        <v>A</v>
      </c>
      <c r="Y60" s="3">
        <v>133</v>
      </c>
      <c r="Z60" s="3" t="str">
        <f>IFERROR(MID(VLOOKUP($B60,Seqs!$A:$B,2,FALSE),AA60,1),"")</f>
        <v>R</v>
      </c>
      <c r="AA60" s="3">
        <v>140</v>
      </c>
      <c r="AB60" s="3" t="str">
        <f>IFERROR(MID(VLOOKUP($B60,Seqs!$A:$B,2,FALSE),AC60,1),"")</f>
        <v>V</v>
      </c>
      <c r="AC60" s="3">
        <v>142</v>
      </c>
      <c r="AD60" s="3" t="str">
        <f>IFERROR(MID(VLOOKUP($B60,Seqs!$A:$B,2,FALSE),AE60,1),"")</f>
        <v>T</v>
      </c>
      <c r="AE60" s="3">
        <v>167</v>
      </c>
      <c r="AF60" s="3" t="str">
        <f>IFERROR(MID(VLOOKUP($B60,Seqs!$A:$B,2,FALSE),AG60,1),"")</f>
        <v>C</v>
      </c>
      <c r="AG60" s="3">
        <v>178</v>
      </c>
      <c r="AH60" s="3" t="str">
        <f>IFERROR(MID(VLOOKUP($B60,Seqs!$A:$B,2,FALSE),AI60,1),"")</f>
        <v>S</v>
      </c>
      <c r="AI60" s="3">
        <v>180</v>
      </c>
      <c r="AJ60" s="3" t="str">
        <f>IFERROR(MID(VLOOKUP($B60,Seqs!$A:$B,2,FALSE),AK60,1),"")</f>
        <v>Y</v>
      </c>
      <c r="AK60" s="3">
        <v>187</v>
      </c>
      <c r="AL60" s="3" t="str">
        <f>IFERROR(MID(VLOOKUP($B60,Seqs!$A:$B,2,FALSE),AM60,1),"")</f>
        <v>R</v>
      </c>
      <c r="AM60" s="3">
        <v>223</v>
      </c>
      <c r="AN60" s="3" t="str">
        <f>IFERROR(MID(VLOOKUP($B60,Seqs!$A:$B,2,FALSE),AO60,1),"")</f>
        <v>R</v>
      </c>
      <c r="AO60" s="3">
        <v>230</v>
      </c>
      <c r="AP60" s="3" t="str">
        <f>IFERROR(MID(VLOOKUP($B60,Seqs!$A:$B,2,FALSE),AQ60,1),"")</f>
        <v>G</v>
      </c>
      <c r="AQ60" s="3">
        <v>265</v>
      </c>
      <c r="AR60" s="3" t="str">
        <f>IFERROR(MID(VLOOKUP($B60,Seqs!$A:$B,2,FALSE),AS60,1),"")</f>
        <v>N</v>
      </c>
      <c r="AS60" s="3">
        <v>268</v>
      </c>
      <c r="AT60" s="3" t="str">
        <f>IFERROR(MID(VLOOKUP($B60,Seqs!$A:$B,2,FALSE),AU60,1),"")</f>
        <v>V</v>
      </c>
      <c r="AU60" s="3">
        <v>300</v>
      </c>
      <c r="AV60" s="3" t="str">
        <f>IFERROR(MID(VLOOKUP($B60,Seqs!$A:$B,2,FALSE),AW60,1),"")</f>
        <v>G</v>
      </c>
      <c r="AW60" s="3">
        <v>301</v>
      </c>
      <c r="AX60" s="3" t="str">
        <f>IFERROR(MID(VLOOKUP($B60,Seqs!$A:$B,2,FALSE),AY60,1),"")</f>
        <v>Q</v>
      </c>
      <c r="AY60" s="3">
        <v>313</v>
      </c>
      <c r="AZ60" s="83" t="str">
        <f>VLOOKUP(B60,Classification!A:D,2,FALSE)</f>
        <v>A</v>
      </c>
      <c r="BC60" s="57">
        <f t="shared" si="88"/>
        <v>264</v>
      </c>
      <c r="BD60" s="63" t="b">
        <f t="shared" si="89"/>
        <v>1</v>
      </c>
      <c r="BE60" s="68" t="s">
        <v>1514</v>
      </c>
      <c r="BF60" s="75" t="s">
        <v>1514</v>
      </c>
      <c r="BG60" s="75" t="s">
        <v>1514</v>
      </c>
      <c r="BH60" s="75" t="s">
        <v>1514</v>
      </c>
      <c r="BI60" s="75" t="s">
        <v>1514</v>
      </c>
      <c r="BJ60" s="75" t="s">
        <v>1514</v>
      </c>
      <c r="BK60" s="75" t="s">
        <v>1514</v>
      </c>
      <c r="BL60" s="75" t="s">
        <v>1514</v>
      </c>
      <c r="BM60" s="75" t="s">
        <v>1514</v>
      </c>
      <c r="BN60" s="75" t="s">
        <v>1514</v>
      </c>
      <c r="BO60" s="75" t="s">
        <v>1514</v>
      </c>
      <c r="BP60" s="75" t="s">
        <v>1514</v>
      </c>
      <c r="BQ60" s="68">
        <f t="shared" si="62"/>
        <v>25</v>
      </c>
      <c r="BR60" s="69">
        <f t="shared" si="63"/>
        <v>59</v>
      </c>
      <c r="BS60" s="70">
        <f t="shared" si="64"/>
        <v>63</v>
      </c>
      <c r="BT60" s="69">
        <f t="shared" si="65"/>
        <v>93</v>
      </c>
      <c r="BU60" s="70">
        <f t="shared" si="66"/>
        <v>97</v>
      </c>
      <c r="BV60" s="69">
        <f t="shared" si="67"/>
        <v>133</v>
      </c>
      <c r="BW60" s="70">
        <f t="shared" si="68"/>
        <v>142</v>
      </c>
      <c r="BX60" s="69">
        <f t="shared" si="69"/>
        <v>178</v>
      </c>
      <c r="BY60" s="70">
        <f t="shared" si="70"/>
        <v>187</v>
      </c>
      <c r="BZ60" s="69">
        <f t="shared" si="71"/>
        <v>230</v>
      </c>
      <c r="CA60" s="70">
        <f t="shared" si="72"/>
        <v>268</v>
      </c>
      <c r="CB60" s="69">
        <f t="shared" si="73"/>
        <v>301</v>
      </c>
      <c r="CC60" s="68">
        <f t="shared" si="74"/>
        <v>58</v>
      </c>
      <c r="CD60" s="69">
        <f t="shared" si="75"/>
        <v>62</v>
      </c>
      <c r="CE60" s="70">
        <f t="shared" si="76"/>
        <v>92</v>
      </c>
      <c r="CF60" s="70">
        <f t="shared" si="77"/>
        <v>96</v>
      </c>
      <c r="CG60" s="70">
        <f t="shared" si="78"/>
        <v>132</v>
      </c>
      <c r="CH60" s="70">
        <f t="shared" si="79"/>
        <v>140</v>
      </c>
      <c r="CI60" s="70">
        <f t="shared" si="80"/>
        <v>167</v>
      </c>
      <c r="CJ60" s="70">
        <f t="shared" si="81"/>
        <v>180</v>
      </c>
      <c r="CK60" s="70">
        <f t="shared" si="82"/>
        <v>223</v>
      </c>
      <c r="CL60" s="70">
        <f t="shared" si="83"/>
        <v>265</v>
      </c>
      <c r="CM60" s="70">
        <f t="shared" si="84"/>
        <v>300</v>
      </c>
      <c r="CN60" s="70">
        <f t="shared" si="85"/>
        <v>313</v>
      </c>
      <c r="CO60" s="57">
        <f t="shared" si="86"/>
        <v>1</v>
      </c>
    </row>
    <row r="61" spans="1:93" x14ac:dyDescent="0.2">
      <c r="A61" s="3" t="str">
        <f t="shared" si="87"/>
        <v>cxcr4_human__wt</v>
      </c>
      <c r="B61" s="3" t="s">
        <v>1391</v>
      </c>
      <c r="C61" s="3" t="s">
        <v>294</v>
      </c>
      <c r="D61" s="3" t="str">
        <f>IFERROR(MID(VLOOKUP($B61,Seqs!$A:$B,2,FALSE),E61,1),"")</f>
        <v>R</v>
      </c>
      <c r="E61" s="3">
        <v>30</v>
      </c>
      <c r="F61" s="3" t="str">
        <f>IFERROR(MID(VLOOKUP($B61,Seqs!$A:$B,2,FALSE),G61,1),"")</f>
        <v>Q</v>
      </c>
      <c r="G61" s="3">
        <v>66</v>
      </c>
      <c r="H61" s="3" t="str">
        <f>IFERROR(MID(VLOOKUP($B61,Seqs!$A:$B,2,FALSE),I61,1),"")</f>
        <v>K</v>
      </c>
      <c r="I61" s="57">
        <v>67</v>
      </c>
      <c r="J61" s="3" t="str">
        <f>IFERROR(MID(VLOOKUP($B61,Seqs!$A:$B,2,FALSE),K61,1),"")</f>
        <v>R</v>
      </c>
      <c r="K61" s="57">
        <v>70</v>
      </c>
      <c r="L61" s="3" t="str">
        <f>IFERROR(MID(VLOOKUP($B61,Seqs!$A:$B,2,FALSE),M61,1),"")</f>
        <v>S</v>
      </c>
      <c r="M61" s="3">
        <v>71</v>
      </c>
      <c r="N61" s="3" t="str">
        <f>IFERROR(MID(VLOOKUP($B61,Seqs!$A:$B,2,FALSE),O61,1),"")</f>
        <v>A</v>
      </c>
      <c r="O61" s="3">
        <v>100</v>
      </c>
      <c r="P61" s="3" t="str">
        <f>IFERROR(MID(VLOOKUP($B61,Seqs!$A:$B,2,FALSE),Q61,1),"")</f>
        <v>N</v>
      </c>
      <c r="Q61" s="3">
        <v>101</v>
      </c>
      <c r="R61" s="3" t="str">
        <f>IFERROR(MID(VLOOKUP($B61,Seqs!$A:$B,2,FALSE),S61,1),"")</f>
        <v>F</v>
      </c>
      <c r="S61" s="3">
        <v>104</v>
      </c>
      <c r="T61" s="3" t="str">
        <f>IFERROR(MID(VLOOKUP($B61,Seqs!$A:$B,2,FALSE),U61,1),"")</f>
        <v>G</v>
      </c>
      <c r="U61" s="3">
        <v>105</v>
      </c>
      <c r="V61" s="3" t="str">
        <f>IFERROR(MID(VLOOKUP($B61,Seqs!$A:$B,2,FALSE),W61,1),"")</f>
        <v>H</v>
      </c>
      <c r="W61" s="3">
        <v>140</v>
      </c>
      <c r="X61" s="3" t="str">
        <f>IFERROR(MID(VLOOKUP($B61,Seqs!$A:$B,2,FALSE),Y61,1),"")</f>
        <v>A</v>
      </c>
      <c r="Y61" s="3">
        <v>141</v>
      </c>
      <c r="Z61" s="3" t="str">
        <f>IFERROR(MID(VLOOKUP($B61,Seqs!$A:$B,2,FALSE),AA61,1),"")</f>
        <v>R</v>
      </c>
      <c r="AA61" s="3">
        <v>148</v>
      </c>
      <c r="AB61" s="3" t="str">
        <f>IFERROR(MID(VLOOKUP($B61,Seqs!$A:$B,2,FALSE),AC61,1),"")</f>
        <v>L</v>
      </c>
      <c r="AC61" s="3">
        <v>150</v>
      </c>
      <c r="AD61" s="3" t="str">
        <f>IFERROR(MID(VLOOKUP($B61,Seqs!$A:$B,2,FALSE),AE61,1),"")</f>
        <v>A</v>
      </c>
      <c r="AE61" s="3">
        <v>175</v>
      </c>
      <c r="AF61" s="3" t="str">
        <f>IFERROR(MID(VLOOKUP($B61,Seqs!$A:$B,2,FALSE),AG61,1),"")</f>
        <v>C</v>
      </c>
      <c r="AG61" s="3">
        <v>186</v>
      </c>
      <c r="AH61" s="3" t="str">
        <f>IFERROR(MID(VLOOKUP($B61,Seqs!$A:$B,2,FALSE),AI61,1),"")</f>
        <v>R</v>
      </c>
      <c r="AI61" s="3">
        <v>188</v>
      </c>
      <c r="AJ61" s="3" t="str">
        <f>IFERROR(MID(VLOOKUP($B61,Seqs!$A:$B,2,FALSE),AK61,1),"")</f>
        <v>D</v>
      </c>
      <c r="AK61" s="3">
        <v>193</v>
      </c>
      <c r="AL61" s="3" t="str">
        <f>IFERROR(MID(VLOOKUP($B61,Seqs!$A:$B,2,FALSE),AM61,1),"")</f>
        <v>S</v>
      </c>
      <c r="AM61" s="3">
        <v>229</v>
      </c>
      <c r="AN61" s="3" t="str">
        <f>IFERROR(MID(VLOOKUP($B61,Seqs!$A:$B,2,FALSE),AO61,1),"")</f>
        <v>K</v>
      </c>
      <c r="AO61" s="3">
        <v>234</v>
      </c>
      <c r="AP61" s="3" t="str">
        <f>IFERROR(MID(VLOOKUP($B61,Seqs!$A:$B,2,FALSE),AQ61,1),"")</f>
        <v>E</v>
      </c>
      <c r="AQ61" s="3">
        <v>268</v>
      </c>
      <c r="AR61" s="3" t="str">
        <f>IFERROR(MID(VLOOKUP($B61,Seqs!$A:$B,2,FALSE),AS61,1),"")</f>
        <v>G</v>
      </c>
      <c r="AS61" s="3">
        <v>273</v>
      </c>
      <c r="AT61" s="3" t="str">
        <f>IFERROR(MID(VLOOKUP($B61,Seqs!$A:$B,2,FALSE),AU61,1),"")</f>
        <v>L</v>
      </c>
      <c r="AU61" s="3">
        <v>305</v>
      </c>
      <c r="AV61" s="3" t="str">
        <f>IFERROR(MID(VLOOKUP($B61,Seqs!$A:$B,2,FALSE),AW61,1),"")</f>
        <v>G</v>
      </c>
      <c r="AW61" s="3">
        <v>306</v>
      </c>
      <c r="AX61" s="3" t="str">
        <f>IFERROR(MID(VLOOKUP($B61,Seqs!$A:$B,2,FALSE),AY61,1),"")</f>
        <v>T</v>
      </c>
      <c r="AY61" s="3">
        <v>318</v>
      </c>
      <c r="AZ61" s="83" t="str">
        <f>VLOOKUP(B61,Classification!A:D,2,FALSE)</f>
        <v>A</v>
      </c>
      <c r="BB61" s="82">
        <f>S61-Q61+1</f>
        <v>4</v>
      </c>
      <c r="BC61" s="57">
        <f t="shared" si="88"/>
        <v>266</v>
      </c>
      <c r="BD61" s="63" t="b">
        <f t="shared" si="89"/>
        <v>1</v>
      </c>
      <c r="BE61" s="68" t="s">
        <v>1514</v>
      </c>
      <c r="BF61" s="75" t="s">
        <v>1514</v>
      </c>
      <c r="BG61" s="75" t="s">
        <v>1514</v>
      </c>
      <c r="BH61" s="75" t="s">
        <v>1514</v>
      </c>
      <c r="BI61" s="75" t="s">
        <v>1514</v>
      </c>
      <c r="BJ61" s="75" t="s">
        <v>1514</v>
      </c>
      <c r="BK61" s="75" t="s">
        <v>1514</v>
      </c>
      <c r="BL61" s="75" t="s">
        <v>1514</v>
      </c>
      <c r="BM61" s="75" t="s">
        <v>1514</v>
      </c>
      <c r="BN61" s="75" t="s">
        <v>1514</v>
      </c>
      <c r="BO61" s="75" t="s">
        <v>1514</v>
      </c>
      <c r="BP61" s="75" t="s">
        <v>1514</v>
      </c>
      <c r="BQ61" s="68">
        <f t="shared" si="62"/>
        <v>30</v>
      </c>
      <c r="BR61" s="69">
        <f t="shared" si="63"/>
        <v>67</v>
      </c>
      <c r="BS61" s="70">
        <f t="shared" si="64"/>
        <v>71</v>
      </c>
      <c r="BT61" s="69">
        <f t="shared" si="65"/>
        <v>101</v>
      </c>
      <c r="BU61" s="70">
        <f t="shared" si="66"/>
        <v>105</v>
      </c>
      <c r="BV61" s="69">
        <f t="shared" si="67"/>
        <v>141</v>
      </c>
      <c r="BW61" s="70">
        <f t="shared" si="68"/>
        <v>150</v>
      </c>
      <c r="BX61" s="69">
        <f t="shared" si="69"/>
        <v>186</v>
      </c>
      <c r="BY61" s="70">
        <f t="shared" si="70"/>
        <v>193</v>
      </c>
      <c r="BZ61" s="69">
        <f t="shared" si="71"/>
        <v>234</v>
      </c>
      <c r="CA61" s="70">
        <f t="shared" si="72"/>
        <v>273</v>
      </c>
      <c r="CB61" s="69">
        <f t="shared" si="73"/>
        <v>306</v>
      </c>
      <c r="CC61" s="68">
        <f t="shared" si="74"/>
        <v>66</v>
      </c>
      <c r="CD61" s="69">
        <f t="shared" si="75"/>
        <v>70</v>
      </c>
      <c r="CE61" s="70">
        <f t="shared" si="76"/>
        <v>100</v>
      </c>
      <c r="CF61" s="70">
        <f t="shared" si="77"/>
        <v>104</v>
      </c>
      <c r="CG61" s="70">
        <f t="shared" si="78"/>
        <v>140</v>
      </c>
      <c r="CH61" s="70">
        <f t="shared" si="79"/>
        <v>148</v>
      </c>
      <c r="CI61" s="70">
        <f t="shared" si="80"/>
        <v>175</v>
      </c>
      <c r="CJ61" s="70">
        <f t="shared" si="81"/>
        <v>188</v>
      </c>
      <c r="CK61" s="70">
        <f t="shared" si="82"/>
        <v>229</v>
      </c>
      <c r="CL61" s="70">
        <f t="shared" si="83"/>
        <v>268</v>
      </c>
      <c r="CM61" s="70">
        <f t="shared" si="84"/>
        <v>305</v>
      </c>
      <c r="CN61" s="70">
        <f t="shared" si="85"/>
        <v>318</v>
      </c>
      <c r="CO61" s="57">
        <f t="shared" si="86"/>
        <v>1</v>
      </c>
    </row>
    <row r="62" spans="1:93" ht="17" customHeight="1" x14ac:dyDescent="0.2">
      <c r="A62" s="3" t="str">
        <f t="shared" si="87"/>
        <v>cxcr4_human_3ODU</v>
      </c>
      <c r="B62" s="3" t="s">
        <v>1391</v>
      </c>
      <c r="C62" s="3" t="s">
        <v>254</v>
      </c>
      <c r="D62" s="3" t="str">
        <f>IFERROR(MID(VLOOKUP($B62,Seqs!$A:$B,2,FALSE),E62,1),"")</f>
        <v>A</v>
      </c>
      <c r="E62" s="3">
        <v>34</v>
      </c>
      <c r="F62" s="3" t="str">
        <f>IFERROR(MID(VLOOKUP($B62,Seqs!$A:$B,2,FALSE),G62,1),"")</f>
        <v>Q</v>
      </c>
      <c r="G62" s="3">
        <v>66</v>
      </c>
      <c r="H62" s="3" t="str">
        <f>IFERROR(MID(VLOOKUP($B62,Seqs!$A:$B,2,FALSE),I62,1),"")</f>
        <v/>
      </c>
      <c r="I62" s="57" t="s">
        <v>129</v>
      </c>
      <c r="J62" s="3" t="str">
        <f>IFERROR(MID(VLOOKUP($B62,Seqs!$A:$B,2,FALSE),K62,1),"")</f>
        <v/>
      </c>
      <c r="K62" s="57" t="s">
        <v>129</v>
      </c>
      <c r="L62" s="3" t="str">
        <f>IFERROR(MID(VLOOKUP($B62,Seqs!$A:$B,2,FALSE),M62,1),"")</f>
        <v>S</v>
      </c>
      <c r="M62" s="3">
        <v>71</v>
      </c>
      <c r="N62" s="3" t="str">
        <f>IFERROR(MID(VLOOKUP($B62,Seqs!$A:$B,2,FALSE),O62,1),"")</f>
        <v>A</v>
      </c>
      <c r="O62" s="3">
        <v>100</v>
      </c>
      <c r="P62" s="3" t="str">
        <f>IFERROR(MID(VLOOKUP($B62,Seqs!$A:$B,2,FALSE),Q62,1),"")</f>
        <v>N</v>
      </c>
      <c r="Q62" s="3">
        <v>101</v>
      </c>
      <c r="R62" s="3" t="str">
        <f>IFERROR(MID(VLOOKUP($B62,Seqs!$A:$B,2,FALSE),S62,1),"")</f>
        <v>F</v>
      </c>
      <c r="S62" s="3">
        <v>104</v>
      </c>
      <c r="T62" s="3" t="str">
        <f>IFERROR(MID(VLOOKUP($B62,Seqs!$A:$B,2,FALSE),U62,1),"")</f>
        <v>G</v>
      </c>
      <c r="U62" s="3">
        <v>105</v>
      </c>
      <c r="V62" s="3" t="str">
        <f>IFERROR(MID(VLOOKUP($B62,Seqs!$A:$B,2,FALSE),W62,1),"")</f>
        <v>H</v>
      </c>
      <c r="W62" s="3">
        <v>140</v>
      </c>
      <c r="X62" s="3" t="str">
        <f>IFERROR(MID(VLOOKUP($B62,Seqs!$A:$B,2,FALSE),Y62,1),"")</f>
        <v/>
      </c>
      <c r="Y62" s="3" t="s">
        <v>129</v>
      </c>
      <c r="Z62" s="3" t="str">
        <f>IFERROR(MID(VLOOKUP($B62,Seqs!$A:$B,2,FALSE),AA62,1),"")</f>
        <v/>
      </c>
      <c r="AA62" s="3" t="s">
        <v>129</v>
      </c>
      <c r="AB62" s="3" t="str">
        <f>IFERROR(MID(VLOOKUP($B62,Seqs!$A:$B,2,FALSE),AC62,1),"")</f>
        <v>K</v>
      </c>
      <c r="AC62" s="3">
        <v>154</v>
      </c>
      <c r="AD62" s="3" t="str">
        <f>IFERROR(MID(VLOOKUP($B62,Seqs!$A:$B,2,FALSE),AE62,1),"")</f>
        <v>A</v>
      </c>
      <c r="AE62" s="3">
        <v>175</v>
      </c>
      <c r="AF62" s="3" t="str">
        <f>IFERROR(MID(VLOOKUP($B62,Seqs!$A:$B,2,FALSE),AG62,1),"")</f>
        <v>C</v>
      </c>
      <c r="AG62" s="3">
        <v>186</v>
      </c>
      <c r="AH62" s="3" t="str">
        <f>IFERROR(MID(VLOOKUP($B62,Seqs!$A:$B,2,FALSE),AI62,1),"")</f>
        <v>R</v>
      </c>
      <c r="AI62" s="3">
        <v>188</v>
      </c>
      <c r="AJ62" s="3" t="str">
        <f>IFERROR(MID(VLOOKUP($B62,Seqs!$A:$B,2,FALSE),AK62,1),"")</f>
        <v>D</v>
      </c>
      <c r="AK62" s="3">
        <v>193</v>
      </c>
      <c r="AL62" s="3" t="str">
        <f>IFERROR(MID(VLOOKUP($B62,Seqs!$A:$B,2,FALSE),AM62,1),"")</f>
        <v>K</v>
      </c>
      <c r="AM62" s="3">
        <v>225</v>
      </c>
      <c r="AN62" s="3" t="str">
        <f>IFERROR(MID(VLOOKUP($B62,Seqs!$A:$B,2,FALSE),AO62,1),"")</f>
        <v>G</v>
      </c>
      <c r="AO62" s="3">
        <v>231</v>
      </c>
      <c r="AP62" s="3" t="str">
        <f>IFERROR(MID(VLOOKUP($B62,Seqs!$A:$B,2,FALSE),AQ62,1),"")</f>
        <v>E</v>
      </c>
      <c r="AQ62" s="3">
        <v>268</v>
      </c>
      <c r="AR62" s="3" t="str">
        <f>IFERROR(MID(VLOOKUP($B62,Seqs!$A:$B,2,FALSE),AS62,1),"")</f>
        <v>G</v>
      </c>
      <c r="AS62" s="3">
        <v>273</v>
      </c>
      <c r="AT62" s="3" t="str">
        <f>IFERROR(MID(VLOOKUP($B62,Seqs!$A:$B,2,FALSE),AU62,1),"")</f>
        <v>I</v>
      </c>
      <c r="AU62" s="3">
        <v>300</v>
      </c>
      <c r="AV62" s="3" t="str">
        <f>IFERROR(MID(VLOOKUP($B62,Seqs!$A:$B,2,FALSE),AW62,1),"")</f>
        <v/>
      </c>
      <c r="AW62" s="3" t="s">
        <v>129</v>
      </c>
      <c r="AX62" s="3" t="str">
        <f>IFERROR(MID(VLOOKUP($B62,Seqs!$A:$B,2,FALSE),AY62,1),"")</f>
        <v/>
      </c>
      <c r="AY62" s="3" t="s">
        <v>129</v>
      </c>
      <c r="AZ62" s="83" t="str">
        <f>VLOOKUP(B62,Classification!A:D,2,FALSE)</f>
        <v>A</v>
      </c>
      <c r="BB62" s="35" t="s">
        <v>1315</v>
      </c>
      <c r="BC62" s="57">
        <f t="shared" si="88"/>
        <v>230</v>
      </c>
      <c r="BD62" s="63" t="b">
        <f t="shared" si="89"/>
        <v>1</v>
      </c>
      <c r="BE62" s="68" t="s">
        <v>1514</v>
      </c>
      <c r="BF62" s="75" t="s">
        <v>1514</v>
      </c>
      <c r="BG62" s="75" t="s">
        <v>1514</v>
      </c>
      <c r="BH62" s="75" t="s">
        <v>1514</v>
      </c>
      <c r="BI62" s="75" t="s">
        <v>1514</v>
      </c>
      <c r="BJ62" s="75" t="s">
        <v>1514</v>
      </c>
      <c r="BK62" s="75" t="s">
        <v>1514</v>
      </c>
      <c r="BL62" s="75" t="s">
        <v>1514</v>
      </c>
      <c r="BM62" s="75" t="s">
        <v>1514</v>
      </c>
      <c r="BN62" s="75" t="s">
        <v>1514</v>
      </c>
      <c r="BO62" s="75" t="s">
        <v>1514</v>
      </c>
      <c r="BP62" s="75" t="s">
        <v>1514</v>
      </c>
      <c r="BQ62" s="68">
        <f t="shared" si="62"/>
        <v>34</v>
      </c>
      <c r="BR62" s="69" t="str">
        <f t="shared" si="63"/>
        <v>-</v>
      </c>
      <c r="BS62" s="70">
        <f t="shared" si="64"/>
        <v>71</v>
      </c>
      <c r="BT62" s="69">
        <f t="shared" si="65"/>
        <v>101</v>
      </c>
      <c r="BU62" s="70">
        <f t="shared" si="66"/>
        <v>105</v>
      </c>
      <c r="BV62" s="69" t="str">
        <f t="shared" si="67"/>
        <v>-</v>
      </c>
      <c r="BW62" s="70">
        <f t="shared" si="68"/>
        <v>154</v>
      </c>
      <c r="BX62" s="69">
        <f t="shared" si="69"/>
        <v>186</v>
      </c>
      <c r="BY62" s="70">
        <f t="shared" si="70"/>
        <v>193</v>
      </c>
      <c r="BZ62" s="69">
        <f t="shared" si="71"/>
        <v>231</v>
      </c>
      <c r="CA62" s="70">
        <f t="shared" si="72"/>
        <v>273</v>
      </c>
      <c r="CB62" s="69" t="str">
        <f t="shared" si="73"/>
        <v>-</v>
      </c>
      <c r="CC62" s="68">
        <f t="shared" si="74"/>
        <v>66</v>
      </c>
      <c r="CD62" s="69" t="str">
        <f t="shared" si="75"/>
        <v>-</v>
      </c>
      <c r="CE62" s="70">
        <f t="shared" si="76"/>
        <v>100</v>
      </c>
      <c r="CF62" s="70">
        <f t="shared" si="77"/>
        <v>104</v>
      </c>
      <c r="CG62" s="70">
        <f t="shared" si="78"/>
        <v>140</v>
      </c>
      <c r="CH62" s="70" t="str">
        <f t="shared" si="79"/>
        <v>-</v>
      </c>
      <c r="CI62" s="70">
        <f t="shared" si="80"/>
        <v>175</v>
      </c>
      <c r="CJ62" s="70">
        <f t="shared" si="81"/>
        <v>188</v>
      </c>
      <c r="CK62" s="70">
        <f t="shared" si="82"/>
        <v>225</v>
      </c>
      <c r="CL62" s="70">
        <f t="shared" si="83"/>
        <v>268</v>
      </c>
      <c r="CM62" s="70">
        <f t="shared" si="84"/>
        <v>300</v>
      </c>
      <c r="CN62" s="70" t="str">
        <f t="shared" si="85"/>
        <v>-</v>
      </c>
      <c r="CO62" s="57" t="e">
        <f t="shared" si="86"/>
        <v>#VALUE!</v>
      </c>
    </row>
    <row r="63" spans="1:93" x14ac:dyDescent="0.2">
      <c r="A63" s="3" t="str">
        <f t="shared" si="87"/>
        <v>cxcr4_human_3OE0</v>
      </c>
      <c r="B63" s="3" t="s">
        <v>1391</v>
      </c>
      <c r="C63" s="3" t="s">
        <v>1238</v>
      </c>
      <c r="D63" s="3" t="str">
        <f>IFERROR(MID(VLOOKUP($B63,Seqs!$A:$B,2,FALSE),E63,1),"")</f>
        <v>A</v>
      </c>
      <c r="E63" s="3">
        <v>34</v>
      </c>
      <c r="F63" s="3" t="str">
        <f>IFERROR(MID(VLOOKUP($B63,Seqs!$A:$B,2,FALSE),G63,1),"")</f>
        <v>Q</v>
      </c>
      <c r="G63" s="3">
        <v>66</v>
      </c>
      <c r="H63" s="3" t="str">
        <f>IFERROR(MID(VLOOKUP($B63,Seqs!$A:$B,2,FALSE),I63,1),"")</f>
        <v/>
      </c>
      <c r="I63" s="57" t="s">
        <v>129</v>
      </c>
      <c r="J63" s="3" t="str">
        <f>IFERROR(MID(VLOOKUP($B63,Seqs!$A:$B,2,FALSE),K63,1),"")</f>
        <v/>
      </c>
      <c r="K63" s="57" t="s">
        <v>129</v>
      </c>
      <c r="L63" s="3" t="str">
        <f>IFERROR(MID(VLOOKUP($B63,Seqs!$A:$B,2,FALSE),M63,1),"")</f>
        <v>S</v>
      </c>
      <c r="M63" s="3">
        <v>71</v>
      </c>
      <c r="N63" s="3" t="str">
        <f>IFERROR(MID(VLOOKUP($B63,Seqs!$A:$B,2,FALSE),O63,1),"")</f>
        <v>A</v>
      </c>
      <c r="O63" s="3">
        <v>100</v>
      </c>
      <c r="P63" s="3" t="str">
        <f>IFERROR(MID(VLOOKUP($B63,Seqs!$A:$B,2,FALSE),Q63,1),"")</f>
        <v>N</v>
      </c>
      <c r="Q63" s="3">
        <v>101</v>
      </c>
      <c r="R63" s="3" t="str">
        <f>IFERROR(MID(VLOOKUP($B63,Seqs!$A:$B,2,FALSE),S63,1),"")</f>
        <v>F</v>
      </c>
      <c r="S63" s="3">
        <v>104</v>
      </c>
      <c r="T63" s="3" t="str">
        <f>IFERROR(MID(VLOOKUP($B63,Seqs!$A:$B,2,FALSE),U63,1),"")</f>
        <v>G</v>
      </c>
      <c r="U63" s="3">
        <v>105</v>
      </c>
      <c r="V63" s="3" t="str">
        <f>IFERROR(MID(VLOOKUP($B63,Seqs!$A:$B,2,FALSE),W63,1),"")</f>
        <v>H</v>
      </c>
      <c r="W63" s="3">
        <v>140</v>
      </c>
      <c r="X63" s="3" t="str">
        <f>IFERROR(MID(VLOOKUP($B63,Seqs!$A:$B,2,FALSE),Y63,1),"")</f>
        <v/>
      </c>
      <c r="Y63" s="3" t="s">
        <v>129</v>
      </c>
      <c r="Z63" s="3" t="str">
        <f>IFERROR(MID(VLOOKUP($B63,Seqs!$A:$B,2,FALSE),AA63,1),"")</f>
        <v/>
      </c>
      <c r="AA63" s="3" t="s">
        <v>129</v>
      </c>
      <c r="AB63" s="3" t="str">
        <f>IFERROR(MID(VLOOKUP($B63,Seqs!$A:$B,2,FALSE),AC63,1),"")</f>
        <v>K</v>
      </c>
      <c r="AC63" s="3">
        <v>154</v>
      </c>
      <c r="AD63" s="3" t="str">
        <f>IFERROR(MID(VLOOKUP($B63,Seqs!$A:$B,2,FALSE),AE63,1),"")</f>
        <v>A</v>
      </c>
      <c r="AE63" s="3">
        <v>175</v>
      </c>
      <c r="AF63" s="3" t="str">
        <f>IFERROR(MID(VLOOKUP($B63,Seqs!$A:$B,2,FALSE),AG63,1),"")</f>
        <v>C</v>
      </c>
      <c r="AG63" s="3">
        <v>186</v>
      </c>
      <c r="AH63" s="3" t="str">
        <f>IFERROR(MID(VLOOKUP($B63,Seqs!$A:$B,2,FALSE),AI63,1),"")</f>
        <v>R</v>
      </c>
      <c r="AI63" s="3">
        <v>188</v>
      </c>
      <c r="AJ63" s="3" t="str">
        <f>IFERROR(MID(VLOOKUP($B63,Seqs!$A:$B,2,FALSE),AK63,1),"")</f>
        <v>D</v>
      </c>
      <c r="AK63" s="3">
        <v>193</v>
      </c>
      <c r="AL63" s="3" t="str">
        <f>IFERROR(MID(VLOOKUP($B63,Seqs!$A:$B,2,FALSE),AM63,1),"")</f>
        <v>H</v>
      </c>
      <c r="AM63" s="3">
        <v>228</v>
      </c>
      <c r="AN63" s="3" t="str">
        <f>IFERROR(MID(VLOOKUP($B63,Seqs!$A:$B,2,FALSE),AO63,1),"")</f>
        <v>K</v>
      </c>
      <c r="AO63" s="3">
        <v>239</v>
      </c>
      <c r="AP63" s="3" t="str">
        <f>IFERROR(MID(VLOOKUP($B63,Seqs!$A:$B,2,FALSE),AQ63,1),"")</f>
        <v>E</v>
      </c>
      <c r="AQ63" s="3">
        <v>268</v>
      </c>
      <c r="AR63" s="3" t="str">
        <f>IFERROR(MID(VLOOKUP($B63,Seqs!$A:$B,2,FALSE),AS63,1),"")</f>
        <v>G</v>
      </c>
      <c r="AS63" s="3">
        <v>273</v>
      </c>
      <c r="AT63" s="3" t="str">
        <f>IFERROR(MID(VLOOKUP($B63,Seqs!$A:$B,2,FALSE),AU63,1),"")</f>
        <v>I</v>
      </c>
      <c r="AU63" s="3">
        <v>300</v>
      </c>
      <c r="AV63" s="3" t="str">
        <f>IFERROR(MID(VLOOKUP($B63,Seqs!$A:$B,2,FALSE),AW63,1),"")</f>
        <v/>
      </c>
      <c r="AW63" s="3" t="s">
        <v>129</v>
      </c>
      <c r="AX63" s="3" t="str">
        <f>IFERROR(MID(VLOOKUP($B63,Seqs!$A:$B,2,FALSE),AY63,1),"")</f>
        <v/>
      </c>
      <c r="AY63" s="3" t="s">
        <v>129</v>
      </c>
      <c r="AZ63" s="83" t="str">
        <f>VLOOKUP(B63,Classification!A:D,2,FALSE)</f>
        <v>A</v>
      </c>
      <c r="BC63" s="57">
        <f t="shared" si="88"/>
        <v>225</v>
      </c>
      <c r="BD63" s="63" t="b">
        <f t="shared" si="89"/>
        <v>1</v>
      </c>
      <c r="BE63" s="68" t="s">
        <v>1514</v>
      </c>
      <c r="BF63" s="75" t="s">
        <v>1514</v>
      </c>
      <c r="BG63" s="75" t="s">
        <v>1514</v>
      </c>
      <c r="BH63" s="75" t="s">
        <v>1514</v>
      </c>
      <c r="BI63" s="75" t="s">
        <v>1514</v>
      </c>
      <c r="BJ63" s="75" t="s">
        <v>1514</v>
      </c>
      <c r="BK63" s="75" t="s">
        <v>1514</v>
      </c>
      <c r="BL63" s="75" t="s">
        <v>1514</v>
      </c>
      <c r="BM63" s="75" t="s">
        <v>1514</v>
      </c>
      <c r="BN63" s="75" t="s">
        <v>1514</v>
      </c>
      <c r="BO63" s="75" t="s">
        <v>1514</v>
      </c>
      <c r="BP63" s="75" t="s">
        <v>1514</v>
      </c>
      <c r="BQ63" s="68">
        <f t="shared" si="62"/>
        <v>34</v>
      </c>
      <c r="BR63" s="69" t="str">
        <f t="shared" si="63"/>
        <v>-</v>
      </c>
      <c r="BS63" s="70">
        <f t="shared" si="64"/>
        <v>71</v>
      </c>
      <c r="BT63" s="69">
        <f t="shared" si="65"/>
        <v>101</v>
      </c>
      <c r="BU63" s="70">
        <f t="shared" si="66"/>
        <v>105</v>
      </c>
      <c r="BV63" s="69" t="str">
        <f t="shared" si="67"/>
        <v>-</v>
      </c>
      <c r="BW63" s="70">
        <f t="shared" si="68"/>
        <v>154</v>
      </c>
      <c r="BX63" s="69">
        <f t="shared" si="69"/>
        <v>186</v>
      </c>
      <c r="BY63" s="70">
        <f t="shared" si="70"/>
        <v>193</v>
      </c>
      <c r="BZ63" s="69">
        <f t="shared" si="71"/>
        <v>239</v>
      </c>
      <c r="CA63" s="70">
        <f t="shared" si="72"/>
        <v>273</v>
      </c>
      <c r="CB63" s="69" t="str">
        <f t="shared" si="73"/>
        <v>-</v>
      </c>
      <c r="CC63" s="68">
        <f t="shared" si="74"/>
        <v>66</v>
      </c>
      <c r="CD63" s="69" t="str">
        <f t="shared" si="75"/>
        <v>-</v>
      </c>
      <c r="CE63" s="70">
        <f t="shared" si="76"/>
        <v>100</v>
      </c>
      <c r="CF63" s="70">
        <f t="shared" si="77"/>
        <v>104</v>
      </c>
      <c r="CG63" s="70">
        <f t="shared" si="78"/>
        <v>140</v>
      </c>
      <c r="CH63" s="70" t="str">
        <f t="shared" si="79"/>
        <v>-</v>
      </c>
      <c r="CI63" s="70">
        <f t="shared" si="80"/>
        <v>175</v>
      </c>
      <c r="CJ63" s="70">
        <f t="shared" si="81"/>
        <v>188</v>
      </c>
      <c r="CK63" s="70">
        <f t="shared" si="82"/>
        <v>228</v>
      </c>
      <c r="CL63" s="70">
        <f t="shared" si="83"/>
        <v>268</v>
      </c>
      <c r="CM63" s="70">
        <f t="shared" si="84"/>
        <v>300</v>
      </c>
      <c r="CN63" s="70" t="str">
        <f t="shared" si="85"/>
        <v>-</v>
      </c>
      <c r="CO63" s="57" t="e">
        <f t="shared" si="86"/>
        <v>#VALUE!</v>
      </c>
    </row>
    <row r="64" spans="1:93" x14ac:dyDescent="0.2">
      <c r="A64" s="3" t="str">
        <f t="shared" si="87"/>
        <v>cxcr4_human_4RWS</v>
      </c>
      <c r="B64" s="3" t="s">
        <v>1391</v>
      </c>
      <c r="C64" s="3" t="s">
        <v>1259</v>
      </c>
      <c r="D64" s="3" t="str">
        <f>IFERROR(MID(VLOOKUP($B64,Seqs!$A:$B,2,FALSE),E64,1),"")</f>
        <v>R</v>
      </c>
      <c r="E64" s="3">
        <v>30</v>
      </c>
      <c r="F64" s="3" t="str">
        <f>IFERROR(MID(VLOOKUP($B64,Seqs!$A:$B,2,FALSE),G64,1),"")</f>
        <v>Q</v>
      </c>
      <c r="G64" s="3">
        <v>66</v>
      </c>
      <c r="H64" s="3" t="str">
        <f>IFERROR(MID(VLOOKUP($B64,Seqs!$A:$B,2,FALSE),I64,1),"")</f>
        <v/>
      </c>
      <c r="I64" s="57" t="s">
        <v>129</v>
      </c>
      <c r="J64" s="3" t="str">
        <f>IFERROR(MID(VLOOKUP($B64,Seqs!$A:$B,2,FALSE),K64,1),"")</f>
        <v/>
      </c>
      <c r="K64" s="57" t="s">
        <v>129</v>
      </c>
      <c r="L64" s="3" t="str">
        <f>IFERROR(MID(VLOOKUP($B64,Seqs!$A:$B,2,FALSE),M64,1),"")</f>
        <v>S</v>
      </c>
      <c r="M64" s="3">
        <v>71</v>
      </c>
      <c r="N64" s="3" t="str">
        <f>IFERROR(MID(VLOOKUP($B64,Seqs!$A:$B,2,FALSE),O64,1),"")</f>
        <v>A</v>
      </c>
      <c r="O64" s="3">
        <v>100</v>
      </c>
      <c r="P64" s="3" t="str">
        <f>IFERROR(MID(VLOOKUP($B64,Seqs!$A:$B,2,FALSE),Q64,1),"")</f>
        <v>N</v>
      </c>
      <c r="Q64" s="3">
        <v>101</v>
      </c>
      <c r="R64" s="3" t="str">
        <f>IFERROR(MID(VLOOKUP($B64,Seqs!$A:$B,2,FALSE),S64,1),"")</f>
        <v>F</v>
      </c>
      <c r="S64" s="3">
        <v>104</v>
      </c>
      <c r="T64" s="3" t="str">
        <f>IFERROR(MID(VLOOKUP($B64,Seqs!$A:$B,2,FALSE),U64,1),"")</f>
        <v>G</v>
      </c>
      <c r="U64" s="3">
        <v>105</v>
      </c>
      <c r="V64" s="3" t="str">
        <f>IFERROR(MID(VLOOKUP($B64,Seqs!$A:$B,2,FALSE),W64,1),"")</f>
        <v>H</v>
      </c>
      <c r="W64" s="3">
        <v>140</v>
      </c>
      <c r="X64" s="3" t="str">
        <f>IFERROR(MID(VLOOKUP($B64,Seqs!$A:$B,2,FALSE),Y64,1),"")</f>
        <v/>
      </c>
      <c r="Y64" s="3" t="s">
        <v>129</v>
      </c>
      <c r="Z64" s="3" t="str">
        <f>IFERROR(MID(VLOOKUP($B64,Seqs!$A:$B,2,FALSE),AA64,1),"")</f>
        <v/>
      </c>
      <c r="AA64" s="3" t="s">
        <v>129</v>
      </c>
      <c r="AB64" s="3" t="str">
        <f>IFERROR(MID(VLOOKUP($B64,Seqs!$A:$B,2,FALSE),AC64,1),"")</f>
        <v>K</v>
      </c>
      <c r="AC64" s="3">
        <v>154</v>
      </c>
      <c r="AD64" s="3" t="str">
        <f>IFERROR(MID(VLOOKUP($B64,Seqs!$A:$B,2,FALSE),AE64,1),"")</f>
        <v>A</v>
      </c>
      <c r="AE64" s="3">
        <v>175</v>
      </c>
      <c r="AF64" s="3" t="str">
        <f>IFERROR(MID(VLOOKUP($B64,Seqs!$A:$B,2,FALSE),AG64,1),"")</f>
        <v>C</v>
      </c>
      <c r="AG64" s="3">
        <v>186</v>
      </c>
      <c r="AH64" s="3" t="str">
        <f>IFERROR(MID(VLOOKUP($B64,Seqs!$A:$B,2,FALSE),AI64,1),"")</f>
        <v>R</v>
      </c>
      <c r="AI64" s="3">
        <v>188</v>
      </c>
      <c r="AJ64" s="3" t="str">
        <f>IFERROR(MID(VLOOKUP($B64,Seqs!$A:$B,2,FALSE),AK64,1),"")</f>
        <v>D</v>
      </c>
      <c r="AK64" s="3">
        <v>193</v>
      </c>
      <c r="AL64" s="3" t="str">
        <f>IFERROR(MID(VLOOKUP($B64,Seqs!$A:$B,2,FALSE),AM64,1),"")</f>
        <v>S</v>
      </c>
      <c r="AM64" s="3">
        <v>227</v>
      </c>
      <c r="AN64" s="3" t="str">
        <f>IFERROR(MID(VLOOKUP($B64,Seqs!$A:$B,2,FALSE),AO64,1),"")</f>
        <v>K</v>
      </c>
      <c r="AO64" s="3">
        <v>239</v>
      </c>
      <c r="AP64" s="3" t="str">
        <f>IFERROR(MID(VLOOKUP($B64,Seqs!$A:$B,2,FALSE),AQ64,1),"")</f>
        <v>E</v>
      </c>
      <c r="AQ64" s="3">
        <v>268</v>
      </c>
      <c r="AR64" s="3" t="str">
        <f>IFERROR(MID(VLOOKUP($B64,Seqs!$A:$B,2,FALSE),AS64,1),"")</f>
        <v>G</v>
      </c>
      <c r="AS64" s="3">
        <v>273</v>
      </c>
      <c r="AT64" s="3" t="str">
        <f>IFERROR(MID(VLOOKUP($B64,Seqs!$A:$B,2,FALSE),AU64,1),"")</f>
        <v>I</v>
      </c>
      <c r="AU64" s="3">
        <v>300</v>
      </c>
      <c r="AV64" s="3" t="str">
        <f>IFERROR(MID(VLOOKUP($B64,Seqs!$A:$B,2,FALSE),AW64,1),"")</f>
        <v/>
      </c>
      <c r="AW64" s="3" t="s">
        <v>129</v>
      </c>
      <c r="AX64" s="3" t="str">
        <f>IFERROR(MID(VLOOKUP($B64,Seqs!$A:$B,2,FALSE),AY64,1),"")</f>
        <v/>
      </c>
      <c r="AY64" s="3" t="s">
        <v>129</v>
      </c>
      <c r="AZ64" s="83" t="str">
        <f>VLOOKUP(B64,Classification!A:D,2,FALSE)</f>
        <v>A</v>
      </c>
      <c r="BC64" s="57">
        <f t="shared" si="88"/>
        <v>228</v>
      </c>
      <c r="BD64" s="63" t="b">
        <f t="shared" si="89"/>
        <v>1</v>
      </c>
      <c r="BE64" s="68" t="s">
        <v>1514</v>
      </c>
      <c r="BF64" s="75" t="s">
        <v>1514</v>
      </c>
      <c r="BG64" s="75" t="s">
        <v>1514</v>
      </c>
      <c r="BH64" s="75" t="s">
        <v>1514</v>
      </c>
      <c r="BI64" s="75" t="s">
        <v>1514</v>
      </c>
      <c r="BJ64" s="75" t="s">
        <v>1514</v>
      </c>
      <c r="BK64" s="75" t="s">
        <v>1514</v>
      </c>
      <c r="BL64" s="75" t="s">
        <v>1514</v>
      </c>
      <c r="BM64" s="75" t="s">
        <v>1514</v>
      </c>
      <c r="BN64" s="75" t="s">
        <v>1514</v>
      </c>
      <c r="BO64" s="75" t="s">
        <v>1514</v>
      </c>
      <c r="BP64" s="75" t="s">
        <v>1514</v>
      </c>
      <c r="BQ64" s="68">
        <f t="shared" si="62"/>
        <v>30</v>
      </c>
      <c r="BR64" s="69" t="str">
        <f t="shared" si="63"/>
        <v>-</v>
      </c>
      <c r="BS64" s="70">
        <f t="shared" si="64"/>
        <v>71</v>
      </c>
      <c r="BT64" s="69">
        <f t="shared" si="65"/>
        <v>101</v>
      </c>
      <c r="BU64" s="70">
        <f t="shared" si="66"/>
        <v>105</v>
      </c>
      <c r="BV64" s="69" t="str">
        <f t="shared" si="67"/>
        <v>-</v>
      </c>
      <c r="BW64" s="70">
        <f t="shared" si="68"/>
        <v>154</v>
      </c>
      <c r="BX64" s="69">
        <f t="shared" si="69"/>
        <v>186</v>
      </c>
      <c r="BY64" s="70">
        <f t="shared" si="70"/>
        <v>193</v>
      </c>
      <c r="BZ64" s="69">
        <f t="shared" si="71"/>
        <v>239</v>
      </c>
      <c r="CA64" s="70">
        <f t="shared" si="72"/>
        <v>273</v>
      </c>
      <c r="CB64" s="69" t="str">
        <f t="shared" si="73"/>
        <v>-</v>
      </c>
      <c r="CC64" s="68">
        <f t="shared" si="74"/>
        <v>66</v>
      </c>
      <c r="CD64" s="69" t="str">
        <f t="shared" si="75"/>
        <v>-</v>
      </c>
      <c r="CE64" s="70">
        <f t="shared" si="76"/>
        <v>100</v>
      </c>
      <c r="CF64" s="70">
        <f t="shared" si="77"/>
        <v>104</v>
      </c>
      <c r="CG64" s="70">
        <f t="shared" si="78"/>
        <v>140</v>
      </c>
      <c r="CH64" s="70" t="str">
        <f t="shared" si="79"/>
        <v>-</v>
      </c>
      <c r="CI64" s="70">
        <f t="shared" si="80"/>
        <v>175</v>
      </c>
      <c r="CJ64" s="70">
        <f t="shared" si="81"/>
        <v>188</v>
      </c>
      <c r="CK64" s="70">
        <f t="shared" si="82"/>
        <v>227</v>
      </c>
      <c r="CL64" s="70">
        <f t="shared" si="83"/>
        <v>268</v>
      </c>
      <c r="CM64" s="70">
        <f t="shared" si="84"/>
        <v>300</v>
      </c>
      <c r="CN64" s="70" t="str">
        <f t="shared" si="85"/>
        <v>-</v>
      </c>
      <c r="CO64" s="57" t="e">
        <f t="shared" si="86"/>
        <v>#VALUE!</v>
      </c>
    </row>
    <row r="65" spans="1:93" x14ac:dyDescent="0.2">
      <c r="A65" s="3" t="str">
        <f t="shared" si="87"/>
        <v>drd3_human__wt</v>
      </c>
      <c r="B65" s="3" t="s">
        <v>386</v>
      </c>
      <c r="C65" s="3" t="s">
        <v>294</v>
      </c>
      <c r="D65" s="3" t="str">
        <f>IFERROR(MID(VLOOKUP($B65,Seqs!$A:$B,2,FALSE),E65,1),"")</f>
        <v>A</v>
      </c>
      <c r="E65" s="3">
        <v>26</v>
      </c>
      <c r="F65" s="3" t="str">
        <f>IFERROR(MID(VLOOKUP($B65,Seqs!$A:$B,2,FALSE),G65,1),"")</f>
        <v>E</v>
      </c>
      <c r="G65" s="3">
        <v>57</v>
      </c>
      <c r="H65" s="3" t="str">
        <f>IFERROR(MID(VLOOKUP($B65,Seqs!$A:$B,2,FALSE),I65,1),"")</f>
        <v>R</v>
      </c>
      <c r="I65" s="57">
        <v>58</v>
      </c>
      <c r="J65" s="3" t="str">
        <f>IFERROR(MID(VLOOKUP($B65,Seqs!$A:$B,2,FALSE),K65,1),"")</f>
        <v>Q</v>
      </c>
      <c r="K65" s="57">
        <v>61</v>
      </c>
      <c r="L65" s="3" t="str">
        <f>IFERROR(MID(VLOOKUP($B65,Seqs!$A:$B,2,FALSE),M65,1),"")</f>
        <v>T</v>
      </c>
      <c r="M65" s="3">
        <v>62</v>
      </c>
      <c r="N65" s="3" t="str">
        <f>IFERROR(MID(VLOOKUP($B65,Seqs!$A:$B,2,FALSE),O65,1),"")</f>
        <v>T</v>
      </c>
      <c r="O65" s="3">
        <v>92</v>
      </c>
      <c r="P65" s="3" t="str">
        <f>IFERROR(MID(VLOOKUP($B65,Seqs!$A:$B,2,FALSE),Q65,1),"")</f>
        <v>V</v>
      </c>
      <c r="Q65" s="3">
        <v>95</v>
      </c>
      <c r="R65" s="3" t="str">
        <f>IFERROR(MID(VLOOKUP($B65,Seqs!$A:$B,2,FALSE),S65,1),"")</f>
        <v>F</v>
      </c>
      <c r="S65" s="3">
        <v>98</v>
      </c>
      <c r="T65" s="3" t="str">
        <f>IFERROR(MID(VLOOKUP($B65,Seqs!$A:$B,2,FALSE),U65,1),"")</f>
        <v>S</v>
      </c>
      <c r="U65" s="3">
        <v>99</v>
      </c>
      <c r="V65" s="3" t="str">
        <f>IFERROR(MID(VLOOKUP($B65,Seqs!$A:$B,2,FALSE),W65,1),"")</f>
        <v>M</v>
      </c>
      <c r="W65" s="3">
        <v>134</v>
      </c>
      <c r="X65" s="3" t="str">
        <f>IFERROR(MID(VLOOKUP($B65,Seqs!$A:$B,2,FALSE),Y65,1),"")</f>
        <v>P</v>
      </c>
      <c r="Y65" s="3">
        <v>135</v>
      </c>
      <c r="Z65" s="3" t="str">
        <f>IFERROR(MID(VLOOKUP($B65,Seqs!$A:$B,2,FALSE),AA65,1),"")</f>
        <v>G</v>
      </c>
      <c r="AA65" s="3">
        <v>143</v>
      </c>
      <c r="AB65" s="3" t="str">
        <f>IFERROR(MID(VLOOKUP($B65,Seqs!$A:$B,2,FALSE),AC65,1),"")</f>
        <v>S</v>
      </c>
      <c r="AC65" s="3">
        <v>146</v>
      </c>
      <c r="AD65" s="3" t="str">
        <f>IFERROR(MID(VLOOKUP($B65,Seqs!$A:$B,2,FALSE),AE65,1),"")</f>
        <v>G</v>
      </c>
      <c r="AE65" s="3">
        <v>171</v>
      </c>
      <c r="AF65" s="3" t="str">
        <f>IFERROR(MID(VLOOKUP($B65,Seqs!$A:$B,2,FALSE),AG65,1),"")</f>
        <v>C</v>
      </c>
      <c r="AG65" s="3">
        <v>181</v>
      </c>
      <c r="AH65" s="3" t="str">
        <f>IFERROR(MID(VLOOKUP($B65,Seqs!$A:$B,2,FALSE),AI65,1),"")</f>
        <v>I</v>
      </c>
      <c r="AI65" s="3">
        <v>183</v>
      </c>
      <c r="AJ65" s="3" t="str">
        <f>IFERROR(MID(VLOOKUP($B65,Seqs!$A:$B,2,FALSE),AK65,1),"")</f>
        <v>N</v>
      </c>
      <c r="AK65" s="3">
        <v>185</v>
      </c>
      <c r="AL65" s="3" t="str">
        <f>IFERROR(MID(VLOOKUP($B65,Seqs!$A:$B,2,FALSE),AM65,1),"")</f>
        <v>R</v>
      </c>
      <c r="AM65" s="3">
        <v>226</v>
      </c>
      <c r="AN65" s="3" t="str">
        <f>IFERROR(MID(VLOOKUP($B65,Seqs!$A:$B,2,FALSE),AO65,1),"")</f>
        <v>R</v>
      </c>
      <c r="AO65" s="3">
        <v>318</v>
      </c>
      <c r="AP65" s="3" t="str">
        <f>IFERROR(MID(VLOOKUP($B65,Seqs!$A:$B,2,FALSE),AQ65,1),"")</f>
        <v>H</v>
      </c>
      <c r="AQ65" s="3">
        <v>354</v>
      </c>
      <c r="AR65" s="3" t="str">
        <f>IFERROR(MID(VLOOKUP($B65,Seqs!$A:$B,2,FALSE),AS65,1),"")</f>
        <v>S</v>
      </c>
      <c r="AS65" s="3">
        <v>361</v>
      </c>
      <c r="AT65" s="3" t="str">
        <f>IFERROR(MID(VLOOKUP($B65,Seqs!$A:$B,2,FALSE),AU65,1),"")</f>
        <v>F</v>
      </c>
      <c r="AU65" s="3">
        <v>386</v>
      </c>
      <c r="AV65" s="3" t="str">
        <f>IFERROR(MID(VLOOKUP($B65,Seqs!$A:$B,2,FALSE),AW65,1),"")</f>
        <v>N</v>
      </c>
      <c r="AW65" s="3">
        <v>387</v>
      </c>
      <c r="AX65" s="3" t="str">
        <f>IFERROR(MID(VLOOKUP($B65,Seqs!$A:$B,2,FALSE),AY65,1),"")</f>
        <v>S</v>
      </c>
      <c r="AY65" s="3">
        <v>399</v>
      </c>
      <c r="AZ65" s="83" t="str">
        <f>VLOOKUP(B65,Classification!A:D,2,FALSE)</f>
        <v>A</v>
      </c>
      <c r="BB65" s="82">
        <f>S65-Q65+1</f>
        <v>4</v>
      </c>
      <c r="BC65" s="57">
        <f t="shared" si="88"/>
        <v>263</v>
      </c>
      <c r="BD65" s="63" t="b">
        <f t="shared" si="89"/>
        <v>1</v>
      </c>
      <c r="BE65" s="68" t="s">
        <v>1514</v>
      </c>
      <c r="BF65" s="75" t="s">
        <v>1514</v>
      </c>
      <c r="BG65" s="75" t="s">
        <v>1514</v>
      </c>
      <c r="BH65" s="75" t="s">
        <v>1514</v>
      </c>
      <c r="BI65" s="75" t="s">
        <v>1514</v>
      </c>
      <c r="BJ65" s="75" t="s">
        <v>1514</v>
      </c>
      <c r="BK65" s="75" t="s">
        <v>1514</v>
      </c>
      <c r="BL65" s="75" t="s">
        <v>1514</v>
      </c>
      <c r="BM65" s="75" t="s">
        <v>1514</v>
      </c>
      <c r="BN65" s="75" t="s">
        <v>1514</v>
      </c>
      <c r="BO65" s="75" t="s">
        <v>1514</v>
      </c>
      <c r="BP65" s="75" t="s">
        <v>1514</v>
      </c>
      <c r="BQ65" s="68">
        <f t="shared" si="62"/>
        <v>26</v>
      </c>
      <c r="BR65" s="69">
        <f t="shared" si="63"/>
        <v>58</v>
      </c>
      <c r="BS65" s="70">
        <f t="shared" si="64"/>
        <v>62</v>
      </c>
      <c r="BT65" s="69">
        <f t="shared" si="65"/>
        <v>95</v>
      </c>
      <c r="BU65" s="70">
        <f t="shared" si="66"/>
        <v>99</v>
      </c>
      <c r="BV65" s="69">
        <f t="shared" si="67"/>
        <v>135</v>
      </c>
      <c r="BW65" s="70">
        <f t="shared" si="68"/>
        <v>146</v>
      </c>
      <c r="BX65" s="69">
        <f t="shared" si="69"/>
        <v>181</v>
      </c>
      <c r="BY65" s="70">
        <f t="shared" si="70"/>
        <v>185</v>
      </c>
      <c r="BZ65" s="69">
        <f t="shared" si="71"/>
        <v>318</v>
      </c>
      <c r="CA65" s="70">
        <f t="shared" si="72"/>
        <v>361</v>
      </c>
      <c r="CB65" s="69">
        <f t="shared" si="73"/>
        <v>387</v>
      </c>
      <c r="CC65" s="68">
        <f t="shared" si="74"/>
        <v>57</v>
      </c>
      <c r="CD65" s="69">
        <f t="shared" si="75"/>
        <v>61</v>
      </c>
      <c r="CE65" s="70">
        <f t="shared" si="76"/>
        <v>92</v>
      </c>
      <c r="CF65" s="70">
        <f t="shared" si="77"/>
        <v>98</v>
      </c>
      <c r="CG65" s="70">
        <f t="shared" si="78"/>
        <v>134</v>
      </c>
      <c r="CH65" s="70">
        <f t="shared" si="79"/>
        <v>143</v>
      </c>
      <c r="CI65" s="70">
        <f t="shared" si="80"/>
        <v>171</v>
      </c>
      <c r="CJ65" s="70">
        <f t="shared" si="81"/>
        <v>183</v>
      </c>
      <c r="CK65" s="70">
        <f t="shared" si="82"/>
        <v>226</v>
      </c>
      <c r="CL65" s="70">
        <f t="shared" si="83"/>
        <v>354</v>
      </c>
      <c r="CM65" s="70">
        <f t="shared" si="84"/>
        <v>386</v>
      </c>
      <c r="CN65" s="70">
        <f t="shared" si="85"/>
        <v>399</v>
      </c>
      <c r="CO65" s="57">
        <f t="shared" si="86"/>
        <v>1</v>
      </c>
    </row>
    <row r="66" spans="1:93" x14ac:dyDescent="0.2">
      <c r="A66" s="3" t="str">
        <f t="shared" si="87"/>
        <v>drd3_human_3PBL</v>
      </c>
      <c r="B66" s="3" t="s">
        <v>386</v>
      </c>
      <c r="C66" s="3" t="s">
        <v>263</v>
      </c>
      <c r="D66" s="3" t="str">
        <f>IFERROR(MID(VLOOKUP($B66,Seqs!$A:$B,2,FALSE),E66,1),"")</f>
        <v>Y</v>
      </c>
      <c r="E66" s="3">
        <v>32</v>
      </c>
      <c r="F66" s="3" t="str">
        <f>IFERROR(MID(VLOOKUP($B66,Seqs!$A:$B,2,FALSE),G66,1),"")</f>
        <v>E</v>
      </c>
      <c r="G66" s="3">
        <v>57</v>
      </c>
      <c r="H66" s="3" t="str">
        <f>IFERROR(MID(VLOOKUP($B66,Seqs!$A:$B,2,FALSE),I66,1),"")</f>
        <v>R</v>
      </c>
      <c r="I66" s="57">
        <v>58</v>
      </c>
      <c r="J66" s="3" t="str">
        <f>IFERROR(MID(VLOOKUP($B66,Seqs!$A:$B,2,FALSE),K66,1),"")</f>
        <v>Q</v>
      </c>
      <c r="K66" s="57">
        <v>61</v>
      </c>
      <c r="L66" s="3" t="str">
        <f>IFERROR(MID(VLOOKUP($B66,Seqs!$A:$B,2,FALSE),M66,1),"")</f>
        <v>T</v>
      </c>
      <c r="M66" s="3">
        <v>62</v>
      </c>
      <c r="N66" s="3" t="str">
        <f>IFERROR(MID(VLOOKUP($B66,Seqs!$A:$B,2,FALSE),O66,1),"")</f>
        <v>T</v>
      </c>
      <c r="O66" s="3">
        <v>92</v>
      </c>
      <c r="P66" s="3" t="str">
        <f>IFERROR(MID(VLOOKUP($B66,Seqs!$A:$B,2,FALSE),Q66,1),"")</f>
        <v>V</v>
      </c>
      <c r="Q66" s="3">
        <v>95</v>
      </c>
      <c r="R66" s="3" t="str">
        <f>IFERROR(MID(VLOOKUP($B66,Seqs!$A:$B,2,FALSE),S66,1),"")</f>
        <v>F</v>
      </c>
      <c r="S66" s="3">
        <v>98</v>
      </c>
      <c r="T66" s="3" t="str">
        <f>IFERROR(MID(VLOOKUP($B66,Seqs!$A:$B,2,FALSE),U66,1),"")</f>
        <v>S</v>
      </c>
      <c r="U66" s="3">
        <v>99</v>
      </c>
      <c r="V66" s="3" t="str">
        <f>IFERROR(MID(VLOOKUP($B66,Seqs!$A:$B,2,FALSE),W66,1),"")</f>
        <v>M</v>
      </c>
      <c r="W66" s="3">
        <v>134</v>
      </c>
      <c r="X66" s="3" t="str">
        <f>IFERROR(MID(VLOOKUP($B66,Seqs!$A:$B,2,FALSE),Y66,1),"")</f>
        <v>P</v>
      </c>
      <c r="Y66" s="3">
        <v>135</v>
      </c>
      <c r="Z66" s="3" t="str">
        <f>IFERROR(MID(VLOOKUP($B66,Seqs!$A:$B,2,FALSE),AA66,1),"")</f>
        <v>G</v>
      </c>
      <c r="AA66" s="3">
        <v>143</v>
      </c>
      <c r="AB66" s="3" t="str">
        <f>IFERROR(MID(VLOOKUP($B66,Seqs!$A:$B,2,FALSE),AC66,1),"")</f>
        <v>S</v>
      </c>
      <c r="AC66" s="3">
        <v>146</v>
      </c>
      <c r="AD66" s="3" t="str">
        <f>IFERROR(MID(VLOOKUP($B66,Seqs!$A:$B,2,FALSE),AE66,1),"")</f>
        <v>G</v>
      </c>
      <c r="AE66" s="3">
        <v>171</v>
      </c>
      <c r="AF66" s="3" t="str">
        <f>IFERROR(MID(VLOOKUP($B66,Seqs!$A:$B,2,FALSE),AG66,1),"")</f>
        <v>C</v>
      </c>
      <c r="AG66" s="3">
        <v>181</v>
      </c>
      <c r="AH66" s="3" t="str">
        <f>IFERROR(MID(VLOOKUP($B66,Seqs!$A:$B,2,FALSE),AI66,1),"")</f>
        <v>I</v>
      </c>
      <c r="AI66" s="3">
        <v>183</v>
      </c>
      <c r="AJ66" s="3" t="str">
        <f>IFERROR(MID(VLOOKUP($B66,Seqs!$A:$B,2,FALSE),AK66,1),"")</f>
        <v>N</v>
      </c>
      <c r="AK66" s="3">
        <v>185</v>
      </c>
      <c r="AL66" s="3" t="str">
        <f>IFERROR(MID(VLOOKUP($B66,Seqs!$A:$B,2,FALSE),AM66,1),"")</f>
        <v>K</v>
      </c>
      <c r="AM66" s="3">
        <v>216</v>
      </c>
      <c r="AN66" s="3" t="str">
        <f>IFERROR(MID(VLOOKUP($B66,Seqs!$A:$B,2,FALSE),AO66,1),"")</f>
        <v>R</v>
      </c>
      <c r="AO66" s="3">
        <v>323</v>
      </c>
      <c r="AP66" s="3" t="str">
        <f>IFERROR(MID(VLOOKUP($B66,Seqs!$A:$B,2,FALSE),AQ66,1),"")</f>
        <v>H</v>
      </c>
      <c r="AQ66" s="3">
        <v>354</v>
      </c>
      <c r="AR66" s="3" t="str">
        <f>IFERROR(MID(VLOOKUP($B66,Seqs!$A:$B,2,FALSE),AS66,1),"")</f>
        <v>S</v>
      </c>
      <c r="AS66" s="3">
        <v>361</v>
      </c>
      <c r="AT66" s="3" t="str">
        <f>IFERROR(MID(VLOOKUP($B66,Seqs!$A:$B,2,FALSE),AU66,1),"")</f>
        <v>F</v>
      </c>
      <c r="AU66" s="3">
        <v>386</v>
      </c>
      <c r="AV66" s="3" t="str">
        <f>IFERROR(MID(VLOOKUP($B66,Seqs!$A:$B,2,FALSE),AW66,1),"")</f>
        <v>N</v>
      </c>
      <c r="AW66" s="3">
        <v>387</v>
      </c>
      <c r="AX66" s="3" t="str">
        <f>IFERROR(MID(VLOOKUP($B66,Seqs!$A:$B,2,FALSE),AY66,1),"")</f>
        <v>S</v>
      </c>
      <c r="AY66" s="3">
        <v>399</v>
      </c>
      <c r="AZ66" s="83" t="str">
        <f>VLOOKUP(B66,Classification!A:D,2,FALSE)</f>
        <v>A</v>
      </c>
      <c r="BC66" s="57">
        <f t="shared" si="88"/>
        <v>242</v>
      </c>
      <c r="BD66" s="63" t="b">
        <f t="shared" si="89"/>
        <v>1</v>
      </c>
      <c r="BE66" s="68" t="s">
        <v>1514</v>
      </c>
      <c r="BF66" s="75" t="s">
        <v>1514</v>
      </c>
      <c r="BG66" s="75" t="s">
        <v>1514</v>
      </c>
      <c r="BH66" s="75" t="s">
        <v>1514</v>
      </c>
      <c r="BI66" s="75" t="s">
        <v>1514</v>
      </c>
      <c r="BJ66" s="75" t="s">
        <v>1514</v>
      </c>
      <c r="BK66" s="75" t="s">
        <v>1514</v>
      </c>
      <c r="BL66" s="75" t="s">
        <v>1514</v>
      </c>
      <c r="BM66" s="75" t="s">
        <v>1514</v>
      </c>
      <c r="BN66" s="75" t="s">
        <v>1514</v>
      </c>
      <c r="BO66" s="75" t="s">
        <v>1514</v>
      </c>
      <c r="BP66" s="75" t="s">
        <v>1514</v>
      </c>
      <c r="BQ66" s="68">
        <f t="shared" si="62"/>
        <v>32</v>
      </c>
      <c r="BR66" s="69">
        <f t="shared" si="63"/>
        <v>58</v>
      </c>
      <c r="BS66" s="70">
        <f t="shared" si="64"/>
        <v>62</v>
      </c>
      <c r="BT66" s="69">
        <f t="shared" si="65"/>
        <v>95</v>
      </c>
      <c r="BU66" s="70">
        <f t="shared" si="66"/>
        <v>99</v>
      </c>
      <c r="BV66" s="69">
        <f t="shared" si="67"/>
        <v>135</v>
      </c>
      <c r="BW66" s="70">
        <f t="shared" si="68"/>
        <v>146</v>
      </c>
      <c r="BX66" s="69">
        <f t="shared" si="69"/>
        <v>181</v>
      </c>
      <c r="BY66" s="70">
        <f t="shared" si="70"/>
        <v>185</v>
      </c>
      <c r="BZ66" s="69">
        <f t="shared" si="71"/>
        <v>323</v>
      </c>
      <c r="CA66" s="70">
        <f t="shared" si="72"/>
        <v>361</v>
      </c>
      <c r="CB66" s="69">
        <f t="shared" si="73"/>
        <v>387</v>
      </c>
      <c r="CC66" s="68">
        <f t="shared" si="74"/>
        <v>57</v>
      </c>
      <c r="CD66" s="69">
        <f t="shared" si="75"/>
        <v>61</v>
      </c>
      <c r="CE66" s="70">
        <f t="shared" si="76"/>
        <v>92</v>
      </c>
      <c r="CF66" s="70">
        <f t="shared" si="77"/>
        <v>98</v>
      </c>
      <c r="CG66" s="70">
        <f t="shared" si="78"/>
        <v>134</v>
      </c>
      <c r="CH66" s="70">
        <f t="shared" si="79"/>
        <v>143</v>
      </c>
      <c r="CI66" s="70">
        <f t="shared" si="80"/>
        <v>171</v>
      </c>
      <c r="CJ66" s="70">
        <f t="shared" si="81"/>
        <v>183</v>
      </c>
      <c r="CK66" s="70">
        <f t="shared" si="82"/>
        <v>216</v>
      </c>
      <c r="CL66" s="70">
        <f t="shared" si="83"/>
        <v>354</v>
      </c>
      <c r="CM66" s="70">
        <f t="shared" si="84"/>
        <v>386</v>
      </c>
      <c r="CN66" s="70">
        <f t="shared" si="85"/>
        <v>399</v>
      </c>
      <c r="CO66" s="57">
        <f t="shared" si="86"/>
        <v>1</v>
      </c>
    </row>
    <row r="67" spans="1:93" x14ac:dyDescent="0.2">
      <c r="A67" s="3" t="str">
        <f t="shared" si="87"/>
        <v>ffar1_human__wt</v>
      </c>
      <c r="B67" s="3" t="s">
        <v>1392</v>
      </c>
      <c r="C67" s="3" t="s">
        <v>294</v>
      </c>
      <c r="D67" s="3" t="str">
        <f>IFERROR(MID(VLOOKUP($B67,Seqs!$A:$B,2,FALSE),E67,1),"")</f>
        <v>Q</v>
      </c>
      <c r="E67" s="3">
        <v>6</v>
      </c>
      <c r="F67" s="3" t="str">
        <f>IFERROR(MID(VLOOKUP($B67,Seqs!$A:$B,2,FALSE),G67,1),"")</f>
        <v>R</v>
      </c>
      <c r="G67" s="3">
        <v>37</v>
      </c>
      <c r="H67" s="3" t="str">
        <f>IFERROR(MID(VLOOKUP($B67,Seqs!$A:$B,2,FALSE),I67,1),"")</f>
        <v/>
      </c>
      <c r="I67" s="57" t="s">
        <v>129</v>
      </c>
      <c r="J67" s="3" t="str">
        <f>IFERROR(MID(VLOOKUP($B67,Seqs!$A:$B,2,FALSE),K67,1),"")</f>
        <v/>
      </c>
      <c r="K67" s="57" t="s">
        <v>129</v>
      </c>
      <c r="L67" s="3" t="str">
        <f>IFERROR(MID(VLOOKUP($B67,Seqs!$A:$B,2,FALSE),M67,1),"")</f>
        <v>T</v>
      </c>
      <c r="M67" s="3">
        <v>39</v>
      </c>
      <c r="N67" s="3" t="str">
        <f>IFERROR(MID(VLOOKUP($B67,Seqs!$A:$B,2,FALSE),O67,1),"")</f>
        <v>A</v>
      </c>
      <c r="O67" s="3">
        <v>68</v>
      </c>
      <c r="P67" s="3" t="str">
        <f>IFERROR(MID(VLOOKUP($B67,Seqs!$A:$B,2,FALSE),Q67,1),"")</f>
        <v>A</v>
      </c>
      <c r="Q67" s="3">
        <v>71</v>
      </c>
      <c r="R67" s="3" t="str">
        <f>IFERROR(MID(VLOOKUP($B67,Seqs!$A:$B,2,FALSE),S67,1),"")</f>
        <v>L</v>
      </c>
      <c r="S67" s="3">
        <v>74</v>
      </c>
      <c r="T67" s="3" t="str">
        <f>IFERROR(MID(VLOOKUP($B67,Seqs!$A:$B,2,FALSE),U67,1),"")</f>
        <v>P</v>
      </c>
      <c r="U67" s="3">
        <v>75</v>
      </c>
      <c r="V67" s="3" t="str">
        <f>IFERROR(MID(VLOOKUP($B67,Seqs!$A:$B,2,FALSE),W67,1),"")</f>
        <v>F</v>
      </c>
      <c r="W67" s="3">
        <v>110</v>
      </c>
      <c r="X67" s="3" t="str">
        <f>IFERROR(MID(VLOOKUP($B67,Seqs!$A:$B,2,FALSE),Y67,1),"")</f>
        <v>P</v>
      </c>
      <c r="Y67" s="3">
        <v>111</v>
      </c>
      <c r="Z67" s="3" t="str">
        <f>IFERROR(MID(VLOOKUP($B67,Seqs!$A:$B,2,FALSE),AA67,1),"")</f>
        <v>R</v>
      </c>
      <c r="AA67" s="3">
        <v>118</v>
      </c>
      <c r="AB67" s="3" t="str">
        <f>IFERROR(MID(VLOOKUP($B67,Seqs!$A:$B,2,FALSE),AC67,1),"")</f>
        <v>P</v>
      </c>
      <c r="AC67" s="3">
        <v>120</v>
      </c>
      <c r="AD67" s="3" t="str">
        <f>IFERROR(MID(VLOOKUP($B67,Seqs!$A:$B,2,FALSE),AE67,1),"")</f>
        <v>E</v>
      </c>
      <c r="AE67" s="3">
        <v>145</v>
      </c>
      <c r="AF67" s="3" t="str">
        <f>IFERROR(MID(VLOOKUP($B67,Seqs!$A:$B,2,FALSE),AG67,1),"")</f>
        <v>C</v>
      </c>
      <c r="AG67" s="3">
        <v>170</v>
      </c>
      <c r="AH67" s="3" t="str">
        <f>IFERROR(MID(VLOOKUP($B67,Seqs!$A:$B,2,FALSE),AI67,1),"")</f>
        <v>E</v>
      </c>
      <c r="AI67" s="3">
        <v>172</v>
      </c>
      <c r="AJ67" s="3" t="str">
        <f>IFERROR(MID(VLOOKUP($B67,Seqs!$A:$B,2,FALSE),AK67,1),"")</f>
        <v>P</v>
      </c>
      <c r="AK67" s="3">
        <v>176</v>
      </c>
      <c r="AL67" s="3" t="str">
        <f>IFERROR(MID(VLOOKUP($B67,Seqs!$A:$B,2,FALSE),AM67,1),"")</f>
        <v>R</v>
      </c>
      <c r="AM67" s="3">
        <v>211</v>
      </c>
      <c r="AN67" s="3" t="str">
        <f>IFERROR(MID(VLOOKUP($B67,Seqs!$A:$B,2,FALSE),AO67,1),"")</f>
        <v>R</v>
      </c>
      <c r="AO67" s="3">
        <v>217</v>
      </c>
      <c r="AP67" s="3" t="str">
        <f>IFERROR(MID(VLOOKUP($B67,Seqs!$A:$B,2,FALSE),AQ67,1),"")</f>
        <v>Y</v>
      </c>
      <c r="AQ67" s="3">
        <v>250</v>
      </c>
      <c r="AR67" s="3" t="str">
        <f>IFERROR(MID(VLOOKUP($B67,Seqs!$A:$B,2,FALSE),AS67,1),"")</f>
        <v>G</v>
      </c>
      <c r="AS67" s="3">
        <v>255</v>
      </c>
      <c r="AT67" s="3" t="str">
        <f>IFERROR(MID(VLOOKUP($B67,Seqs!$A:$B,2,FALSE),AU67,1),"")</f>
        <v>L</v>
      </c>
      <c r="AU67" s="3">
        <v>279</v>
      </c>
      <c r="AV67" s="3" t="str">
        <f>IFERROR(MID(VLOOKUP($B67,Seqs!$A:$B,2,FALSE),AW67,1),"")</f>
        <v>G</v>
      </c>
      <c r="AW67" s="3">
        <v>280</v>
      </c>
      <c r="AX67" s="3" t="str">
        <f>IFERROR(MID(VLOOKUP($B67,Seqs!$A:$B,2,FALSE),AY67,1),"")</f>
        <v>Q</v>
      </c>
      <c r="AY67" s="3">
        <v>294</v>
      </c>
      <c r="AZ67" s="83" t="str">
        <f>VLOOKUP(B67,Classification!A:D,2,FALSE)</f>
        <v>A</v>
      </c>
      <c r="BB67" s="82">
        <f>S67-Q67+1</f>
        <v>4</v>
      </c>
      <c r="BC67" s="57">
        <f t="shared" si="88"/>
        <v>250</v>
      </c>
      <c r="BD67" s="63" t="b">
        <f t="shared" si="89"/>
        <v>1</v>
      </c>
      <c r="BE67" s="68" t="s">
        <v>1514</v>
      </c>
      <c r="BF67" s="75" t="s">
        <v>1514</v>
      </c>
      <c r="BG67" s="75" t="s">
        <v>1514</v>
      </c>
      <c r="BH67" s="75" t="s">
        <v>1514</v>
      </c>
      <c r="BI67" s="75" t="s">
        <v>1514</v>
      </c>
      <c r="BJ67" s="75" t="s">
        <v>1514</v>
      </c>
      <c r="BK67" s="75" t="s">
        <v>1514</v>
      </c>
      <c r="BL67" s="75" t="s">
        <v>1514</v>
      </c>
      <c r="BM67" s="75" t="s">
        <v>1514</v>
      </c>
      <c r="BN67" s="75" t="s">
        <v>1514</v>
      </c>
      <c r="BO67" s="75" t="s">
        <v>1514</v>
      </c>
      <c r="BP67" s="75" t="s">
        <v>1514</v>
      </c>
      <c r="BQ67" s="68">
        <f t="shared" ref="BQ67:BQ100" si="90">E67</f>
        <v>6</v>
      </c>
      <c r="BR67" s="69" t="str">
        <f t="shared" ref="BR67:BR100" si="91">I67</f>
        <v>-</v>
      </c>
      <c r="BS67" s="70">
        <f t="shared" ref="BS67:BS100" si="92">M67</f>
        <v>39</v>
      </c>
      <c r="BT67" s="69">
        <f t="shared" ref="BT67:BT100" si="93">Q67</f>
        <v>71</v>
      </c>
      <c r="BU67" s="70">
        <f t="shared" ref="BU67:BU100" si="94">U67</f>
        <v>75</v>
      </c>
      <c r="BV67" s="69">
        <f t="shared" ref="BV67:BV100" si="95">Y67</f>
        <v>111</v>
      </c>
      <c r="BW67" s="70">
        <f t="shared" ref="BW67:BW100" si="96">AC67</f>
        <v>120</v>
      </c>
      <c r="BX67" s="69">
        <f t="shared" ref="BX67:BX100" si="97">AG67</f>
        <v>170</v>
      </c>
      <c r="BY67" s="70">
        <f t="shared" ref="BY67:BY100" si="98">AK67</f>
        <v>176</v>
      </c>
      <c r="BZ67" s="69">
        <f t="shared" ref="BZ67:BZ100" si="99">AO67</f>
        <v>217</v>
      </c>
      <c r="CA67" s="70">
        <f t="shared" ref="CA67:CA100" si="100">AS67</f>
        <v>255</v>
      </c>
      <c r="CB67" s="69">
        <f t="shared" ref="CB67:CB100" si="101">AW67</f>
        <v>280</v>
      </c>
      <c r="CC67" s="68">
        <f t="shared" ref="CC67:CC100" si="102">G67</f>
        <v>37</v>
      </c>
      <c r="CD67" s="69" t="str">
        <f t="shared" ref="CD67:CD100" si="103">K67</f>
        <v>-</v>
      </c>
      <c r="CE67" s="70">
        <f t="shared" ref="CE67:CE100" si="104">O67</f>
        <v>68</v>
      </c>
      <c r="CF67" s="70">
        <f t="shared" ref="CF67:CF100" si="105">S67</f>
        <v>74</v>
      </c>
      <c r="CG67" s="70">
        <f t="shared" ref="CG67:CG100" si="106">W67</f>
        <v>110</v>
      </c>
      <c r="CH67" s="70">
        <f t="shared" ref="CH67:CH100" si="107">AA67</f>
        <v>118</v>
      </c>
      <c r="CI67" s="70">
        <f t="shared" ref="CI67:CI100" si="108">AE67</f>
        <v>145</v>
      </c>
      <c r="CJ67" s="70">
        <f t="shared" ref="CJ67:CJ100" si="109">AI67</f>
        <v>172</v>
      </c>
      <c r="CK67" s="70">
        <f t="shared" ref="CK67:CK100" si="110">AM67</f>
        <v>211</v>
      </c>
      <c r="CL67" s="70">
        <f t="shared" ref="CL67:CL100" si="111">AQ67</f>
        <v>250</v>
      </c>
      <c r="CM67" s="70">
        <f t="shared" ref="CM67:CM100" si="112">AU67</f>
        <v>279</v>
      </c>
      <c r="CN67" s="70">
        <f t="shared" ref="CN67:CN100" si="113">AY67</f>
        <v>294</v>
      </c>
      <c r="CO67" s="57" t="e">
        <f t="shared" ref="CO67:CO98" si="114">M67-K67</f>
        <v>#VALUE!</v>
      </c>
    </row>
    <row r="68" spans="1:93" x14ac:dyDescent="0.2">
      <c r="A68" s="3" t="str">
        <f t="shared" si="87"/>
        <v>ffar1_human_4PHU</v>
      </c>
      <c r="B68" s="3" t="s">
        <v>1392</v>
      </c>
      <c r="C68" s="3" t="s">
        <v>241</v>
      </c>
      <c r="D68" s="3" t="str">
        <f>IFERROR(MID(VLOOKUP($B68,Seqs!$A:$B,2,FALSE),E68,1),"")</f>
        <v>Q</v>
      </c>
      <c r="E68" s="3">
        <v>6</v>
      </c>
      <c r="F68" s="3" t="str">
        <f>IFERROR(MID(VLOOKUP($B68,Seqs!$A:$B,2,FALSE),G68,1),"")</f>
        <v>R</v>
      </c>
      <c r="G68" s="3">
        <v>37</v>
      </c>
      <c r="H68" s="3" t="str">
        <f>IFERROR(MID(VLOOKUP($B68,Seqs!$A:$B,2,FALSE),I68,1),"")</f>
        <v/>
      </c>
      <c r="I68" s="57" t="s">
        <v>129</v>
      </c>
      <c r="J68" s="3" t="str">
        <f>IFERROR(MID(VLOOKUP($B68,Seqs!$A:$B,2,FALSE),K68,1),"")</f>
        <v/>
      </c>
      <c r="K68" s="57" t="s">
        <v>129</v>
      </c>
      <c r="L68" s="3" t="str">
        <f>IFERROR(MID(VLOOKUP($B68,Seqs!$A:$B,2,FALSE),M68,1),"")</f>
        <v>T</v>
      </c>
      <c r="M68" s="3">
        <v>39</v>
      </c>
      <c r="N68" s="3" t="str">
        <f>IFERROR(MID(VLOOKUP($B68,Seqs!$A:$B,2,FALSE),O68,1),"")</f>
        <v>A</v>
      </c>
      <c r="O68" s="3">
        <v>68</v>
      </c>
      <c r="P68" s="3" t="str">
        <f>IFERROR(MID(VLOOKUP($B68,Seqs!$A:$B,2,FALSE),Q68,1),"")</f>
        <v>A</v>
      </c>
      <c r="Q68" s="3">
        <v>71</v>
      </c>
      <c r="R68" s="3" t="str">
        <f>IFERROR(MID(VLOOKUP($B68,Seqs!$A:$B,2,FALSE),S68,1),"")</f>
        <v>L</v>
      </c>
      <c r="S68" s="3">
        <v>74</v>
      </c>
      <c r="T68" s="3" t="str">
        <f>IFERROR(MID(VLOOKUP($B68,Seqs!$A:$B,2,FALSE),U68,1),"")</f>
        <v>P</v>
      </c>
      <c r="U68" s="3">
        <v>75</v>
      </c>
      <c r="V68" s="3" t="str">
        <f>IFERROR(MID(VLOOKUP($B68,Seqs!$A:$B,2,FALSE),W68,1),"")</f>
        <v>F</v>
      </c>
      <c r="W68" s="3">
        <v>110</v>
      </c>
      <c r="X68" s="3" t="str">
        <f>IFERROR(MID(VLOOKUP($B68,Seqs!$A:$B,2,FALSE),Y68,1),"")</f>
        <v/>
      </c>
      <c r="Y68" s="3" t="s">
        <v>129</v>
      </c>
      <c r="Z68" s="3" t="str">
        <f>IFERROR(MID(VLOOKUP($B68,Seqs!$A:$B,2,FALSE),AA68,1),"")</f>
        <v/>
      </c>
      <c r="AA68" s="3" t="s">
        <v>129</v>
      </c>
      <c r="AB68" s="3" t="str">
        <f>IFERROR(MID(VLOOKUP($B68,Seqs!$A:$B,2,FALSE),AC68,1),"")</f>
        <v>P</v>
      </c>
      <c r="AC68" s="3">
        <v>120</v>
      </c>
      <c r="AD68" s="3" t="str">
        <f>IFERROR(MID(VLOOKUP($B68,Seqs!$A:$B,2,FALSE),AE68,1),"")</f>
        <v>E</v>
      </c>
      <c r="AE68" s="3">
        <v>145</v>
      </c>
      <c r="AF68" s="3" t="str">
        <f>IFERROR(MID(VLOOKUP($B68,Seqs!$A:$B,2,FALSE),AG68,1),"")</f>
        <v>C</v>
      </c>
      <c r="AG68" s="3">
        <v>170</v>
      </c>
      <c r="AH68" s="3" t="str">
        <f>IFERROR(MID(VLOOKUP($B68,Seqs!$A:$B,2,FALSE),AI68,1),"")</f>
        <v>E</v>
      </c>
      <c r="AI68" s="3">
        <v>172</v>
      </c>
      <c r="AJ68" s="3" t="str">
        <f>IFERROR(MID(VLOOKUP($B68,Seqs!$A:$B,2,FALSE),AK68,1),"")</f>
        <v>P</v>
      </c>
      <c r="AK68" s="3">
        <v>176</v>
      </c>
      <c r="AL68" s="3" t="str">
        <f>IFERROR(MID(VLOOKUP($B68,Seqs!$A:$B,2,FALSE),AM68,1),"")</f>
        <v>A</v>
      </c>
      <c r="AM68" s="3">
        <v>210</v>
      </c>
      <c r="AN68" s="3" t="str">
        <f>IFERROR(MID(VLOOKUP($B68,Seqs!$A:$B,2,FALSE),AO68,1),"")</f>
        <v>L</v>
      </c>
      <c r="AO68" s="3">
        <v>214</v>
      </c>
      <c r="AP68" s="3" t="str">
        <f>IFERROR(MID(VLOOKUP($B68,Seqs!$A:$B,2,FALSE),AQ68,1),"")</f>
        <v>Y</v>
      </c>
      <c r="AQ68" s="3">
        <v>250</v>
      </c>
      <c r="AR68" s="3" t="str">
        <f>IFERROR(MID(VLOOKUP($B68,Seqs!$A:$B,2,FALSE),AS68,1),"")</f>
        <v>G</v>
      </c>
      <c r="AS68" s="3">
        <v>255</v>
      </c>
      <c r="AT68" s="3" t="str">
        <f>IFERROR(MID(VLOOKUP($B68,Seqs!$A:$B,2,FALSE),AU68,1),"")</f>
        <v>L</v>
      </c>
      <c r="AU68" s="3">
        <v>274</v>
      </c>
      <c r="AV68" s="3" t="str">
        <f>IFERROR(MID(VLOOKUP($B68,Seqs!$A:$B,2,FALSE),AW68,1),"")</f>
        <v/>
      </c>
      <c r="AW68" s="3" t="s">
        <v>129</v>
      </c>
      <c r="AX68" s="3" t="str">
        <f>IFERROR(MID(VLOOKUP($B68,Seqs!$A:$B,2,FALSE),AY68,1),"")</f>
        <v/>
      </c>
      <c r="AY68" s="3" t="s">
        <v>129</v>
      </c>
      <c r="AZ68" s="83" t="str">
        <f>VLOOKUP(B68,Classification!A:D,2,FALSE)</f>
        <v>A</v>
      </c>
      <c r="BC68" s="57">
        <f t="shared" si="88"/>
        <v>226</v>
      </c>
      <c r="BD68" s="63" t="b">
        <f t="shared" si="89"/>
        <v>1</v>
      </c>
      <c r="BE68" s="68" t="s">
        <v>1514</v>
      </c>
      <c r="BF68" s="75" t="s">
        <v>1514</v>
      </c>
      <c r="BG68" s="75" t="s">
        <v>1514</v>
      </c>
      <c r="BH68" s="75" t="s">
        <v>1514</v>
      </c>
      <c r="BI68" s="75" t="s">
        <v>1514</v>
      </c>
      <c r="BJ68" s="75" t="s">
        <v>1514</v>
      </c>
      <c r="BK68" s="75" t="s">
        <v>1514</v>
      </c>
      <c r="BL68" s="75" t="s">
        <v>1514</v>
      </c>
      <c r="BM68" s="75" t="s">
        <v>1514</v>
      </c>
      <c r="BN68" s="75" t="s">
        <v>1514</v>
      </c>
      <c r="BO68" s="75" t="s">
        <v>1514</v>
      </c>
      <c r="BP68" s="75" t="s">
        <v>1514</v>
      </c>
      <c r="BQ68" s="68">
        <f t="shared" si="90"/>
        <v>6</v>
      </c>
      <c r="BR68" s="69" t="str">
        <f t="shared" si="91"/>
        <v>-</v>
      </c>
      <c r="BS68" s="70">
        <f t="shared" si="92"/>
        <v>39</v>
      </c>
      <c r="BT68" s="69">
        <f t="shared" si="93"/>
        <v>71</v>
      </c>
      <c r="BU68" s="70">
        <f t="shared" si="94"/>
        <v>75</v>
      </c>
      <c r="BV68" s="69" t="str">
        <f t="shared" si="95"/>
        <v>-</v>
      </c>
      <c r="BW68" s="70">
        <f t="shared" si="96"/>
        <v>120</v>
      </c>
      <c r="BX68" s="69">
        <f t="shared" si="97"/>
        <v>170</v>
      </c>
      <c r="BY68" s="70">
        <f t="shared" si="98"/>
        <v>176</v>
      </c>
      <c r="BZ68" s="69">
        <f t="shared" si="99"/>
        <v>214</v>
      </c>
      <c r="CA68" s="70">
        <f t="shared" si="100"/>
        <v>255</v>
      </c>
      <c r="CB68" s="69" t="str">
        <f t="shared" si="101"/>
        <v>-</v>
      </c>
      <c r="CC68" s="68">
        <f t="shared" si="102"/>
        <v>37</v>
      </c>
      <c r="CD68" s="69" t="str">
        <f t="shared" si="103"/>
        <v>-</v>
      </c>
      <c r="CE68" s="70">
        <f t="shared" si="104"/>
        <v>68</v>
      </c>
      <c r="CF68" s="70">
        <f t="shared" si="105"/>
        <v>74</v>
      </c>
      <c r="CG68" s="70">
        <f t="shared" si="106"/>
        <v>110</v>
      </c>
      <c r="CH68" s="70" t="str">
        <f t="shared" si="107"/>
        <v>-</v>
      </c>
      <c r="CI68" s="70">
        <f t="shared" si="108"/>
        <v>145</v>
      </c>
      <c r="CJ68" s="70">
        <f t="shared" si="109"/>
        <v>172</v>
      </c>
      <c r="CK68" s="70">
        <f t="shared" si="110"/>
        <v>210</v>
      </c>
      <c r="CL68" s="70">
        <f t="shared" si="111"/>
        <v>250</v>
      </c>
      <c r="CM68" s="70">
        <f t="shared" si="112"/>
        <v>274</v>
      </c>
      <c r="CN68" s="70" t="str">
        <f t="shared" si="113"/>
        <v>-</v>
      </c>
      <c r="CO68" s="57" t="e">
        <f t="shared" si="114"/>
        <v>#VALUE!</v>
      </c>
    </row>
    <row r="69" spans="1:93" x14ac:dyDescent="0.2">
      <c r="A69" s="3" t="str">
        <f t="shared" ref="A69:A100" si="115">CONCATENATE(B69,"_",C69)</f>
        <v>hrh1_human__wt</v>
      </c>
      <c r="B69" s="3" t="s">
        <v>472</v>
      </c>
      <c r="C69" s="3" t="s">
        <v>294</v>
      </c>
      <c r="D69" s="3" t="str">
        <f>IFERROR(MID(VLOOKUP($B69,Seqs!$A:$B,2,FALSE),E69,1),"")</f>
        <v>P</v>
      </c>
      <c r="E69" s="3">
        <v>29</v>
      </c>
      <c r="F69" s="3" t="str">
        <f>IFERROR(MID(VLOOKUP($B69,Seqs!$A:$B,2,FALSE),G69,1),"")</f>
        <v>E</v>
      </c>
      <c r="G69" s="3">
        <v>55</v>
      </c>
      <c r="H69" s="3" t="str">
        <f>IFERROR(MID(VLOOKUP($B69,Seqs!$A:$B,2,FALSE),I69,1),"")</f>
        <v>R</v>
      </c>
      <c r="I69" s="57">
        <v>56</v>
      </c>
      <c r="J69" s="3" t="str">
        <f>IFERROR(MID(VLOOKUP($B69,Seqs!$A:$B,2,FALSE),K69,1),"")</f>
        <v>H</v>
      </c>
      <c r="K69" s="57">
        <v>59</v>
      </c>
      <c r="L69" s="3" t="str">
        <f>IFERROR(MID(VLOOKUP($B69,Seqs!$A:$B,2,FALSE),M69,1),"")</f>
        <v>T</v>
      </c>
      <c r="M69" s="3">
        <v>60</v>
      </c>
      <c r="N69" s="3" t="str">
        <f>IFERROR(MID(VLOOKUP($B69,Seqs!$A:$B,2,FALSE),O69,1),"")</f>
        <v>M</v>
      </c>
      <c r="O69" s="3">
        <v>90</v>
      </c>
      <c r="P69" s="3" t="str">
        <f>IFERROR(MID(VLOOKUP($B69,Seqs!$A:$B,2,FALSE),Q69,1),"")</f>
        <v>K</v>
      </c>
      <c r="Q69" s="3">
        <v>92</v>
      </c>
      <c r="R69" s="3" t="str">
        <f>IFERROR(MID(VLOOKUP($B69,Seqs!$A:$B,2,FALSE),S69,1),"")</f>
        <v>L</v>
      </c>
      <c r="S69" s="3">
        <v>95</v>
      </c>
      <c r="T69" s="3" t="str">
        <f>IFERROR(MID(VLOOKUP($B69,Seqs!$A:$B,2,FALSE),U69,1),"")</f>
        <v>G</v>
      </c>
      <c r="U69" s="3">
        <v>96</v>
      </c>
      <c r="V69" s="3" t="str">
        <f>IFERROR(MID(VLOOKUP($B69,Seqs!$A:$B,2,FALSE),W69,1),"")</f>
        <v>Q</v>
      </c>
      <c r="W69" s="3">
        <v>131</v>
      </c>
      <c r="X69" s="3" t="str">
        <f>IFERROR(MID(VLOOKUP($B69,Seqs!$A:$B,2,FALSE),Y69,1),"")</f>
        <v>P</v>
      </c>
      <c r="Y69" s="3">
        <v>132</v>
      </c>
      <c r="Z69" s="3" t="str">
        <f>IFERROR(MID(VLOOKUP($B69,Seqs!$A:$B,2,FALSE),AA69,1),"")</f>
        <v>R</v>
      </c>
      <c r="AA69" s="3">
        <v>139</v>
      </c>
      <c r="AB69" s="3" t="str">
        <f>IFERROR(MID(VLOOKUP($B69,Seqs!$A:$B,2,FALSE),AC69,1),"")</f>
        <v>K</v>
      </c>
      <c r="AC69" s="3">
        <v>141</v>
      </c>
      <c r="AD69" s="3" t="str">
        <f>IFERROR(MID(VLOOKUP($B69,Seqs!$A:$B,2,FALSE),AE69,1),"")</f>
        <v>G</v>
      </c>
      <c r="AE69" s="3">
        <v>164</v>
      </c>
      <c r="AF69" s="3" t="str">
        <f>IFERROR(MID(VLOOKUP($B69,Seqs!$A:$B,2,FALSE),AG69,1),"")</f>
        <v>C</v>
      </c>
      <c r="AG69" s="3">
        <v>180</v>
      </c>
      <c r="AH69" s="3" t="str">
        <f>IFERROR(MID(VLOOKUP($B69,Seqs!$A:$B,2,FALSE),AI69,1),"")</f>
        <v>T</v>
      </c>
      <c r="AI69" s="3">
        <v>182</v>
      </c>
      <c r="AJ69" s="3" t="str">
        <f>IFERROR(MID(VLOOKUP($B69,Seqs!$A:$B,2,FALSE),AK69,1),"")</f>
        <v>V</v>
      </c>
      <c r="AK69" s="3">
        <v>187</v>
      </c>
      <c r="AL69" s="3" t="str">
        <f>IFERROR(MID(VLOOKUP($B69,Seqs!$A:$B,2,FALSE),AM69,1),"")</f>
        <v>N</v>
      </c>
      <c r="AM69" s="3">
        <v>228</v>
      </c>
      <c r="AN69" s="3" t="str">
        <f>IFERROR(MID(VLOOKUP($B69,Seqs!$A:$B,2,FALSE),AO69,1),"")</f>
        <v>G</v>
      </c>
      <c r="AO69" s="3">
        <v>404</v>
      </c>
      <c r="AP69" s="3" t="str">
        <f>IFERROR(MID(VLOOKUP($B69,Seqs!$A:$B,2,FALSE),AQ69,1),"")</f>
        <v>C</v>
      </c>
      <c r="AQ69" s="3">
        <v>441</v>
      </c>
      <c r="AR69" s="3" t="str">
        <f>IFERROR(MID(VLOOKUP($B69,Seqs!$A:$B,2,FALSE),AS69,1),"")</f>
        <v>N</v>
      </c>
      <c r="AS69" s="3">
        <v>446</v>
      </c>
      <c r="AT69" s="3" t="str">
        <f>IFERROR(MID(VLOOKUP($B69,Seqs!$A:$B,2,FALSE),AU69,1),"")</f>
        <v>C</v>
      </c>
      <c r="AU69" s="3">
        <v>471</v>
      </c>
      <c r="AV69" s="3" t="str">
        <f>IFERROR(MID(VLOOKUP($B69,Seqs!$A:$B,2,FALSE),AW69,1),"")</f>
        <v>N</v>
      </c>
      <c r="AW69" s="3">
        <v>472</v>
      </c>
      <c r="AX69" s="3" t="str">
        <f>IFERROR(MID(VLOOKUP($B69,Seqs!$A:$B,2,FALSE),AY69,1),"")</f>
        <v>H</v>
      </c>
      <c r="AY69" s="3">
        <v>484</v>
      </c>
      <c r="AZ69" s="83" t="str">
        <f>VLOOKUP(B69,Classification!A:D,2,FALSE)</f>
        <v>A</v>
      </c>
      <c r="BB69" s="82">
        <f>S69-Q69+1</f>
        <v>4</v>
      </c>
      <c r="BC69" s="57">
        <f t="shared" ref="BC69:BC100" si="116">_xlfn.AGGREGATE(9,6,CC69:CN69)-_xlfn.AGGREGATE(9,6,BQ69:CB69)+12</f>
        <v>256</v>
      </c>
      <c r="BD69" s="63" t="b">
        <f t="shared" ref="BD69:BD100" si="11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E69" s="68" t="s">
        <v>1514</v>
      </c>
      <c r="BF69" s="75" t="s">
        <v>1514</v>
      </c>
      <c r="BG69" s="75" t="s">
        <v>1514</v>
      </c>
      <c r="BH69" s="75" t="s">
        <v>1514</v>
      </c>
      <c r="BI69" s="75" t="s">
        <v>1514</v>
      </c>
      <c r="BJ69" s="75" t="s">
        <v>1514</v>
      </c>
      <c r="BK69" s="75" t="s">
        <v>1514</v>
      </c>
      <c r="BL69" s="75" t="s">
        <v>1514</v>
      </c>
      <c r="BM69" s="75" t="s">
        <v>1514</v>
      </c>
      <c r="BN69" s="75" t="s">
        <v>1514</v>
      </c>
      <c r="BO69" s="75" t="s">
        <v>1514</v>
      </c>
      <c r="BP69" s="75" t="s">
        <v>1514</v>
      </c>
      <c r="BQ69" s="68">
        <f t="shared" si="90"/>
        <v>29</v>
      </c>
      <c r="BR69" s="69">
        <f t="shared" si="91"/>
        <v>56</v>
      </c>
      <c r="BS69" s="70">
        <f t="shared" si="92"/>
        <v>60</v>
      </c>
      <c r="BT69" s="69">
        <f t="shared" si="93"/>
        <v>92</v>
      </c>
      <c r="BU69" s="70">
        <f t="shared" si="94"/>
        <v>96</v>
      </c>
      <c r="BV69" s="69">
        <f t="shared" si="95"/>
        <v>132</v>
      </c>
      <c r="BW69" s="70">
        <f t="shared" si="96"/>
        <v>141</v>
      </c>
      <c r="BX69" s="69">
        <f t="shared" si="97"/>
        <v>180</v>
      </c>
      <c r="BY69" s="70">
        <f t="shared" si="98"/>
        <v>187</v>
      </c>
      <c r="BZ69" s="69">
        <f t="shared" si="99"/>
        <v>404</v>
      </c>
      <c r="CA69" s="70">
        <f t="shared" si="100"/>
        <v>446</v>
      </c>
      <c r="CB69" s="69">
        <f t="shared" si="101"/>
        <v>472</v>
      </c>
      <c r="CC69" s="68">
        <f t="shared" si="102"/>
        <v>55</v>
      </c>
      <c r="CD69" s="69">
        <f t="shared" si="103"/>
        <v>59</v>
      </c>
      <c r="CE69" s="70">
        <f t="shared" si="104"/>
        <v>90</v>
      </c>
      <c r="CF69" s="70">
        <f t="shared" si="105"/>
        <v>95</v>
      </c>
      <c r="CG69" s="70">
        <f t="shared" si="106"/>
        <v>131</v>
      </c>
      <c r="CH69" s="70">
        <f t="shared" si="107"/>
        <v>139</v>
      </c>
      <c r="CI69" s="70">
        <f t="shared" si="108"/>
        <v>164</v>
      </c>
      <c r="CJ69" s="70">
        <f t="shared" si="109"/>
        <v>182</v>
      </c>
      <c r="CK69" s="70">
        <f t="shared" si="110"/>
        <v>228</v>
      </c>
      <c r="CL69" s="70">
        <f t="shared" si="111"/>
        <v>441</v>
      </c>
      <c r="CM69" s="70">
        <f t="shared" si="112"/>
        <v>471</v>
      </c>
      <c r="CN69" s="70">
        <f t="shared" si="113"/>
        <v>484</v>
      </c>
      <c r="CO69" s="57">
        <f t="shared" si="114"/>
        <v>1</v>
      </c>
    </row>
    <row r="70" spans="1:93" x14ac:dyDescent="0.2">
      <c r="A70" s="3" t="str">
        <f t="shared" si="115"/>
        <v>hrh1_human_3RZE</v>
      </c>
      <c r="B70" s="3" t="s">
        <v>472</v>
      </c>
      <c r="C70" s="3" t="s">
        <v>264</v>
      </c>
      <c r="D70" s="3" t="str">
        <f>IFERROR(MID(VLOOKUP($B70,Seqs!$A:$B,2,FALSE),E70,1),"")</f>
        <v>V</v>
      </c>
      <c r="E70" s="3">
        <v>33</v>
      </c>
      <c r="F70" s="3" t="str">
        <f>IFERROR(MID(VLOOKUP($B70,Seqs!$A:$B,2,FALSE),G70,1),"")</f>
        <v>E</v>
      </c>
      <c r="G70" s="3">
        <v>55</v>
      </c>
      <c r="H70" s="3" t="str">
        <f>IFERROR(MID(VLOOKUP($B70,Seqs!$A:$B,2,FALSE),I70,1),"")</f>
        <v>R</v>
      </c>
      <c r="I70" s="57">
        <v>56</v>
      </c>
      <c r="J70" s="3" t="str">
        <f>IFERROR(MID(VLOOKUP($B70,Seqs!$A:$B,2,FALSE),K70,1),"")</f>
        <v>H</v>
      </c>
      <c r="K70" s="57">
        <v>59</v>
      </c>
      <c r="L70" s="3" t="str">
        <f>IFERROR(MID(VLOOKUP($B70,Seqs!$A:$B,2,FALSE),M70,1),"")</f>
        <v>T</v>
      </c>
      <c r="M70" s="3">
        <v>60</v>
      </c>
      <c r="N70" s="3" t="str">
        <f>IFERROR(MID(VLOOKUP($B70,Seqs!$A:$B,2,FALSE),O70,1),"")</f>
        <v>M</v>
      </c>
      <c r="O70" s="3">
        <v>90</v>
      </c>
      <c r="P70" s="3" t="str">
        <f>IFERROR(MID(VLOOKUP($B70,Seqs!$A:$B,2,FALSE),Q70,1),"")</f>
        <v>K</v>
      </c>
      <c r="Q70" s="3">
        <v>92</v>
      </c>
      <c r="R70" s="3" t="str">
        <f>IFERROR(MID(VLOOKUP($B70,Seqs!$A:$B,2,FALSE),S70,1),"")</f>
        <v>L</v>
      </c>
      <c r="S70" s="3">
        <v>95</v>
      </c>
      <c r="T70" s="3" t="str">
        <f>IFERROR(MID(VLOOKUP($B70,Seqs!$A:$B,2,FALSE),U70,1),"")</f>
        <v>G</v>
      </c>
      <c r="U70" s="3">
        <v>96</v>
      </c>
      <c r="V70" s="3" t="str">
        <f>IFERROR(MID(VLOOKUP($B70,Seqs!$A:$B,2,FALSE),W70,1),"")</f>
        <v>Q</v>
      </c>
      <c r="W70" s="3">
        <v>131</v>
      </c>
      <c r="X70" s="3" t="str">
        <f>IFERROR(MID(VLOOKUP($B70,Seqs!$A:$B,2,FALSE),Y70,1),"")</f>
        <v/>
      </c>
      <c r="Y70" s="3" t="s">
        <v>129</v>
      </c>
      <c r="Z70" s="3" t="str">
        <f>IFERROR(MID(VLOOKUP($B70,Seqs!$A:$B,2,FALSE),AA70,1),"")</f>
        <v/>
      </c>
      <c r="AA70" s="3" t="s">
        <v>129</v>
      </c>
      <c r="AB70" s="3" t="str">
        <f>IFERROR(MID(VLOOKUP($B70,Seqs!$A:$B,2,FALSE),AC70,1),"")</f>
        <v>K</v>
      </c>
      <c r="AC70" s="3">
        <v>141</v>
      </c>
      <c r="AD70" s="3" t="str">
        <f>IFERROR(MID(VLOOKUP($B70,Seqs!$A:$B,2,FALSE),AE70,1),"")</f>
        <v>G</v>
      </c>
      <c r="AE70" s="3">
        <v>164</v>
      </c>
      <c r="AF70" s="3" t="str">
        <f>IFERROR(MID(VLOOKUP($B70,Seqs!$A:$B,2,FALSE),AG70,1),"")</f>
        <v>C</v>
      </c>
      <c r="AG70" s="3">
        <v>180</v>
      </c>
      <c r="AH70" s="3" t="str">
        <f>IFERROR(MID(VLOOKUP($B70,Seqs!$A:$B,2,FALSE),AI70,1),"")</f>
        <v>T</v>
      </c>
      <c r="AI70" s="3">
        <v>182</v>
      </c>
      <c r="AJ70" s="3" t="str">
        <f>IFERROR(MID(VLOOKUP($B70,Seqs!$A:$B,2,FALSE),AK70,1),"")</f>
        <v>V</v>
      </c>
      <c r="AK70" s="3">
        <v>187</v>
      </c>
      <c r="AL70" s="3" t="str">
        <f>IFERROR(MID(VLOOKUP($B70,Seqs!$A:$B,2,FALSE),AM70,1),"")</f>
        <v>V</v>
      </c>
      <c r="AM70" s="3">
        <v>217</v>
      </c>
      <c r="AN70" s="3" t="str">
        <f>IFERROR(MID(VLOOKUP($B70,Seqs!$A:$B,2,FALSE),AO70,1),"")</f>
        <v>N</v>
      </c>
      <c r="AO70" s="3">
        <v>408</v>
      </c>
      <c r="AP70" s="3" t="str">
        <f>IFERROR(MID(VLOOKUP($B70,Seqs!$A:$B,2,FALSE),AQ70,1),"")</f>
        <v>C</v>
      </c>
      <c r="AQ70" s="3">
        <v>441</v>
      </c>
      <c r="AR70" s="3" t="str">
        <f>IFERROR(MID(VLOOKUP($B70,Seqs!$A:$B,2,FALSE),AS70,1),"")</f>
        <v>N</v>
      </c>
      <c r="AS70" s="3">
        <v>446</v>
      </c>
      <c r="AT70" s="3" t="str">
        <f>IFERROR(MID(VLOOKUP($B70,Seqs!$A:$B,2,FALSE),AU70,1),"")</f>
        <v>C</v>
      </c>
      <c r="AU70" s="3">
        <v>471</v>
      </c>
      <c r="AV70" s="3" t="str">
        <f>IFERROR(MID(VLOOKUP($B70,Seqs!$A:$B,2,FALSE),AW70,1),"")</f>
        <v>N</v>
      </c>
      <c r="AW70" s="3">
        <v>472</v>
      </c>
      <c r="AX70" s="3" t="str">
        <f>IFERROR(MID(VLOOKUP($B70,Seqs!$A:$B,2,FALSE),AY70,1),"")</f>
        <v>H</v>
      </c>
      <c r="AY70" s="3">
        <v>484</v>
      </c>
      <c r="AZ70" s="83" t="str">
        <f>VLOOKUP(B70,Classification!A:D,2,FALSE)</f>
        <v>A</v>
      </c>
      <c r="BC70" s="57">
        <f t="shared" si="116"/>
        <v>230</v>
      </c>
      <c r="BD70" s="63" t="b">
        <f t="shared" si="117"/>
        <v>1</v>
      </c>
      <c r="BE70" s="68" t="s">
        <v>1514</v>
      </c>
      <c r="BF70" s="75" t="s">
        <v>1514</v>
      </c>
      <c r="BG70" s="75" t="s">
        <v>1514</v>
      </c>
      <c r="BH70" s="75" t="s">
        <v>1514</v>
      </c>
      <c r="BI70" s="75" t="s">
        <v>1514</v>
      </c>
      <c r="BJ70" s="75" t="s">
        <v>1514</v>
      </c>
      <c r="BK70" s="75" t="s">
        <v>1514</v>
      </c>
      <c r="BL70" s="75" t="s">
        <v>1514</v>
      </c>
      <c r="BM70" s="75" t="s">
        <v>1514</v>
      </c>
      <c r="BN70" s="75" t="s">
        <v>1514</v>
      </c>
      <c r="BO70" s="75" t="s">
        <v>1514</v>
      </c>
      <c r="BP70" s="75" t="s">
        <v>1514</v>
      </c>
      <c r="BQ70" s="68">
        <f t="shared" si="90"/>
        <v>33</v>
      </c>
      <c r="BR70" s="69">
        <f t="shared" si="91"/>
        <v>56</v>
      </c>
      <c r="BS70" s="70">
        <f t="shared" si="92"/>
        <v>60</v>
      </c>
      <c r="BT70" s="69">
        <f t="shared" si="93"/>
        <v>92</v>
      </c>
      <c r="BU70" s="70">
        <f t="shared" si="94"/>
        <v>96</v>
      </c>
      <c r="BV70" s="69" t="str">
        <f t="shared" si="95"/>
        <v>-</v>
      </c>
      <c r="BW70" s="70">
        <f t="shared" si="96"/>
        <v>141</v>
      </c>
      <c r="BX70" s="69">
        <f t="shared" si="97"/>
        <v>180</v>
      </c>
      <c r="BY70" s="70">
        <f t="shared" si="98"/>
        <v>187</v>
      </c>
      <c r="BZ70" s="69">
        <f t="shared" si="99"/>
        <v>408</v>
      </c>
      <c r="CA70" s="70">
        <f t="shared" si="100"/>
        <v>446</v>
      </c>
      <c r="CB70" s="69">
        <f t="shared" si="101"/>
        <v>472</v>
      </c>
      <c r="CC70" s="68">
        <f t="shared" si="102"/>
        <v>55</v>
      </c>
      <c r="CD70" s="69">
        <f t="shared" si="103"/>
        <v>59</v>
      </c>
      <c r="CE70" s="70">
        <f t="shared" si="104"/>
        <v>90</v>
      </c>
      <c r="CF70" s="70">
        <f t="shared" si="105"/>
        <v>95</v>
      </c>
      <c r="CG70" s="70">
        <f t="shared" si="106"/>
        <v>131</v>
      </c>
      <c r="CH70" s="70" t="str">
        <f t="shared" si="107"/>
        <v>-</v>
      </c>
      <c r="CI70" s="70">
        <f t="shared" si="108"/>
        <v>164</v>
      </c>
      <c r="CJ70" s="70">
        <f t="shared" si="109"/>
        <v>182</v>
      </c>
      <c r="CK70" s="70">
        <f t="shared" si="110"/>
        <v>217</v>
      </c>
      <c r="CL70" s="70">
        <f t="shared" si="111"/>
        <v>441</v>
      </c>
      <c r="CM70" s="70">
        <f t="shared" si="112"/>
        <v>471</v>
      </c>
      <c r="CN70" s="70">
        <f t="shared" si="113"/>
        <v>484</v>
      </c>
      <c r="CO70" s="57">
        <f t="shared" si="114"/>
        <v>1</v>
      </c>
    </row>
    <row r="71" spans="1:93" x14ac:dyDescent="0.2">
      <c r="A71" s="3" t="str">
        <f t="shared" si="115"/>
        <v>lpar1_human__wt</v>
      </c>
      <c r="B71" s="3" t="s">
        <v>297</v>
      </c>
      <c r="C71" s="3" t="s">
        <v>294</v>
      </c>
      <c r="D71" s="3" t="str">
        <f>IFERROR(MID(VLOOKUP($B71,Seqs!$A:$B,2,FALSE),E71,1),"")</f>
        <v>T</v>
      </c>
      <c r="E71" s="3">
        <v>47</v>
      </c>
      <c r="F71" s="3" t="str">
        <f>IFERROR(MID(VLOOKUP($B71,Seqs!$A:$B,2,FALSE),G71,1),"")</f>
        <v>N</v>
      </c>
      <c r="G71" s="3">
        <v>77</v>
      </c>
      <c r="H71" s="3" t="str">
        <f>IFERROR(MID(VLOOKUP($B71,Seqs!$A:$B,2,FALSE),I71,1),"")</f>
        <v>R</v>
      </c>
      <c r="I71" s="57">
        <v>78</v>
      </c>
      <c r="J71" s="3" t="str">
        <f>IFERROR(MID(VLOOKUP($B71,Seqs!$A:$B,2,FALSE),K71,1),"")</f>
        <v>H</v>
      </c>
      <c r="K71" s="57">
        <v>81</v>
      </c>
      <c r="L71" s="3" t="str">
        <f>IFERROR(MID(VLOOKUP($B71,Seqs!$A:$B,2,FALSE),M71,1),"")</f>
        <v>F</v>
      </c>
      <c r="M71" s="3">
        <v>82</v>
      </c>
      <c r="N71" s="3" t="str">
        <f>IFERROR(MID(VLOOKUP($B71,Seqs!$A:$B,2,FALSE),O71,1),"")</f>
        <v>N</v>
      </c>
      <c r="O71" s="3">
        <v>108</v>
      </c>
      <c r="P71" s="3" t="str">
        <f>IFERROR(MID(VLOOKUP($B71,Seqs!$A:$B,2,FALSE),Q71,1),"")</f>
        <v>G</v>
      </c>
      <c r="Q71" s="3">
        <v>110</v>
      </c>
      <c r="R71" s="3" t="str">
        <f>IFERROR(MID(VLOOKUP($B71,Seqs!$A:$B,2,FALSE),S71,1),"")</f>
        <v>L</v>
      </c>
      <c r="S71" s="3">
        <v>116</v>
      </c>
      <c r="T71" s="3" t="str">
        <f>IFERROR(MID(VLOOKUP($B71,Seqs!$A:$B,2,FALSE),U71,1),"")</f>
        <v>T</v>
      </c>
      <c r="U71" s="3">
        <v>117</v>
      </c>
      <c r="V71" s="3" t="str">
        <f>IFERROR(MID(VLOOKUP($B71,Seqs!$A:$B,2,FALSE),W71,1),"")</f>
        <v>R</v>
      </c>
      <c r="W71" s="3">
        <v>152</v>
      </c>
      <c r="X71" s="3" t="str">
        <f>IFERROR(MID(VLOOKUP($B71,Seqs!$A:$B,2,FALSE),Y71,1),"")</f>
        <v>M</v>
      </c>
      <c r="Y71" s="3">
        <v>153</v>
      </c>
      <c r="Z71" s="3" t="str">
        <f>IFERROR(MID(VLOOKUP($B71,Seqs!$A:$B,2,FALSE),AA71,1),"")</f>
        <v>S</v>
      </c>
      <c r="AA71" s="3">
        <v>160</v>
      </c>
      <c r="AB71" s="3" t="str">
        <f>IFERROR(MID(VLOOKUP($B71,Seqs!$A:$B,2,FALSE),AC71,1),"")</f>
        <v>N</v>
      </c>
      <c r="AC71" s="3">
        <v>161</v>
      </c>
      <c r="AD71" s="3" t="str">
        <f>IFERROR(MID(VLOOKUP($B71,Seqs!$A:$B,2,FALSE),AE71,1),"")</f>
        <v>G</v>
      </c>
      <c r="AE71" s="3">
        <v>185</v>
      </c>
      <c r="AF71" s="3" t="str">
        <f>IFERROR(MID(VLOOKUP($B71,Seqs!$A:$B,2,FALSE),AG71,1),"")</f>
        <v/>
      </c>
      <c r="AG71" s="3" t="s">
        <v>129</v>
      </c>
      <c r="AH71" s="3" t="str">
        <f>IFERROR(MID(VLOOKUP($B71,Seqs!$A:$B,2,FALSE),AI71,1),"")</f>
        <v/>
      </c>
      <c r="AI71" s="3" t="s">
        <v>129</v>
      </c>
      <c r="AJ71" s="3" t="str">
        <f>IFERROR(MID(VLOOKUP($B71,Seqs!$A:$B,2,FALSE),AK71,1),"")</f>
        <v>S</v>
      </c>
      <c r="AK71" s="3">
        <v>203</v>
      </c>
      <c r="AL71" s="3" t="str">
        <f>IFERROR(MID(VLOOKUP($B71,Seqs!$A:$B,2,FALSE),AM71,1),"")</f>
        <v>S</v>
      </c>
      <c r="AM71" s="3">
        <v>240</v>
      </c>
      <c r="AN71" s="3" t="str">
        <f>IFERROR(MID(VLOOKUP($B71,Seqs!$A:$B,2,FALSE),AO71,1),"")</f>
        <v>G</v>
      </c>
      <c r="AO71" s="3">
        <v>245</v>
      </c>
      <c r="AP71" s="3" t="str">
        <f>IFERROR(MID(VLOOKUP($B71,Seqs!$A:$B,2,FALSE),AQ71,1),"")</f>
        <v>C</v>
      </c>
      <c r="AQ71" s="3">
        <v>284</v>
      </c>
      <c r="AR71" s="3" t="str">
        <f>IFERROR(MID(VLOOKUP($B71,Seqs!$A:$B,2,FALSE),AS71,1),"")</f>
        <v>D</v>
      </c>
      <c r="AS71" s="3">
        <v>288</v>
      </c>
      <c r="AT71" s="3" t="str">
        <f>IFERROR(MID(VLOOKUP($B71,Seqs!$A:$B,2,FALSE),AU71,1),"")</f>
        <v>R</v>
      </c>
      <c r="AU71" s="3">
        <v>314</v>
      </c>
      <c r="AV71" s="3" t="str">
        <f>IFERROR(MID(VLOOKUP($B71,Seqs!$A:$B,2,FALSE),AW71,1),"")</f>
        <v>D</v>
      </c>
      <c r="AW71" s="3">
        <v>315</v>
      </c>
      <c r="AX71" s="3" t="str">
        <f>IFERROR(MID(VLOOKUP($B71,Seqs!$A:$B,2,FALSE),AY71,1),"")</f>
        <v>C</v>
      </c>
      <c r="AY71" s="3">
        <v>327</v>
      </c>
      <c r="AZ71" s="83" t="str">
        <f>VLOOKUP(B71,Classification!A:D,2,FALSE)</f>
        <v>A</v>
      </c>
      <c r="BB71" s="82">
        <f>S71-Q71+1</f>
        <v>7</v>
      </c>
      <c r="BC71" s="57">
        <f t="shared" si="116"/>
        <v>257</v>
      </c>
      <c r="BD71" s="63" t="b">
        <f t="shared" si="117"/>
        <v>1</v>
      </c>
      <c r="BE71" s="68" t="s">
        <v>1514</v>
      </c>
      <c r="BF71" s="75" t="s">
        <v>1514</v>
      </c>
      <c r="BG71" s="75" t="s">
        <v>1514</v>
      </c>
      <c r="BH71" s="75" t="s">
        <v>1514</v>
      </c>
      <c r="BI71" s="75" t="s">
        <v>1514</v>
      </c>
      <c r="BJ71" s="75" t="s">
        <v>1514</v>
      </c>
      <c r="BK71" s="75" t="s">
        <v>1514</v>
      </c>
      <c r="BL71" s="75" t="s">
        <v>1514</v>
      </c>
      <c r="BM71" s="75" t="s">
        <v>1514</v>
      </c>
      <c r="BN71" s="75" t="s">
        <v>1514</v>
      </c>
      <c r="BO71" s="75" t="s">
        <v>1514</v>
      </c>
      <c r="BP71" s="75" t="s">
        <v>1514</v>
      </c>
      <c r="BQ71" s="68">
        <f t="shared" si="90"/>
        <v>47</v>
      </c>
      <c r="BR71" s="69">
        <f t="shared" si="91"/>
        <v>78</v>
      </c>
      <c r="BS71" s="70">
        <f t="shared" si="92"/>
        <v>82</v>
      </c>
      <c r="BT71" s="69">
        <f t="shared" si="93"/>
        <v>110</v>
      </c>
      <c r="BU71" s="70">
        <f t="shared" si="94"/>
        <v>117</v>
      </c>
      <c r="BV71" s="69">
        <f t="shared" si="95"/>
        <v>153</v>
      </c>
      <c r="BW71" s="70">
        <f t="shared" si="96"/>
        <v>161</v>
      </c>
      <c r="BX71" s="69" t="str">
        <f t="shared" si="97"/>
        <v>-</v>
      </c>
      <c r="BY71" s="70">
        <f t="shared" si="98"/>
        <v>203</v>
      </c>
      <c r="BZ71" s="69">
        <f t="shared" si="99"/>
        <v>245</v>
      </c>
      <c r="CA71" s="70">
        <f t="shared" si="100"/>
        <v>288</v>
      </c>
      <c r="CB71" s="69">
        <f t="shared" si="101"/>
        <v>315</v>
      </c>
      <c r="CC71" s="68">
        <f t="shared" si="102"/>
        <v>77</v>
      </c>
      <c r="CD71" s="69">
        <f t="shared" si="103"/>
        <v>81</v>
      </c>
      <c r="CE71" s="70">
        <f t="shared" si="104"/>
        <v>108</v>
      </c>
      <c r="CF71" s="70">
        <f t="shared" si="105"/>
        <v>116</v>
      </c>
      <c r="CG71" s="70">
        <f t="shared" si="106"/>
        <v>152</v>
      </c>
      <c r="CH71" s="70">
        <f t="shared" si="107"/>
        <v>160</v>
      </c>
      <c r="CI71" s="70">
        <f t="shared" si="108"/>
        <v>185</v>
      </c>
      <c r="CJ71" s="70" t="str">
        <f t="shared" si="109"/>
        <v>-</v>
      </c>
      <c r="CK71" s="70">
        <f t="shared" si="110"/>
        <v>240</v>
      </c>
      <c r="CL71" s="70">
        <f t="shared" si="111"/>
        <v>284</v>
      </c>
      <c r="CM71" s="70">
        <f t="shared" si="112"/>
        <v>314</v>
      </c>
      <c r="CN71" s="70">
        <f t="shared" si="113"/>
        <v>327</v>
      </c>
      <c r="CO71" s="57">
        <f t="shared" si="114"/>
        <v>1</v>
      </c>
    </row>
    <row r="72" spans="1:93" x14ac:dyDescent="0.2">
      <c r="A72" s="3" t="str">
        <f t="shared" si="115"/>
        <v>lpar1_human_4Z34</v>
      </c>
      <c r="B72" s="3" t="s">
        <v>297</v>
      </c>
      <c r="C72" s="3" t="s">
        <v>1263</v>
      </c>
      <c r="D72" s="3" t="str">
        <f>IFERROR(MID(VLOOKUP($B72,Seqs!$A:$B,2,FALSE),E72,1),"")</f>
        <v>T</v>
      </c>
      <c r="E72" s="3">
        <v>47</v>
      </c>
      <c r="F72" s="3" t="str">
        <f>IFERROR(MID(VLOOKUP($B72,Seqs!$A:$B,2,FALSE),G72,1),"")</f>
        <v>N</v>
      </c>
      <c r="G72" s="3">
        <v>77</v>
      </c>
      <c r="H72" s="3" t="str">
        <f>IFERROR(MID(VLOOKUP($B72,Seqs!$A:$B,2,FALSE),I72,1),"")</f>
        <v>R</v>
      </c>
      <c r="I72" s="57">
        <v>78</v>
      </c>
      <c r="J72" s="3" t="str">
        <f>IFERROR(MID(VLOOKUP($B72,Seqs!$A:$B,2,FALSE),K72,1),"")</f>
        <v>H</v>
      </c>
      <c r="K72" s="57">
        <v>81</v>
      </c>
      <c r="L72" s="3" t="str">
        <f>IFERROR(MID(VLOOKUP($B72,Seqs!$A:$B,2,FALSE),M72,1),"")</f>
        <v>F</v>
      </c>
      <c r="M72" s="3">
        <v>82</v>
      </c>
      <c r="N72" s="3" t="str">
        <f>IFERROR(MID(VLOOKUP($B72,Seqs!$A:$B,2,FALSE),O72,1),"")</f>
        <v>N</v>
      </c>
      <c r="O72" s="3">
        <v>108</v>
      </c>
      <c r="P72" s="3" t="str">
        <f>IFERROR(MID(VLOOKUP($B72,Seqs!$A:$B,2,FALSE),Q72,1),"")</f>
        <v>G</v>
      </c>
      <c r="Q72" s="3">
        <v>110</v>
      </c>
      <c r="R72" s="3" t="str">
        <f>IFERROR(MID(VLOOKUP($B72,Seqs!$A:$B,2,FALSE),S72,1),"")</f>
        <v>L</v>
      </c>
      <c r="S72" s="3">
        <v>116</v>
      </c>
      <c r="T72" s="3" t="str">
        <f>IFERROR(MID(VLOOKUP($B72,Seqs!$A:$B,2,FALSE),U72,1),"")</f>
        <v>T</v>
      </c>
      <c r="U72" s="3">
        <v>117</v>
      </c>
      <c r="V72" s="3" t="str">
        <f>IFERROR(MID(VLOOKUP($B72,Seqs!$A:$B,2,FALSE),W72,1),"")</f>
        <v>R</v>
      </c>
      <c r="W72" s="3">
        <v>152</v>
      </c>
      <c r="X72" s="3" t="str">
        <f>IFERROR(MID(VLOOKUP($B72,Seqs!$A:$B,2,FALSE),Y72,1),"")</f>
        <v/>
      </c>
      <c r="Y72" s="3" t="s">
        <v>129</v>
      </c>
      <c r="Z72" s="3" t="str">
        <f>IFERROR(MID(VLOOKUP($B72,Seqs!$A:$B,2,FALSE),AA72,1),"")</f>
        <v/>
      </c>
      <c r="AA72" s="3" t="s">
        <v>129</v>
      </c>
      <c r="AB72" s="3" t="str">
        <f>IFERROR(MID(VLOOKUP($B72,Seqs!$A:$B,2,FALSE),AC72,1),"")</f>
        <v>R</v>
      </c>
      <c r="AC72" s="3">
        <v>158</v>
      </c>
      <c r="AD72" s="3" t="str">
        <f>IFERROR(MID(VLOOKUP($B72,Seqs!$A:$B,2,FALSE),AE72,1),"")</f>
        <v>G</v>
      </c>
      <c r="AE72" s="3">
        <v>185</v>
      </c>
      <c r="AF72" s="3" t="str">
        <f>IFERROR(MID(VLOOKUP($B72,Seqs!$A:$B,2,FALSE),AG72,1),"")</f>
        <v/>
      </c>
      <c r="AG72" s="3" t="s">
        <v>129</v>
      </c>
      <c r="AH72" s="3" t="str">
        <f>IFERROR(MID(VLOOKUP($B72,Seqs!$A:$B,2,FALSE),AI72,1),"")</f>
        <v/>
      </c>
      <c r="AI72" s="3" t="s">
        <v>129</v>
      </c>
      <c r="AJ72" s="3" t="str">
        <f>IFERROR(MID(VLOOKUP($B72,Seqs!$A:$B,2,FALSE),AK72,1),"")</f>
        <v>S</v>
      </c>
      <c r="AK72" s="3">
        <v>203</v>
      </c>
      <c r="AL72" s="3" t="str">
        <f>IFERROR(MID(VLOOKUP($B72,Seqs!$A:$B,2,FALSE),AM72,1),"")</f>
        <v>R</v>
      </c>
      <c r="AM72" s="3">
        <v>235</v>
      </c>
      <c r="AN72" s="3" t="str">
        <f>IFERROR(MID(VLOOKUP($B72,Seqs!$A:$B,2,FALSE),AO72,1),"")</f>
        <v>G</v>
      </c>
      <c r="AO72" s="3">
        <v>245</v>
      </c>
      <c r="AP72" s="3" t="str">
        <f>IFERROR(MID(VLOOKUP($B72,Seqs!$A:$B,2,FALSE),AQ72,1),"")</f>
        <v>C</v>
      </c>
      <c r="AQ72" s="3">
        <v>284</v>
      </c>
      <c r="AR72" s="3" t="str">
        <f>IFERROR(MID(VLOOKUP($B72,Seqs!$A:$B,2,FALSE),AS72,1),"")</f>
        <v>E</v>
      </c>
      <c r="AS72" s="3">
        <v>293</v>
      </c>
      <c r="AT72" s="3" t="str">
        <f>IFERROR(MID(VLOOKUP($B72,Seqs!$A:$B,2,FALSE),AU72,1),"")</f>
        <v>R</v>
      </c>
      <c r="AU72" s="3">
        <v>314</v>
      </c>
      <c r="AV72" s="3" t="str">
        <f>IFERROR(MID(VLOOKUP($B72,Seqs!$A:$B,2,FALSE),AW72,1),"")</f>
        <v>D</v>
      </c>
      <c r="AW72" s="3">
        <v>315</v>
      </c>
      <c r="AX72" s="3" t="str">
        <f>IFERROR(MID(VLOOKUP($B72,Seqs!$A:$B,2,FALSE),AY72,1),"")</f>
        <v>C</v>
      </c>
      <c r="AY72" s="3">
        <v>327</v>
      </c>
      <c r="AZ72" s="83" t="str">
        <f>VLOOKUP(B72,Classification!A:D,2,FALSE)</f>
        <v>A</v>
      </c>
      <c r="BB72" s="35" t="s">
        <v>1315</v>
      </c>
      <c r="BC72" s="57">
        <f t="shared" si="116"/>
        <v>243</v>
      </c>
      <c r="BD72" s="63" t="b">
        <f t="shared" si="117"/>
        <v>1</v>
      </c>
      <c r="BE72" s="68" t="s">
        <v>1514</v>
      </c>
      <c r="BF72" s="75" t="s">
        <v>1514</v>
      </c>
      <c r="BG72" s="75" t="s">
        <v>1514</v>
      </c>
      <c r="BH72" s="75" t="s">
        <v>1514</v>
      </c>
      <c r="BI72" s="75" t="s">
        <v>1514</v>
      </c>
      <c r="BJ72" s="75" t="s">
        <v>1514</v>
      </c>
      <c r="BK72" s="75" t="s">
        <v>1514</v>
      </c>
      <c r="BL72" s="75" t="s">
        <v>1514</v>
      </c>
      <c r="BM72" s="75" t="s">
        <v>1514</v>
      </c>
      <c r="BN72" s="75" t="s">
        <v>1514</v>
      </c>
      <c r="BO72" s="75" t="s">
        <v>1514</v>
      </c>
      <c r="BP72" s="75" t="s">
        <v>1514</v>
      </c>
      <c r="BQ72" s="68">
        <f t="shared" si="90"/>
        <v>47</v>
      </c>
      <c r="BR72" s="69">
        <f t="shared" si="91"/>
        <v>78</v>
      </c>
      <c r="BS72" s="70">
        <f t="shared" si="92"/>
        <v>82</v>
      </c>
      <c r="BT72" s="69">
        <f t="shared" si="93"/>
        <v>110</v>
      </c>
      <c r="BU72" s="70">
        <f t="shared" si="94"/>
        <v>117</v>
      </c>
      <c r="BV72" s="69" t="str">
        <f t="shared" si="95"/>
        <v>-</v>
      </c>
      <c r="BW72" s="70">
        <f t="shared" si="96"/>
        <v>158</v>
      </c>
      <c r="BX72" s="69" t="str">
        <f t="shared" si="97"/>
        <v>-</v>
      </c>
      <c r="BY72" s="70">
        <f t="shared" si="98"/>
        <v>203</v>
      </c>
      <c r="BZ72" s="69">
        <f t="shared" si="99"/>
        <v>245</v>
      </c>
      <c r="CA72" s="70">
        <f t="shared" si="100"/>
        <v>293</v>
      </c>
      <c r="CB72" s="69">
        <f t="shared" si="101"/>
        <v>315</v>
      </c>
      <c r="CC72" s="68">
        <f t="shared" si="102"/>
        <v>77</v>
      </c>
      <c r="CD72" s="69">
        <f t="shared" si="103"/>
        <v>81</v>
      </c>
      <c r="CE72" s="70">
        <f t="shared" si="104"/>
        <v>108</v>
      </c>
      <c r="CF72" s="70">
        <f t="shared" si="105"/>
        <v>116</v>
      </c>
      <c r="CG72" s="70">
        <f t="shared" si="106"/>
        <v>152</v>
      </c>
      <c r="CH72" s="70" t="str">
        <f t="shared" si="107"/>
        <v>-</v>
      </c>
      <c r="CI72" s="70">
        <f t="shared" si="108"/>
        <v>185</v>
      </c>
      <c r="CJ72" s="70" t="str">
        <f t="shared" si="109"/>
        <v>-</v>
      </c>
      <c r="CK72" s="70">
        <f t="shared" si="110"/>
        <v>235</v>
      </c>
      <c r="CL72" s="70">
        <f t="shared" si="111"/>
        <v>284</v>
      </c>
      <c r="CM72" s="70">
        <f t="shared" si="112"/>
        <v>314</v>
      </c>
      <c r="CN72" s="70">
        <f t="shared" si="113"/>
        <v>327</v>
      </c>
      <c r="CO72" s="57">
        <f t="shared" si="114"/>
        <v>1</v>
      </c>
    </row>
    <row r="73" spans="1:93" x14ac:dyDescent="0.2">
      <c r="A73" s="3" t="str">
        <f t="shared" si="115"/>
        <v>lpar1_human_4Z35</v>
      </c>
      <c r="B73" s="3" t="s">
        <v>297</v>
      </c>
      <c r="C73" s="3" t="s">
        <v>281</v>
      </c>
      <c r="D73" s="3" t="str">
        <f>IFERROR(MID(VLOOKUP($B73,Seqs!$A:$B,2,FALSE),E73,1),"")</f>
        <v>T</v>
      </c>
      <c r="E73" s="3">
        <v>47</v>
      </c>
      <c r="F73" s="3" t="str">
        <f>IFERROR(MID(VLOOKUP($B73,Seqs!$A:$B,2,FALSE),G73,1),"")</f>
        <v>N</v>
      </c>
      <c r="G73" s="3">
        <v>77</v>
      </c>
      <c r="H73" s="3" t="str">
        <f>IFERROR(MID(VLOOKUP($B73,Seqs!$A:$B,2,FALSE),I73,1),"")</f>
        <v>R</v>
      </c>
      <c r="I73" s="57">
        <v>78</v>
      </c>
      <c r="J73" s="3" t="str">
        <f>IFERROR(MID(VLOOKUP($B73,Seqs!$A:$B,2,FALSE),K73,1),"")</f>
        <v>H</v>
      </c>
      <c r="K73" s="57">
        <v>81</v>
      </c>
      <c r="L73" s="3" t="str">
        <f>IFERROR(MID(VLOOKUP($B73,Seqs!$A:$B,2,FALSE),M73,1),"")</f>
        <v>F</v>
      </c>
      <c r="M73" s="3">
        <v>82</v>
      </c>
      <c r="N73" s="3" t="str">
        <f>IFERROR(MID(VLOOKUP($B73,Seqs!$A:$B,2,FALSE),O73,1),"")</f>
        <v>N</v>
      </c>
      <c r="O73" s="3">
        <v>108</v>
      </c>
      <c r="P73" s="3" t="str">
        <f>IFERROR(MID(VLOOKUP($B73,Seqs!$A:$B,2,FALSE),Q73,1),"")</f>
        <v>G</v>
      </c>
      <c r="Q73" s="3">
        <v>110</v>
      </c>
      <c r="R73" s="3" t="str">
        <f>IFERROR(MID(VLOOKUP($B73,Seqs!$A:$B,2,FALSE),S73,1),"")</f>
        <v>L</v>
      </c>
      <c r="S73" s="3">
        <v>116</v>
      </c>
      <c r="T73" s="3" t="str">
        <f>IFERROR(MID(VLOOKUP($B73,Seqs!$A:$B,2,FALSE),U73,1),"")</f>
        <v>T</v>
      </c>
      <c r="U73" s="3">
        <v>117</v>
      </c>
      <c r="V73" s="3" t="str">
        <f>IFERROR(MID(VLOOKUP($B73,Seqs!$A:$B,2,FALSE),W73,1),"")</f>
        <v>R</v>
      </c>
      <c r="W73" s="3">
        <v>152</v>
      </c>
      <c r="X73" s="3" t="str">
        <f>IFERROR(MID(VLOOKUP($B73,Seqs!$A:$B,2,FALSE),Y73,1),"")</f>
        <v/>
      </c>
      <c r="Y73" s="3" t="s">
        <v>129</v>
      </c>
      <c r="Z73" s="3" t="str">
        <f>IFERROR(MID(VLOOKUP($B73,Seqs!$A:$B,2,FALSE),AA73,1),"")</f>
        <v/>
      </c>
      <c r="AA73" s="3" t="s">
        <v>129</v>
      </c>
      <c r="AB73" s="3" t="str">
        <f>IFERROR(MID(VLOOKUP($B73,Seqs!$A:$B,2,FALSE),AC73,1),"")</f>
        <v>R</v>
      </c>
      <c r="AC73" s="3">
        <v>158</v>
      </c>
      <c r="AD73" s="3" t="str">
        <f>IFERROR(MID(VLOOKUP($B73,Seqs!$A:$B,2,FALSE),AE73,1),"")</f>
        <v>G</v>
      </c>
      <c r="AE73" s="3">
        <v>185</v>
      </c>
      <c r="AF73" s="3" t="str">
        <f>IFERROR(MID(VLOOKUP($B73,Seqs!$A:$B,2,FALSE),AG73,1),"")</f>
        <v/>
      </c>
      <c r="AG73" s="3" t="s">
        <v>129</v>
      </c>
      <c r="AH73" s="3" t="str">
        <f>IFERROR(MID(VLOOKUP($B73,Seqs!$A:$B,2,FALSE),AI73,1),"")</f>
        <v/>
      </c>
      <c r="AI73" s="3" t="s">
        <v>129</v>
      </c>
      <c r="AJ73" s="3" t="str">
        <f>IFERROR(MID(VLOOKUP($B73,Seqs!$A:$B,2,FALSE),AK73,1),"")</f>
        <v>S</v>
      </c>
      <c r="AK73" s="3">
        <v>203</v>
      </c>
      <c r="AL73" s="3" t="str">
        <f>IFERROR(MID(VLOOKUP($B73,Seqs!$A:$B,2,FALSE),AM73,1),"")</f>
        <v>R</v>
      </c>
      <c r="AM73" s="3">
        <v>235</v>
      </c>
      <c r="AN73" s="3" t="str">
        <f>IFERROR(MID(VLOOKUP($B73,Seqs!$A:$B,2,FALSE),AO73,1),"")</f>
        <v>G</v>
      </c>
      <c r="AO73" s="3">
        <v>245</v>
      </c>
      <c r="AP73" s="3" t="str">
        <f>IFERROR(MID(VLOOKUP($B73,Seqs!$A:$B,2,FALSE),AQ73,1),"")</f>
        <v>C</v>
      </c>
      <c r="AQ73" s="3">
        <v>284</v>
      </c>
      <c r="AR73" s="3" t="str">
        <f>IFERROR(MID(VLOOKUP($B73,Seqs!$A:$B,2,FALSE),AS73,1),"")</f>
        <v>E</v>
      </c>
      <c r="AS73" s="3">
        <v>293</v>
      </c>
      <c r="AT73" s="3" t="str">
        <f>IFERROR(MID(VLOOKUP($B73,Seqs!$A:$B,2,FALSE),AU73,1),"")</f>
        <v>R</v>
      </c>
      <c r="AU73" s="3">
        <v>314</v>
      </c>
      <c r="AV73" s="3" t="str">
        <f>IFERROR(MID(VLOOKUP($B73,Seqs!$A:$B,2,FALSE),AW73,1),"")</f>
        <v>D</v>
      </c>
      <c r="AW73" s="3">
        <v>315</v>
      </c>
      <c r="AX73" s="3" t="str">
        <f>IFERROR(MID(VLOOKUP($B73,Seqs!$A:$B,2,FALSE),AY73,1),"")</f>
        <v>C</v>
      </c>
      <c r="AY73" s="3">
        <v>327</v>
      </c>
      <c r="AZ73" s="83" t="str">
        <f>VLOOKUP(B73,Classification!A:D,2,FALSE)</f>
        <v>A</v>
      </c>
      <c r="BC73" s="57">
        <f t="shared" si="116"/>
        <v>243</v>
      </c>
      <c r="BD73" s="63" t="b">
        <f t="shared" si="117"/>
        <v>1</v>
      </c>
      <c r="BE73" s="68" t="s">
        <v>1514</v>
      </c>
      <c r="BF73" s="75" t="s">
        <v>1514</v>
      </c>
      <c r="BG73" s="75" t="s">
        <v>1514</v>
      </c>
      <c r="BH73" s="75" t="s">
        <v>1514</v>
      </c>
      <c r="BI73" s="75" t="s">
        <v>1514</v>
      </c>
      <c r="BJ73" s="75" t="s">
        <v>1514</v>
      </c>
      <c r="BK73" s="75" t="s">
        <v>1514</v>
      </c>
      <c r="BL73" s="75" t="s">
        <v>1514</v>
      </c>
      <c r="BM73" s="75" t="s">
        <v>1514</v>
      </c>
      <c r="BN73" s="75" t="s">
        <v>1514</v>
      </c>
      <c r="BO73" s="75" t="s">
        <v>1514</v>
      </c>
      <c r="BP73" s="75" t="s">
        <v>1514</v>
      </c>
      <c r="BQ73" s="68">
        <f t="shared" si="90"/>
        <v>47</v>
      </c>
      <c r="BR73" s="69">
        <f t="shared" si="91"/>
        <v>78</v>
      </c>
      <c r="BS73" s="70">
        <f t="shared" si="92"/>
        <v>82</v>
      </c>
      <c r="BT73" s="69">
        <f t="shared" si="93"/>
        <v>110</v>
      </c>
      <c r="BU73" s="70">
        <f t="shared" si="94"/>
        <v>117</v>
      </c>
      <c r="BV73" s="69" t="str">
        <f t="shared" si="95"/>
        <v>-</v>
      </c>
      <c r="BW73" s="70">
        <f t="shared" si="96"/>
        <v>158</v>
      </c>
      <c r="BX73" s="69" t="str">
        <f t="shared" si="97"/>
        <v>-</v>
      </c>
      <c r="BY73" s="70">
        <f t="shared" si="98"/>
        <v>203</v>
      </c>
      <c r="BZ73" s="69">
        <f t="shared" si="99"/>
        <v>245</v>
      </c>
      <c r="CA73" s="70">
        <f t="shared" si="100"/>
        <v>293</v>
      </c>
      <c r="CB73" s="69">
        <f t="shared" si="101"/>
        <v>315</v>
      </c>
      <c r="CC73" s="68">
        <f t="shared" si="102"/>
        <v>77</v>
      </c>
      <c r="CD73" s="69">
        <f t="shared" si="103"/>
        <v>81</v>
      </c>
      <c r="CE73" s="70">
        <f t="shared" si="104"/>
        <v>108</v>
      </c>
      <c r="CF73" s="70">
        <f t="shared" si="105"/>
        <v>116</v>
      </c>
      <c r="CG73" s="70">
        <f t="shared" si="106"/>
        <v>152</v>
      </c>
      <c r="CH73" s="70" t="str">
        <f t="shared" si="107"/>
        <v>-</v>
      </c>
      <c r="CI73" s="70">
        <f t="shared" si="108"/>
        <v>185</v>
      </c>
      <c r="CJ73" s="70" t="str">
        <f t="shared" si="109"/>
        <v>-</v>
      </c>
      <c r="CK73" s="70">
        <f t="shared" si="110"/>
        <v>235</v>
      </c>
      <c r="CL73" s="70">
        <f t="shared" si="111"/>
        <v>284</v>
      </c>
      <c r="CM73" s="70">
        <f t="shared" si="112"/>
        <v>314</v>
      </c>
      <c r="CN73" s="70">
        <f t="shared" si="113"/>
        <v>327</v>
      </c>
      <c r="CO73" s="57">
        <f t="shared" si="114"/>
        <v>1</v>
      </c>
    </row>
    <row r="74" spans="1:93" x14ac:dyDescent="0.2">
      <c r="A74" s="3" t="str">
        <f t="shared" si="115"/>
        <v>lpar1_human_4Z36</v>
      </c>
      <c r="B74" s="3" t="s">
        <v>297</v>
      </c>
      <c r="C74" s="3" t="s">
        <v>1264</v>
      </c>
      <c r="D74" s="3" t="str">
        <f>IFERROR(MID(VLOOKUP($B74,Seqs!$A:$B,2,FALSE),E74,1),"")</f>
        <v>T</v>
      </c>
      <c r="E74" s="3">
        <v>47</v>
      </c>
      <c r="F74" s="3" t="str">
        <f>IFERROR(MID(VLOOKUP($B74,Seqs!$A:$B,2,FALSE),G74,1),"")</f>
        <v>N</v>
      </c>
      <c r="G74" s="3">
        <v>77</v>
      </c>
      <c r="H74" s="3" t="str">
        <f>IFERROR(MID(VLOOKUP($B74,Seqs!$A:$B,2,FALSE),I74,1),"")</f>
        <v>R</v>
      </c>
      <c r="I74" s="57">
        <v>78</v>
      </c>
      <c r="J74" s="3" t="str">
        <f>IFERROR(MID(VLOOKUP($B74,Seqs!$A:$B,2,FALSE),K74,1),"")</f>
        <v>H</v>
      </c>
      <c r="K74" s="57">
        <v>81</v>
      </c>
      <c r="L74" s="3" t="str">
        <f>IFERROR(MID(VLOOKUP($B74,Seqs!$A:$B,2,FALSE),M74,1),"")</f>
        <v>F</v>
      </c>
      <c r="M74" s="3">
        <v>82</v>
      </c>
      <c r="N74" s="3" t="str">
        <f>IFERROR(MID(VLOOKUP($B74,Seqs!$A:$B,2,FALSE),O74,1),"")</f>
        <v>N</v>
      </c>
      <c r="O74" s="3">
        <v>108</v>
      </c>
      <c r="P74" s="3" t="str">
        <f>IFERROR(MID(VLOOKUP($B74,Seqs!$A:$B,2,FALSE),Q74,1),"")</f>
        <v>G</v>
      </c>
      <c r="Q74" s="3">
        <v>110</v>
      </c>
      <c r="R74" s="3" t="str">
        <f>IFERROR(MID(VLOOKUP($B74,Seqs!$A:$B,2,FALSE),S74,1),"")</f>
        <v>L</v>
      </c>
      <c r="S74" s="3">
        <v>116</v>
      </c>
      <c r="T74" s="3" t="str">
        <f>IFERROR(MID(VLOOKUP($B74,Seqs!$A:$B,2,FALSE),U74,1),"")</f>
        <v>T</v>
      </c>
      <c r="U74" s="3">
        <v>117</v>
      </c>
      <c r="V74" s="3" t="str">
        <f>IFERROR(MID(VLOOKUP($B74,Seqs!$A:$B,2,FALSE),W74,1),"")</f>
        <v>R</v>
      </c>
      <c r="W74" s="3">
        <v>152</v>
      </c>
      <c r="X74" s="3" t="str">
        <f>IFERROR(MID(VLOOKUP($B74,Seqs!$A:$B,2,FALSE),Y74,1),"")</f>
        <v/>
      </c>
      <c r="Y74" s="3" t="s">
        <v>129</v>
      </c>
      <c r="Z74" s="3" t="str">
        <f>IFERROR(MID(VLOOKUP($B74,Seqs!$A:$B,2,FALSE),AA74,1),"")</f>
        <v/>
      </c>
      <c r="AA74" s="3" t="s">
        <v>129</v>
      </c>
      <c r="AB74" s="3" t="str">
        <f>IFERROR(MID(VLOOKUP($B74,Seqs!$A:$B,2,FALSE),AC74,1),"")</f>
        <v>R</v>
      </c>
      <c r="AC74" s="3">
        <v>158</v>
      </c>
      <c r="AD74" s="3" t="str">
        <f>IFERROR(MID(VLOOKUP($B74,Seqs!$A:$B,2,FALSE),AE74,1),"")</f>
        <v>G</v>
      </c>
      <c r="AE74" s="3">
        <v>185</v>
      </c>
      <c r="AF74" s="3" t="str">
        <f>IFERROR(MID(VLOOKUP($B74,Seqs!$A:$B,2,FALSE),AG74,1),"")</f>
        <v/>
      </c>
      <c r="AG74" s="3" t="s">
        <v>129</v>
      </c>
      <c r="AH74" s="3" t="str">
        <f>IFERROR(MID(VLOOKUP($B74,Seqs!$A:$B,2,FALSE),AI74,1),"")</f>
        <v/>
      </c>
      <c r="AI74" s="3" t="s">
        <v>129</v>
      </c>
      <c r="AJ74" s="3" t="str">
        <f>IFERROR(MID(VLOOKUP($B74,Seqs!$A:$B,2,FALSE),AK74,1),"")</f>
        <v>S</v>
      </c>
      <c r="AK74" s="3">
        <v>203</v>
      </c>
      <c r="AL74" s="3" t="str">
        <f>IFERROR(MID(VLOOKUP($B74,Seqs!$A:$B,2,FALSE),AM74,1),"")</f>
        <v>R</v>
      </c>
      <c r="AM74" s="3">
        <v>235</v>
      </c>
      <c r="AN74" s="3" t="str">
        <f>IFERROR(MID(VLOOKUP($B74,Seqs!$A:$B,2,FALSE),AO74,1),"")</f>
        <v>G</v>
      </c>
      <c r="AO74" s="3">
        <v>245</v>
      </c>
      <c r="AP74" s="3" t="str">
        <f>IFERROR(MID(VLOOKUP($B74,Seqs!$A:$B,2,FALSE),AQ74,1),"")</f>
        <v>C</v>
      </c>
      <c r="AQ74" s="3">
        <v>284</v>
      </c>
      <c r="AR74" s="3" t="str">
        <f>IFERROR(MID(VLOOKUP($B74,Seqs!$A:$B,2,FALSE),AS74,1),"")</f>
        <v>E</v>
      </c>
      <c r="AS74" s="3">
        <v>293</v>
      </c>
      <c r="AT74" s="3" t="str">
        <f>IFERROR(MID(VLOOKUP($B74,Seqs!$A:$B,2,FALSE),AU74,1),"")</f>
        <v>R</v>
      </c>
      <c r="AU74" s="3">
        <v>314</v>
      </c>
      <c r="AV74" s="3" t="str">
        <f>IFERROR(MID(VLOOKUP($B74,Seqs!$A:$B,2,FALSE),AW74,1),"")</f>
        <v>D</v>
      </c>
      <c r="AW74" s="3">
        <v>315</v>
      </c>
      <c r="AX74" s="3" t="str">
        <f>IFERROR(MID(VLOOKUP($B74,Seqs!$A:$B,2,FALSE),AY74,1),"")</f>
        <v>C</v>
      </c>
      <c r="AY74" s="3">
        <v>327</v>
      </c>
      <c r="AZ74" s="83" t="str">
        <f>VLOOKUP(B74,Classification!A:D,2,FALSE)</f>
        <v>A</v>
      </c>
      <c r="BC74" s="57">
        <f t="shared" si="116"/>
        <v>243</v>
      </c>
      <c r="BD74" s="63" t="b">
        <f t="shared" si="117"/>
        <v>1</v>
      </c>
      <c r="BE74" s="68" t="s">
        <v>1514</v>
      </c>
      <c r="BF74" s="75" t="s">
        <v>1514</v>
      </c>
      <c r="BG74" s="75" t="s">
        <v>1514</v>
      </c>
      <c r="BH74" s="75" t="s">
        <v>1514</v>
      </c>
      <c r="BI74" s="75" t="s">
        <v>1514</v>
      </c>
      <c r="BJ74" s="75" t="s">
        <v>1514</v>
      </c>
      <c r="BK74" s="75" t="s">
        <v>1514</v>
      </c>
      <c r="BL74" s="75" t="s">
        <v>1514</v>
      </c>
      <c r="BM74" s="75" t="s">
        <v>1514</v>
      </c>
      <c r="BN74" s="75" t="s">
        <v>1514</v>
      </c>
      <c r="BO74" s="75" t="s">
        <v>1514</v>
      </c>
      <c r="BP74" s="75" t="s">
        <v>1514</v>
      </c>
      <c r="BQ74" s="68">
        <f t="shared" si="90"/>
        <v>47</v>
      </c>
      <c r="BR74" s="69">
        <f t="shared" si="91"/>
        <v>78</v>
      </c>
      <c r="BS74" s="70">
        <f t="shared" si="92"/>
        <v>82</v>
      </c>
      <c r="BT74" s="69">
        <f t="shared" si="93"/>
        <v>110</v>
      </c>
      <c r="BU74" s="70">
        <f t="shared" si="94"/>
        <v>117</v>
      </c>
      <c r="BV74" s="69" t="str">
        <f t="shared" si="95"/>
        <v>-</v>
      </c>
      <c r="BW74" s="70">
        <f t="shared" si="96"/>
        <v>158</v>
      </c>
      <c r="BX74" s="69" t="str">
        <f t="shared" si="97"/>
        <v>-</v>
      </c>
      <c r="BY74" s="70">
        <f t="shared" si="98"/>
        <v>203</v>
      </c>
      <c r="BZ74" s="69">
        <f t="shared" si="99"/>
        <v>245</v>
      </c>
      <c r="CA74" s="70">
        <f t="shared" si="100"/>
        <v>293</v>
      </c>
      <c r="CB74" s="69">
        <f t="shared" si="101"/>
        <v>315</v>
      </c>
      <c r="CC74" s="68">
        <f t="shared" si="102"/>
        <v>77</v>
      </c>
      <c r="CD74" s="69">
        <f t="shared" si="103"/>
        <v>81</v>
      </c>
      <c r="CE74" s="70">
        <f t="shared" si="104"/>
        <v>108</v>
      </c>
      <c r="CF74" s="70">
        <f t="shared" si="105"/>
        <v>116</v>
      </c>
      <c r="CG74" s="70">
        <f t="shared" si="106"/>
        <v>152</v>
      </c>
      <c r="CH74" s="70" t="str">
        <f t="shared" si="107"/>
        <v>-</v>
      </c>
      <c r="CI74" s="70">
        <f t="shared" si="108"/>
        <v>185</v>
      </c>
      <c r="CJ74" s="70" t="str">
        <f t="shared" si="109"/>
        <v>-</v>
      </c>
      <c r="CK74" s="70">
        <f t="shared" si="110"/>
        <v>235</v>
      </c>
      <c r="CL74" s="70">
        <f t="shared" si="111"/>
        <v>284</v>
      </c>
      <c r="CM74" s="70">
        <f t="shared" si="112"/>
        <v>314</v>
      </c>
      <c r="CN74" s="70">
        <f t="shared" si="113"/>
        <v>327</v>
      </c>
      <c r="CO74" s="57">
        <f t="shared" si="114"/>
        <v>1</v>
      </c>
    </row>
    <row r="75" spans="1:93" x14ac:dyDescent="0.2">
      <c r="A75" s="3" t="str">
        <f t="shared" si="115"/>
        <v>ntr1_rat__wt</v>
      </c>
      <c r="B75" s="3" t="s">
        <v>1110</v>
      </c>
      <c r="C75" s="3" t="s">
        <v>294</v>
      </c>
      <c r="D75" s="3" t="str">
        <f>IFERROR(MID(VLOOKUP($B75,Seqs!$A:$B,2,FALSE),E75,1),"")</f>
        <v>I</v>
      </c>
      <c r="E75" s="3">
        <v>61</v>
      </c>
      <c r="F75" s="3" t="str">
        <f>IFERROR(MID(VLOOKUP($B75,Seqs!$A:$B,2,FALSE),G75,1),"")</f>
        <v>K</v>
      </c>
      <c r="G75" s="3">
        <v>92</v>
      </c>
      <c r="H75" s="3" t="str">
        <f>IFERROR(MID(VLOOKUP($B75,Seqs!$A:$B,2,FALSE),I75,1),"")</f>
        <v>K</v>
      </c>
      <c r="I75" s="57">
        <v>93</v>
      </c>
      <c r="J75" s="3" t="str">
        <f>IFERROR(MID(VLOOKUP($B75,Seqs!$A:$B,2,FALSE),K75,1),"")</f>
        <v>Q</v>
      </c>
      <c r="K75" s="57">
        <v>96</v>
      </c>
      <c r="L75" s="3" t="str">
        <f>IFERROR(MID(VLOOKUP($B75,Seqs!$A:$B,2,FALSE),M75,1),"")</f>
        <v>S</v>
      </c>
      <c r="M75" s="3">
        <v>97</v>
      </c>
      <c r="N75" s="3" t="str">
        <f>IFERROR(MID(VLOOKUP($B75,Seqs!$A:$B,2,FALSE),O75,1),"")</f>
        <v>V</v>
      </c>
      <c r="O75" s="3">
        <v>131</v>
      </c>
      <c r="P75" s="3" t="str">
        <f>IFERROR(MID(VLOOKUP($B75,Seqs!$A:$B,2,FALSE),Q75,1),"")</f>
        <v>P</v>
      </c>
      <c r="Q75" s="3">
        <v>134</v>
      </c>
      <c r="R75" s="3" t="str">
        <f>IFERROR(MID(VLOOKUP($B75,Seqs!$A:$B,2,FALSE),S75,1),"")</f>
        <v>F</v>
      </c>
      <c r="S75" s="3">
        <v>137</v>
      </c>
      <c r="T75" s="3" t="str">
        <f>IFERROR(MID(VLOOKUP($B75,Seqs!$A:$B,2,FALSE),U75,1),"")</f>
        <v>G</v>
      </c>
      <c r="U75" s="3">
        <v>138</v>
      </c>
      <c r="V75" s="3" t="str">
        <f>IFERROR(MID(VLOOKUP($B75,Seqs!$A:$B,2,FALSE),W75,1),"")</f>
        <v>H</v>
      </c>
      <c r="W75" s="3">
        <v>173</v>
      </c>
      <c r="X75" s="3" t="str">
        <f>IFERROR(MID(VLOOKUP($B75,Seqs!$A:$B,2,FALSE),Y75,1),"")</f>
        <v>P</v>
      </c>
      <c r="Y75" s="3">
        <v>174</v>
      </c>
      <c r="Z75" s="3" t="str">
        <f>IFERROR(MID(VLOOKUP($B75,Seqs!$A:$B,2,FALSE),AA75,1),"")</f>
        <v>M</v>
      </c>
      <c r="AA75" s="3">
        <v>181</v>
      </c>
      <c r="AB75" s="3" t="str">
        <f>IFERROR(MID(VLOOKUP($B75,Seqs!$A:$B,2,FALSE),AC75,1),"")</f>
        <v>R</v>
      </c>
      <c r="AC75" s="3">
        <v>183</v>
      </c>
      <c r="AD75" s="3" t="str">
        <f>IFERROR(MID(VLOOKUP($B75,Seqs!$A:$B,2,FALSE),AE75,1),"")</f>
        <v>M</v>
      </c>
      <c r="AE75" s="3">
        <v>208</v>
      </c>
      <c r="AF75" s="3" t="str">
        <f>IFERROR(MID(VLOOKUP($B75,Seqs!$A:$B,2,FALSE),AG75,1),"")</f>
        <v>C</v>
      </c>
      <c r="AG75" s="3">
        <v>225</v>
      </c>
      <c r="AH75" s="3" t="str">
        <f>IFERROR(MID(VLOOKUP($B75,Seqs!$A:$B,2,FALSE),AI75,1),"")</f>
        <v>P</v>
      </c>
      <c r="AI75" s="3">
        <v>227</v>
      </c>
      <c r="AJ75" s="3" t="str">
        <f>IFERROR(MID(VLOOKUP($B75,Seqs!$A:$B,2,FALSE),AK75,1),"")</f>
        <v>T</v>
      </c>
      <c r="AK75" s="3">
        <v>231</v>
      </c>
      <c r="AL75" s="3" t="str">
        <f>IFERROR(MID(VLOOKUP($B75,Seqs!$A:$B,2,FALSE),AM75,1),"")</f>
        <v>G</v>
      </c>
      <c r="AM75" s="3">
        <v>275</v>
      </c>
      <c r="AN75" s="3" t="str">
        <f>IFERROR(MID(VLOOKUP($B75,Seqs!$A:$B,2,FALSE),AO75,1),"")</f>
        <v>P</v>
      </c>
      <c r="AO75" s="3">
        <v>297</v>
      </c>
      <c r="AP75" s="3" t="str">
        <f>IFERROR(MID(VLOOKUP($B75,Seqs!$A:$B,2,FALSE),AQ75,1),"")</f>
        <v>I</v>
      </c>
      <c r="AQ75" s="3">
        <v>334</v>
      </c>
      <c r="AR75" s="3" t="str">
        <f>IFERROR(MID(VLOOKUP($B75,Seqs!$A:$B,2,FALSE),AS75,1),"")</f>
        <v>T</v>
      </c>
      <c r="AS75" s="3">
        <v>340</v>
      </c>
      <c r="AT75" s="3" t="str">
        <f>IFERROR(MID(VLOOKUP($B75,Seqs!$A:$B,2,FALSE),AU75,1),"")</f>
        <v>V</v>
      </c>
      <c r="AU75" s="3">
        <v>372</v>
      </c>
      <c r="AV75" s="3" t="str">
        <f>IFERROR(MID(VLOOKUP($B75,Seqs!$A:$B,2,FALSE),AW75,1),"")</f>
        <v>S</v>
      </c>
      <c r="AW75" s="3">
        <v>373</v>
      </c>
      <c r="AX75" s="3" t="str">
        <f>IFERROR(MID(VLOOKUP($B75,Seqs!$A:$B,2,FALSE),AY75,1),"")</f>
        <v>L</v>
      </c>
      <c r="AY75" s="3">
        <v>384</v>
      </c>
      <c r="AZ75" s="83" t="str">
        <f>VLOOKUP(B75,Classification!A:D,2,FALSE)</f>
        <v>A</v>
      </c>
      <c r="BA75" s="3" t="s">
        <v>1389</v>
      </c>
      <c r="BB75" s="82">
        <f>S75-Q75+1</f>
        <v>4</v>
      </c>
      <c r="BC75" s="57">
        <f t="shared" si="116"/>
        <v>276</v>
      </c>
      <c r="BD75" s="63" t="b">
        <f t="shared" si="117"/>
        <v>1</v>
      </c>
      <c r="BE75" s="68" t="s">
        <v>1514</v>
      </c>
      <c r="BF75" s="75" t="s">
        <v>1514</v>
      </c>
      <c r="BG75" s="75" t="s">
        <v>1514</v>
      </c>
      <c r="BH75" s="75" t="s">
        <v>1514</v>
      </c>
      <c r="BI75" s="75" t="s">
        <v>1514</v>
      </c>
      <c r="BJ75" s="75" t="s">
        <v>1514</v>
      </c>
      <c r="BK75" s="75" t="s">
        <v>1514</v>
      </c>
      <c r="BL75" s="75" t="s">
        <v>1514</v>
      </c>
      <c r="BM75" s="75" t="s">
        <v>1514</v>
      </c>
      <c r="BN75" s="75" t="s">
        <v>1514</v>
      </c>
      <c r="BO75" s="75" t="s">
        <v>1514</v>
      </c>
      <c r="BP75" s="75" t="s">
        <v>1514</v>
      </c>
      <c r="BQ75" s="68">
        <f t="shared" si="90"/>
        <v>61</v>
      </c>
      <c r="BR75" s="69">
        <f t="shared" si="91"/>
        <v>93</v>
      </c>
      <c r="BS75" s="70">
        <f t="shared" si="92"/>
        <v>97</v>
      </c>
      <c r="BT75" s="69">
        <f t="shared" si="93"/>
        <v>134</v>
      </c>
      <c r="BU75" s="70">
        <f t="shared" si="94"/>
        <v>138</v>
      </c>
      <c r="BV75" s="69">
        <f t="shared" si="95"/>
        <v>174</v>
      </c>
      <c r="BW75" s="70">
        <f t="shared" si="96"/>
        <v>183</v>
      </c>
      <c r="BX75" s="69">
        <f t="shared" si="97"/>
        <v>225</v>
      </c>
      <c r="BY75" s="70">
        <f t="shared" si="98"/>
        <v>231</v>
      </c>
      <c r="BZ75" s="69">
        <f t="shared" si="99"/>
        <v>297</v>
      </c>
      <c r="CA75" s="70">
        <f t="shared" si="100"/>
        <v>340</v>
      </c>
      <c r="CB75" s="69">
        <f t="shared" si="101"/>
        <v>373</v>
      </c>
      <c r="CC75" s="68">
        <f t="shared" si="102"/>
        <v>92</v>
      </c>
      <c r="CD75" s="69">
        <f t="shared" si="103"/>
        <v>96</v>
      </c>
      <c r="CE75" s="70">
        <f t="shared" si="104"/>
        <v>131</v>
      </c>
      <c r="CF75" s="70">
        <f t="shared" si="105"/>
        <v>137</v>
      </c>
      <c r="CG75" s="70">
        <f t="shared" si="106"/>
        <v>173</v>
      </c>
      <c r="CH75" s="70">
        <f t="shared" si="107"/>
        <v>181</v>
      </c>
      <c r="CI75" s="70">
        <f t="shared" si="108"/>
        <v>208</v>
      </c>
      <c r="CJ75" s="70">
        <f t="shared" si="109"/>
        <v>227</v>
      </c>
      <c r="CK75" s="70">
        <f t="shared" si="110"/>
        <v>275</v>
      </c>
      <c r="CL75" s="70">
        <f t="shared" si="111"/>
        <v>334</v>
      </c>
      <c r="CM75" s="70">
        <f t="shared" si="112"/>
        <v>372</v>
      </c>
      <c r="CN75" s="70">
        <f t="shared" si="113"/>
        <v>384</v>
      </c>
      <c r="CO75" s="57">
        <f t="shared" si="114"/>
        <v>1</v>
      </c>
    </row>
    <row r="76" spans="1:93" x14ac:dyDescent="0.2">
      <c r="A76" s="3" t="str">
        <f t="shared" si="115"/>
        <v>ntr1_rat_4BOU</v>
      </c>
      <c r="B76" s="3" t="s">
        <v>1110</v>
      </c>
      <c r="C76" s="3" t="s">
        <v>239</v>
      </c>
      <c r="D76" s="3" t="str">
        <f>IFERROR(MID(VLOOKUP($B76,Seqs!$A:$B,2,FALSE),E76,1),"")</f>
        <v>I</v>
      </c>
      <c r="E76" s="3">
        <v>61</v>
      </c>
      <c r="F76" s="3" t="str">
        <f>IFERROR(MID(VLOOKUP($B76,Seqs!$A:$B,2,FALSE),G76,1),"")</f>
        <v>R</v>
      </c>
      <c r="G76" s="3">
        <v>91</v>
      </c>
      <c r="H76" s="3" t="str">
        <f>IFERROR(MID(VLOOKUP($B76,Seqs!$A:$B,2,FALSE),I76,1),"")</f>
        <v/>
      </c>
      <c r="I76" s="57" t="s">
        <v>129</v>
      </c>
      <c r="J76" s="3" t="str">
        <f>IFERROR(MID(VLOOKUP($B76,Seqs!$A:$B,2,FALSE),K76,1),"")</f>
        <v/>
      </c>
      <c r="K76" s="57" t="s">
        <v>129</v>
      </c>
      <c r="L76" s="3" t="str">
        <f>IFERROR(MID(VLOOKUP($B76,Seqs!$A:$B,2,FALSE),M76,1),"")</f>
        <v>S</v>
      </c>
      <c r="M76" s="3">
        <v>97</v>
      </c>
      <c r="N76" s="3" t="str">
        <f>IFERROR(MID(VLOOKUP($B76,Seqs!$A:$B,2,FALSE),O76,1),"")</f>
        <v>V</v>
      </c>
      <c r="O76" s="3">
        <v>131</v>
      </c>
      <c r="P76" s="3" t="str">
        <f>IFERROR(MID(VLOOKUP($B76,Seqs!$A:$B,2,FALSE),Q76,1),"")</f>
        <v>P</v>
      </c>
      <c r="Q76" s="3">
        <v>134</v>
      </c>
      <c r="R76" s="3" t="str">
        <f>IFERROR(MID(VLOOKUP($B76,Seqs!$A:$B,2,FALSE),S76,1),"")</f>
        <v>F</v>
      </c>
      <c r="S76" s="3">
        <v>137</v>
      </c>
      <c r="T76" s="3" t="str">
        <f>IFERROR(MID(VLOOKUP($B76,Seqs!$A:$B,2,FALSE),U76,1),"")</f>
        <v>G</v>
      </c>
      <c r="U76" s="3">
        <v>138</v>
      </c>
      <c r="V76" s="3" t="str">
        <f>IFERROR(MID(VLOOKUP($B76,Seqs!$A:$B,2,FALSE),W76,1),"")</f>
        <v>H</v>
      </c>
      <c r="W76" s="3">
        <v>173</v>
      </c>
      <c r="X76" s="3" t="str">
        <f>IFERROR(MID(VLOOKUP($B76,Seqs!$A:$B,2,FALSE),Y76,1),"")</f>
        <v>P</v>
      </c>
      <c r="Y76" s="3">
        <v>174</v>
      </c>
      <c r="Z76" s="3" t="str">
        <f>IFERROR(MID(VLOOKUP($B76,Seqs!$A:$B,2,FALSE),AA76,1),"")</f>
        <v>K</v>
      </c>
      <c r="AA76" s="3">
        <v>178</v>
      </c>
      <c r="AB76" s="3" t="str">
        <f>IFERROR(MID(VLOOKUP($B76,Seqs!$A:$B,2,FALSE),AC76,1),"")</f>
        <v>R</v>
      </c>
      <c r="AC76" s="3">
        <v>183</v>
      </c>
      <c r="AD76" s="3" t="str">
        <f>IFERROR(MID(VLOOKUP($B76,Seqs!$A:$B,2,FALSE),AE76,1),"")</f>
        <v>M</v>
      </c>
      <c r="AE76" s="3">
        <v>208</v>
      </c>
      <c r="AF76" s="3" t="str">
        <f>IFERROR(MID(VLOOKUP($B76,Seqs!$A:$B,2,FALSE),AG76,1),"")</f>
        <v>C</v>
      </c>
      <c r="AG76" s="3">
        <v>225</v>
      </c>
      <c r="AH76" s="3" t="str">
        <f>IFERROR(MID(VLOOKUP($B76,Seqs!$A:$B,2,FALSE),AI76,1),"")</f>
        <v>P</v>
      </c>
      <c r="AI76" s="3">
        <v>227</v>
      </c>
      <c r="AJ76" s="3" t="str">
        <f>IFERROR(MID(VLOOKUP($B76,Seqs!$A:$B,2,FALSE),AK76,1),"")</f>
        <v>T</v>
      </c>
      <c r="AK76" s="3">
        <v>231</v>
      </c>
      <c r="AL76" s="3" t="str">
        <f>IFERROR(MID(VLOOKUP($B76,Seqs!$A:$B,2,FALSE),AM76,1),"")</f>
        <v>Q</v>
      </c>
      <c r="AM76" s="3">
        <v>270</v>
      </c>
      <c r="AN76" s="3" t="str">
        <f>IFERROR(MID(VLOOKUP($B76,Seqs!$A:$B,2,FALSE),AO76,1),"")</f>
        <v>G</v>
      </c>
      <c r="AO76" s="3">
        <v>298</v>
      </c>
      <c r="AP76" s="3" t="str">
        <f>IFERROR(MID(VLOOKUP($B76,Seqs!$A:$B,2,FALSE),AQ76,1),"")</f>
        <v>I</v>
      </c>
      <c r="AQ76" s="3">
        <v>334</v>
      </c>
      <c r="AR76" s="3" t="str">
        <f>IFERROR(MID(VLOOKUP($B76,Seqs!$A:$B,2,FALSE),AS76,1),"")</f>
        <v>T</v>
      </c>
      <c r="AS76" s="3">
        <v>340</v>
      </c>
      <c r="AT76" s="3" t="str">
        <f>IFERROR(MID(VLOOKUP($B76,Seqs!$A:$B,2,FALSE),AU76,1),"")</f>
        <v>V</v>
      </c>
      <c r="AU76" s="3">
        <v>372</v>
      </c>
      <c r="AV76" s="3" t="str">
        <f>IFERROR(MID(VLOOKUP($B76,Seqs!$A:$B,2,FALSE),AW76,1),"")</f>
        <v>S</v>
      </c>
      <c r="AW76" s="3">
        <v>373</v>
      </c>
      <c r="AX76" s="3" t="str">
        <f>IFERROR(MID(VLOOKUP($B76,Seqs!$A:$B,2,FALSE),AY76,1),"")</f>
        <v>L</v>
      </c>
      <c r="AY76" s="3">
        <v>384</v>
      </c>
      <c r="AZ76" s="83" t="str">
        <f>VLOOKUP(B76,Classification!A:D,2,FALSE)</f>
        <v>A</v>
      </c>
      <c r="BC76" s="57">
        <f t="shared" si="116"/>
        <v>263</v>
      </c>
      <c r="BD76" s="63" t="b">
        <f t="shared" si="117"/>
        <v>1</v>
      </c>
      <c r="BE76" s="68" t="s">
        <v>1514</v>
      </c>
      <c r="BF76" s="75" t="s">
        <v>1514</v>
      </c>
      <c r="BG76" s="75" t="s">
        <v>1514</v>
      </c>
      <c r="BH76" s="75" t="s">
        <v>1514</v>
      </c>
      <c r="BI76" s="75" t="s">
        <v>1514</v>
      </c>
      <c r="BJ76" s="75" t="s">
        <v>1514</v>
      </c>
      <c r="BK76" s="75" t="s">
        <v>1514</v>
      </c>
      <c r="BL76" s="75" t="s">
        <v>1514</v>
      </c>
      <c r="BM76" s="75" t="s">
        <v>1514</v>
      </c>
      <c r="BN76" s="75" t="s">
        <v>1514</v>
      </c>
      <c r="BO76" s="75" t="s">
        <v>1514</v>
      </c>
      <c r="BP76" s="75" t="s">
        <v>1514</v>
      </c>
      <c r="BQ76" s="68">
        <f t="shared" si="90"/>
        <v>61</v>
      </c>
      <c r="BR76" s="69" t="str">
        <f t="shared" si="91"/>
        <v>-</v>
      </c>
      <c r="BS76" s="70">
        <f t="shared" si="92"/>
        <v>97</v>
      </c>
      <c r="BT76" s="69">
        <f t="shared" si="93"/>
        <v>134</v>
      </c>
      <c r="BU76" s="70">
        <f t="shared" si="94"/>
        <v>138</v>
      </c>
      <c r="BV76" s="69">
        <f t="shared" si="95"/>
        <v>174</v>
      </c>
      <c r="BW76" s="70">
        <f t="shared" si="96"/>
        <v>183</v>
      </c>
      <c r="BX76" s="69">
        <f t="shared" si="97"/>
        <v>225</v>
      </c>
      <c r="BY76" s="70">
        <f t="shared" si="98"/>
        <v>231</v>
      </c>
      <c r="BZ76" s="69">
        <f t="shared" si="99"/>
        <v>298</v>
      </c>
      <c r="CA76" s="70">
        <f t="shared" si="100"/>
        <v>340</v>
      </c>
      <c r="CB76" s="69">
        <f t="shared" si="101"/>
        <v>373</v>
      </c>
      <c r="CC76" s="68">
        <f t="shared" si="102"/>
        <v>91</v>
      </c>
      <c r="CD76" s="69" t="str">
        <f t="shared" si="103"/>
        <v>-</v>
      </c>
      <c r="CE76" s="70">
        <f t="shared" si="104"/>
        <v>131</v>
      </c>
      <c r="CF76" s="70">
        <f t="shared" si="105"/>
        <v>137</v>
      </c>
      <c r="CG76" s="70">
        <f t="shared" si="106"/>
        <v>173</v>
      </c>
      <c r="CH76" s="70">
        <f t="shared" si="107"/>
        <v>178</v>
      </c>
      <c r="CI76" s="70">
        <f t="shared" si="108"/>
        <v>208</v>
      </c>
      <c r="CJ76" s="70">
        <f t="shared" si="109"/>
        <v>227</v>
      </c>
      <c r="CK76" s="70">
        <f t="shared" si="110"/>
        <v>270</v>
      </c>
      <c r="CL76" s="70">
        <f t="shared" si="111"/>
        <v>334</v>
      </c>
      <c r="CM76" s="70">
        <f t="shared" si="112"/>
        <v>372</v>
      </c>
      <c r="CN76" s="70">
        <f t="shared" si="113"/>
        <v>384</v>
      </c>
      <c r="CO76" s="57" t="e">
        <f t="shared" si="114"/>
        <v>#VALUE!</v>
      </c>
    </row>
    <row r="77" spans="1:93" x14ac:dyDescent="0.2">
      <c r="A77" s="3" t="str">
        <f t="shared" si="115"/>
        <v>ntr1_rat_4GRV</v>
      </c>
      <c r="B77" s="3" t="s">
        <v>1110</v>
      </c>
      <c r="C77" s="3" t="s">
        <v>238</v>
      </c>
      <c r="D77" s="3" t="str">
        <f>IFERROR(MID(VLOOKUP($B77,Seqs!$A:$B,2,FALSE),E77,1),"")</f>
        <v>I</v>
      </c>
      <c r="E77" s="3">
        <v>61</v>
      </c>
      <c r="F77" s="3" t="str">
        <f>IFERROR(MID(VLOOKUP($B77,Seqs!$A:$B,2,FALSE),G77,1),"")</f>
        <v>T</v>
      </c>
      <c r="G77" s="3">
        <v>88</v>
      </c>
      <c r="H77" s="3" t="str">
        <f>IFERROR(MID(VLOOKUP($B77,Seqs!$A:$B,2,FALSE),I77,1),"")</f>
        <v/>
      </c>
      <c r="I77" s="57" t="s">
        <v>129</v>
      </c>
      <c r="J77" s="3" t="str">
        <f>IFERROR(MID(VLOOKUP($B77,Seqs!$A:$B,2,FALSE),K77,1),"")</f>
        <v/>
      </c>
      <c r="K77" s="57" t="s">
        <v>129</v>
      </c>
      <c r="L77" s="3" t="str">
        <f>IFERROR(MID(VLOOKUP($B77,Seqs!$A:$B,2,FALSE),M77,1),"")</f>
        <v>Q</v>
      </c>
      <c r="M77" s="3">
        <v>99</v>
      </c>
      <c r="N77" s="3" t="str">
        <f>IFERROR(MID(VLOOKUP($B77,Seqs!$A:$B,2,FALSE),O77,1),"")</f>
        <v>V</v>
      </c>
      <c r="O77" s="3">
        <v>131</v>
      </c>
      <c r="P77" s="3" t="str">
        <f>IFERROR(MID(VLOOKUP($B77,Seqs!$A:$B,2,FALSE),Q77,1),"")</f>
        <v>P</v>
      </c>
      <c r="Q77" s="3">
        <v>134</v>
      </c>
      <c r="R77" s="3" t="str">
        <f>IFERROR(MID(VLOOKUP($B77,Seqs!$A:$B,2,FALSE),S77,1),"")</f>
        <v>F</v>
      </c>
      <c r="S77" s="3">
        <v>137</v>
      </c>
      <c r="T77" s="3" t="str">
        <f>IFERROR(MID(VLOOKUP($B77,Seqs!$A:$B,2,FALSE),U77,1),"")</f>
        <v>G</v>
      </c>
      <c r="U77" s="3">
        <v>138</v>
      </c>
      <c r="V77" s="3" t="str">
        <f>IFERROR(MID(VLOOKUP($B77,Seqs!$A:$B,2,FALSE),W77,1),"")</f>
        <v>H</v>
      </c>
      <c r="W77" s="3">
        <v>173</v>
      </c>
      <c r="X77" s="3" t="str">
        <f>IFERROR(MID(VLOOKUP($B77,Seqs!$A:$B,2,FALSE),Y77,1),"")</f>
        <v>P</v>
      </c>
      <c r="Y77" s="3">
        <v>174</v>
      </c>
      <c r="Z77" s="3" t="str">
        <f>IFERROR(MID(VLOOKUP($B77,Seqs!$A:$B,2,FALSE),AA77,1),"")</f>
        <v>S</v>
      </c>
      <c r="AA77" s="3">
        <v>182</v>
      </c>
      <c r="AB77" s="3" t="str">
        <f>IFERROR(MID(VLOOKUP($B77,Seqs!$A:$B,2,FALSE),AC77,1),"")</f>
        <v>T</v>
      </c>
      <c r="AC77" s="3">
        <v>186</v>
      </c>
      <c r="AD77" s="3" t="str">
        <f>IFERROR(MID(VLOOKUP($B77,Seqs!$A:$B,2,FALSE),AE77,1),"")</f>
        <v>M</v>
      </c>
      <c r="AE77" s="3">
        <v>208</v>
      </c>
      <c r="AF77" s="3" t="str">
        <f>IFERROR(MID(VLOOKUP($B77,Seqs!$A:$B,2,FALSE),AG77,1),"")</f>
        <v>C</v>
      </c>
      <c r="AG77" s="3">
        <v>225</v>
      </c>
      <c r="AH77" s="3" t="str">
        <f>IFERROR(MID(VLOOKUP($B77,Seqs!$A:$B,2,FALSE),AI77,1),"")</f>
        <v>P</v>
      </c>
      <c r="AI77" s="3">
        <v>227</v>
      </c>
      <c r="AJ77" s="3" t="str">
        <f>IFERROR(MID(VLOOKUP($B77,Seqs!$A:$B,2,FALSE),AK77,1),"")</f>
        <v>T</v>
      </c>
      <c r="AK77" s="3">
        <v>231</v>
      </c>
      <c r="AL77" s="3" t="str">
        <f>IFERROR(MID(VLOOKUP($B77,Seqs!$A:$B,2,FALSE),AM77,1),"")</f>
        <v>T</v>
      </c>
      <c r="AM77" s="3">
        <v>265</v>
      </c>
      <c r="AN77" s="3" t="str">
        <f>IFERROR(MID(VLOOKUP($B77,Seqs!$A:$B,2,FALSE),AO77,1),"")</f>
        <v>A</v>
      </c>
      <c r="AO77" s="3">
        <v>302</v>
      </c>
      <c r="AP77" s="3" t="str">
        <f>IFERROR(MID(VLOOKUP($B77,Seqs!$A:$B,2,FALSE),AQ77,1),"")</f>
        <v>I</v>
      </c>
      <c r="AQ77" s="3">
        <v>334</v>
      </c>
      <c r="AR77" s="3" t="str">
        <f>IFERROR(MID(VLOOKUP($B77,Seqs!$A:$B,2,FALSE),AS77,1),"")</f>
        <v>T</v>
      </c>
      <c r="AS77" s="3">
        <v>340</v>
      </c>
      <c r="AT77" s="3" t="str">
        <f>IFERROR(MID(VLOOKUP($B77,Seqs!$A:$B,2,FALSE),AU77,1),"")</f>
        <v>S</v>
      </c>
      <c r="AU77" s="3">
        <v>361</v>
      </c>
      <c r="AV77" s="3" t="str">
        <f>IFERROR(MID(VLOOKUP($B77,Seqs!$A:$B,2,FALSE),AW77,1),"")</f>
        <v/>
      </c>
      <c r="AW77" s="3" t="s">
        <v>129</v>
      </c>
      <c r="AX77" s="3" t="str">
        <f>IFERROR(MID(VLOOKUP($B77,Seqs!$A:$B,2,FALSE),AY77,1),"")</f>
        <v/>
      </c>
      <c r="AY77" s="3" t="s">
        <v>129</v>
      </c>
      <c r="AZ77" s="83" t="str">
        <f>VLOOKUP(B77,Classification!A:D,2,FALSE)</f>
        <v>A</v>
      </c>
      <c r="BC77" s="57">
        <f t="shared" si="116"/>
        <v>228</v>
      </c>
      <c r="BD77" s="63" t="b">
        <f t="shared" si="117"/>
        <v>1</v>
      </c>
      <c r="BE77" s="68" t="s">
        <v>1514</v>
      </c>
      <c r="BF77" s="75" t="s">
        <v>1514</v>
      </c>
      <c r="BG77" s="75" t="s">
        <v>1514</v>
      </c>
      <c r="BH77" s="75" t="s">
        <v>1514</v>
      </c>
      <c r="BI77" s="75" t="s">
        <v>1514</v>
      </c>
      <c r="BJ77" s="75" t="s">
        <v>1514</v>
      </c>
      <c r="BK77" s="75" t="s">
        <v>1514</v>
      </c>
      <c r="BL77" s="75" t="s">
        <v>1514</v>
      </c>
      <c r="BM77" s="75" t="s">
        <v>1514</v>
      </c>
      <c r="BN77" s="75" t="s">
        <v>1514</v>
      </c>
      <c r="BO77" s="75" t="s">
        <v>1514</v>
      </c>
      <c r="BP77" s="75" t="s">
        <v>1514</v>
      </c>
      <c r="BQ77" s="68">
        <f t="shared" si="90"/>
        <v>61</v>
      </c>
      <c r="BR77" s="69" t="str">
        <f t="shared" si="91"/>
        <v>-</v>
      </c>
      <c r="BS77" s="70">
        <f t="shared" si="92"/>
        <v>99</v>
      </c>
      <c r="BT77" s="69">
        <f t="shared" si="93"/>
        <v>134</v>
      </c>
      <c r="BU77" s="70">
        <f t="shared" si="94"/>
        <v>138</v>
      </c>
      <c r="BV77" s="69">
        <f t="shared" si="95"/>
        <v>174</v>
      </c>
      <c r="BW77" s="70">
        <f t="shared" si="96"/>
        <v>186</v>
      </c>
      <c r="BX77" s="69">
        <f t="shared" si="97"/>
        <v>225</v>
      </c>
      <c r="BY77" s="70">
        <f t="shared" si="98"/>
        <v>231</v>
      </c>
      <c r="BZ77" s="69">
        <f t="shared" si="99"/>
        <v>302</v>
      </c>
      <c r="CA77" s="70">
        <f t="shared" si="100"/>
        <v>340</v>
      </c>
      <c r="CB77" s="69" t="str">
        <f t="shared" si="101"/>
        <v>-</v>
      </c>
      <c r="CC77" s="68">
        <f t="shared" si="102"/>
        <v>88</v>
      </c>
      <c r="CD77" s="69" t="str">
        <f t="shared" si="103"/>
        <v>-</v>
      </c>
      <c r="CE77" s="70">
        <f t="shared" si="104"/>
        <v>131</v>
      </c>
      <c r="CF77" s="70">
        <f t="shared" si="105"/>
        <v>137</v>
      </c>
      <c r="CG77" s="70">
        <f t="shared" si="106"/>
        <v>173</v>
      </c>
      <c r="CH77" s="70">
        <f t="shared" si="107"/>
        <v>182</v>
      </c>
      <c r="CI77" s="70">
        <f t="shared" si="108"/>
        <v>208</v>
      </c>
      <c r="CJ77" s="70">
        <f t="shared" si="109"/>
        <v>227</v>
      </c>
      <c r="CK77" s="70">
        <f t="shared" si="110"/>
        <v>265</v>
      </c>
      <c r="CL77" s="70">
        <f t="shared" si="111"/>
        <v>334</v>
      </c>
      <c r="CM77" s="70">
        <f t="shared" si="112"/>
        <v>361</v>
      </c>
      <c r="CN77" s="70" t="str">
        <f t="shared" si="113"/>
        <v>-</v>
      </c>
      <c r="CO77" s="57" t="e">
        <f t="shared" si="114"/>
        <v>#VALUE!</v>
      </c>
    </row>
    <row r="78" spans="1:93" x14ac:dyDescent="0.2">
      <c r="A78" s="3" t="str">
        <f t="shared" si="115"/>
        <v>oprd_human__wt</v>
      </c>
      <c r="B78" s="3" t="s">
        <v>529</v>
      </c>
      <c r="C78" s="3" t="s">
        <v>294</v>
      </c>
      <c r="D78" s="3" t="str">
        <f>IFERROR(MID(VLOOKUP($B78,Seqs!$A:$B,2,FALSE),E78,1),"")</f>
        <v>G</v>
      </c>
      <c r="E78" s="3">
        <v>39</v>
      </c>
      <c r="F78" s="3" t="str">
        <f>IFERROR(MID(VLOOKUP($B78,Seqs!$A:$B,2,FALSE),G78,1),"")</f>
        <v>Y</v>
      </c>
      <c r="G78" s="3">
        <v>77</v>
      </c>
      <c r="H78" s="3" t="str">
        <f>IFERROR(MID(VLOOKUP($B78,Seqs!$A:$B,2,FALSE),I78,1),"")</f>
        <v>T</v>
      </c>
      <c r="I78" s="57">
        <v>78</v>
      </c>
      <c r="J78" s="3" t="str">
        <f>IFERROR(MID(VLOOKUP($B78,Seqs!$A:$B,2,FALSE),K78,1),"")</f>
        <v>K</v>
      </c>
      <c r="K78" s="57">
        <v>81</v>
      </c>
      <c r="L78" s="3" t="str">
        <f>IFERROR(MID(VLOOKUP($B78,Seqs!$A:$B,2,FALSE),M78,1),"")</f>
        <v>T</v>
      </c>
      <c r="M78" s="3">
        <v>82</v>
      </c>
      <c r="N78" s="3" t="str">
        <f>IFERROR(MID(VLOOKUP($B78,Seqs!$A:$B,2,FALSE),O78,1),"")</f>
        <v>M</v>
      </c>
      <c r="O78" s="3">
        <v>111</v>
      </c>
      <c r="P78" s="3" t="str">
        <f>IFERROR(MID(VLOOKUP($B78,Seqs!$A:$B,2,FALSE),Q78,1),"")</f>
        <v>T</v>
      </c>
      <c r="Q78" s="3">
        <v>113</v>
      </c>
      <c r="R78" s="3" t="str">
        <f>IFERROR(MID(VLOOKUP($B78,Seqs!$A:$B,2,FALSE),S78,1),"")</f>
        <v>F</v>
      </c>
      <c r="S78" s="3">
        <v>116</v>
      </c>
      <c r="T78" s="3" t="str">
        <f>IFERROR(MID(VLOOKUP($B78,Seqs!$A:$B,2,FALSE),U78,1),"")</f>
        <v>G</v>
      </c>
      <c r="U78" s="3">
        <v>117</v>
      </c>
      <c r="V78" s="3" t="str">
        <f>IFERROR(MID(VLOOKUP($B78,Seqs!$A:$B,2,FALSE),W78,1),"")</f>
        <v>H</v>
      </c>
      <c r="W78" s="3">
        <v>152</v>
      </c>
      <c r="X78" s="3" t="str">
        <f>IFERROR(MID(VLOOKUP($B78,Seqs!$A:$B,2,FALSE),Y78,1),"")</f>
        <v>P</v>
      </c>
      <c r="Y78" s="3">
        <v>153</v>
      </c>
      <c r="Z78" s="3" t="str">
        <f>IFERROR(MID(VLOOKUP($B78,Seqs!$A:$B,2,FALSE),AA78,1),"")</f>
        <v>R</v>
      </c>
      <c r="AA78" s="3">
        <v>160</v>
      </c>
      <c r="AB78" s="3" t="str">
        <f>IFERROR(MID(VLOOKUP($B78,Seqs!$A:$B,2,FALSE),AC78,1),"")</f>
        <v>P</v>
      </c>
      <c r="AC78" s="3">
        <v>162</v>
      </c>
      <c r="AD78" s="3" t="str">
        <f>IFERROR(MID(VLOOKUP($B78,Seqs!$A:$B,2,FALSE),AE78,1),"")</f>
        <v>A</v>
      </c>
      <c r="AE78" s="3">
        <v>187</v>
      </c>
      <c r="AF78" s="3" t="str">
        <f>IFERROR(MID(VLOOKUP($B78,Seqs!$A:$B,2,FALSE),AG78,1),"")</f>
        <v>C</v>
      </c>
      <c r="AG78" s="3">
        <v>198</v>
      </c>
      <c r="AH78" s="3" t="str">
        <f>IFERROR(MID(VLOOKUP($B78,Seqs!$A:$B,2,FALSE),AI78,1),"")</f>
        <v>L</v>
      </c>
      <c r="AI78" s="3">
        <v>200</v>
      </c>
      <c r="AJ78" s="3" t="str">
        <f>IFERROR(MID(VLOOKUP($B78,Seqs!$A:$B,2,FALSE),AK78,1),"")</f>
        <v>S</v>
      </c>
      <c r="AK78" s="3">
        <v>206</v>
      </c>
      <c r="AL78" s="3" t="str">
        <f>IFERROR(MID(VLOOKUP($B78,Seqs!$A:$B,2,FALSE),AM78,1),"")</f>
        <v>V</v>
      </c>
      <c r="AM78" s="3">
        <v>243</v>
      </c>
      <c r="AN78" s="3" t="str">
        <f>IFERROR(MID(VLOOKUP($B78,Seqs!$A:$B,2,FALSE),AO78,1),"")</f>
        <v>S</v>
      </c>
      <c r="AO78" s="3">
        <v>249</v>
      </c>
      <c r="AP78" s="3" t="str">
        <f>IFERROR(MID(VLOOKUP($B78,Seqs!$A:$B,2,FALSE),AQ78,1),"")</f>
        <v>V</v>
      </c>
      <c r="AQ78" s="3">
        <v>287</v>
      </c>
      <c r="AR78" s="3" t="str">
        <f>IFERROR(MID(VLOOKUP($B78,Seqs!$A:$B,2,FALSE),AS78,1),"")</f>
        <v>D</v>
      </c>
      <c r="AS78" s="3">
        <v>293</v>
      </c>
      <c r="AT78" s="3" t="str">
        <f>IFERROR(MID(VLOOKUP($B78,Seqs!$A:$B,2,FALSE),AU78,1),"")</f>
        <v>L</v>
      </c>
      <c r="AU78" s="3">
        <v>321</v>
      </c>
      <c r="AV78" s="3" t="str">
        <f>IFERROR(MID(VLOOKUP($B78,Seqs!$A:$B,2,FALSE),AW78,1),"")</f>
        <v>D</v>
      </c>
      <c r="AW78" s="3">
        <v>322</v>
      </c>
      <c r="AX78" s="3" t="str">
        <f>IFERROR(MID(VLOOKUP($B78,Seqs!$A:$B,2,FALSE),AY78,1),"")</f>
        <v>K</v>
      </c>
      <c r="AY78" s="3">
        <v>335</v>
      </c>
      <c r="AZ78" s="83" t="str">
        <f>VLOOKUP(B78,Classification!A:D,2,FALSE)</f>
        <v>A</v>
      </c>
      <c r="BB78" s="82">
        <f>S78-Q78+1</f>
        <v>4</v>
      </c>
      <c r="BC78" s="57">
        <f t="shared" si="116"/>
        <v>270</v>
      </c>
      <c r="BD78" s="63" t="b">
        <f t="shared" si="117"/>
        <v>1</v>
      </c>
      <c r="BE78" s="68" t="s">
        <v>1514</v>
      </c>
      <c r="BF78" s="75" t="s">
        <v>1514</v>
      </c>
      <c r="BG78" s="75" t="s">
        <v>1514</v>
      </c>
      <c r="BH78" s="75" t="s">
        <v>1514</v>
      </c>
      <c r="BI78" s="75" t="s">
        <v>1514</v>
      </c>
      <c r="BJ78" s="75" t="s">
        <v>1514</v>
      </c>
      <c r="BK78" s="75" t="s">
        <v>1514</v>
      </c>
      <c r="BL78" s="75" t="s">
        <v>1514</v>
      </c>
      <c r="BM78" s="75" t="s">
        <v>1514</v>
      </c>
      <c r="BN78" s="75" t="s">
        <v>1514</v>
      </c>
      <c r="BO78" s="75" t="s">
        <v>1514</v>
      </c>
      <c r="BP78" s="75" t="s">
        <v>1514</v>
      </c>
      <c r="BQ78" s="68">
        <f t="shared" si="90"/>
        <v>39</v>
      </c>
      <c r="BR78" s="69">
        <f t="shared" si="91"/>
        <v>78</v>
      </c>
      <c r="BS78" s="70">
        <f t="shared" si="92"/>
        <v>82</v>
      </c>
      <c r="BT78" s="69">
        <f t="shared" si="93"/>
        <v>113</v>
      </c>
      <c r="BU78" s="70">
        <f t="shared" si="94"/>
        <v>117</v>
      </c>
      <c r="BV78" s="69">
        <f t="shared" si="95"/>
        <v>153</v>
      </c>
      <c r="BW78" s="70">
        <f t="shared" si="96"/>
        <v>162</v>
      </c>
      <c r="BX78" s="69">
        <f t="shared" si="97"/>
        <v>198</v>
      </c>
      <c r="BY78" s="70">
        <f t="shared" si="98"/>
        <v>206</v>
      </c>
      <c r="BZ78" s="69">
        <f t="shared" si="99"/>
        <v>249</v>
      </c>
      <c r="CA78" s="70">
        <f t="shared" si="100"/>
        <v>293</v>
      </c>
      <c r="CB78" s="69">
        <f t="shared" si="101"/>
        <v>322</v>
      </c>
      <c r="CC78" s="68">
        <f t="shared" si="102"/>
        <v>77</v>
      </c>
      <c r="CD78" s="69">
        <f t="shared" si="103"/>
        <v>81</v>
      </c>
      <c r="CE78" s="70">
        <f t="shared" si="104"/>
        <v>111</v>
      </c>
      <c r="CF78" s="70">
        <f t="shared" si="105"/>
        <v>116</v>
      </c>
      <c r="CG78" s="70">
        <f t="shared" si="106"/>
        <v>152</v>
      </c>
      <c r="CH78" s="70">
        <f t="shared" si="107"/>
        <v>160</v>
      </c>
      <c r="CI78" s="70">
        <f t="shared" si="108"/>
        <v>187</v>
      </c>
      <c r="CJ78" s="70">
        <f t="shared" si="109"/>
        <v>200</v>
      </c>
      <c r="CK78" s="70">
        <f t="shared" si="110"/>
        <v>243</v>
      </c>
      <c r="CL78" s="70">
        <f t="shared" si="111"/>
        <v>287</v>
      </c>
      <c r="CM78" s="70">
        <f t="shared" si="112"/>
        <v>321</v>
      </c>
      <c r="CN78" s="70">
        <f t="shared" si="113"/>
        <v>335</v>
      </c>
      <c r="CO78" s="57">
        <f t="shared" si="114"/>
        <v>1</v>
      </c>
    </row>
    <row r="79" spans="1:93" s="16" customFormat="1" x14ac:dyDescent="0.2">
      <c r="A79" s="16" t="str">
        <f t="shared" si="115"/>
        <v>oprd_human_4N6H</v>
      </c>
      <c r="B79" s="16" t="s">
        <v>529</v>
      </c>
      <c r="C79" s="16" t="s">
        <v>279</v>
      </c>
      <c r="D79" s="16" t="str">
        <f>IFERROR(MID(VLOOKUP($B79,Seqs!$A:$B,2,FALSE),E79,1),"")</f>
        <v>G</v>
      </c>
      <c r="E79" s="122">
        <v>39</v>
      </c>
      <c r="F79" s="16" t="str">
        <f>IFERROR(MID(VLOOKUP($B79,Seqs!$A:$B,2,FALSE),G79,1),"")</f>
        <v>Y</v>
      </c>
      <c r="G79" s="16">
        <v>77</v>
      </c>
      <c r="H79" s="16" t="str">
        <f>IFERROR(MID(VLOOKUP($B79,Seqs!$A:$B,2,FALSE),I79,1),"")</f>
        <v>T</v>
      </c>
      <c r="I79" s="115">
        <v>78</v>
      </c>
      <c r="J79" s="16" t="str">
        <f>IFERROR(MID(VLOOKUP($B79,Seqs!$A:$B,2,FALSE),K79,1),"")</f>
        <v>K</v>
      </c>
      <c r="K79" s="115">
        <v>81</v>
      </c>
      <c r="L79" s="16" t="str">
        <f>IFERROR(MID(VLOOKUP($B79,Seqs!$A:$B,2,FALSE),M79,1),"")</f>
        <v>T</v>
      </c>
      <c r="M79" s="16">
        <v>82</v>
      </c>
      <c r="N79" s="16" t="str">
        <f>IFERROR(MID(VLOOKUP($B79,Seqs!$A:$B,2,FALSE),O79,1),"")</f>
        <v>M</v>
      </c>
      <c r="O79" s="16">
        <v>111</v>
      </c>
      <c r="P79" s="16" t="str">
        <f>IFERROR(MID(VLOOKUP($B79,Seqs!$A:$B,2,FALSE),Q79,1),"")</f>
        <v>T</v>
      </c>
      <c r="Q79" s="16">
        <v>113</v>
      </c>
      <c r="R79" s="16" t="str">
        <f>IFERROR(MID(VLOOKUP($B79,Seqs!$A:$B,2,FALSE),S79,1),"")</f>
        <v>F</v>
      </c>
      <c r="S79" s="16">
        <v>116</v>
      </c>
      <c r="T79" s="16" t="str">
        <f>IFERROR(MID(VLOOKUP($B79,Seqs!$A:$B,2,FALSE),U79,1),"")</f>
        <v>G</v>
      </c>
      <c r="U79" s="16">
        <v>117</v>
      </c>
      <c r="V79" s="16" t="str">
        <f>IFERROR(MID(VLOOKUP($B79,Seqs!$A:$B,2,FALSE),W79,1),"")</f>
        <v>H</v>
      </c>
      <c r="W79" s="16">
        <v>152</v>
      </c>
      <c r="X79" s="16" t="str">
        <f>IFERROR(MID(VLOOKUP($B79,Seqs!$A:$B,2,FALSE),Y79,1),"")</f>
        <v>P</v>
      </c>
      <c r="Y79" s="16">
        <v>153</v>
      </c>
      <c r="Z79" s="16" t="str">
        <f>IFERROR(MID(VLOOKUP($B79,Seqs!$A:$B,2,FALSE),AA79,1),"")</f>
        <v>R</v>
      </c>
      <c r="AA79" s="16">
        <v>160</v>
      </c>
      <c r="AB79" s="16" t="str">
        <f>IFERROR(MID(VLOOKUP($B79,Seqs!$A:$B,2,FALSE),AC79,1),"")</f>
        <v>P</v>
      </c>
      <c r="AC79" s="16">
        <v>162</v>
      </c>
      <c r="AD79" s="16" t="str">
        <f>IFERROR(MID(VLOOKUP($B79,Seqs!$A:$B,2,FALSE),AE79,1),"")</f>
        <v>A</v>
      </c>
      <c r="AE79" s="16">
        <v>187</v>
      </c>
      <c r="AF79" s="16" t="str">
        <f>IFERROR(MID(VLOOKUP($B79,Seqs!$A:$B,2,FALSE),AG79,1),"")</f>
        <v>C</v>
      </c>
      <c r="AG79" s="16">
        <v>198</v>
      </c>
      <c r="AH79" s="16" t="str">
        <f>IFERROR(MID(VLOOKUP($B79,Seqs!$A:$B,2,FALSE),AI79,1),"")</f>
        <v>L</v>
      </c>
      <c r="AI79" s="16">
        <v>200</v>
      </c>
      <c r="AJ79" s="16" t="str">
        <f>IFERROR(MID(VLOOKUP($B79,Seqs!$A:$B,2,FALSE),AK79,1),"")</f>
        <v>S</v>
      </c>
      <c r="AK79" s="16">
        <v>206</v>
      </c>
      <c r="AL79" s="16" t="str">
        <f>IFERROR(MID(VLOOKUP($B79,Seqs!$A:$B,2,FALSE),AM79,1),"")</f>
        <v>V</v>
      </c>
      <c r="AM79" s="16">
        <v>243</v>
      </c>
      <c r="AN79" s="16" t="str">
        <f>IFERROR(MID(VLOOKUP($B79,Seqs!$A:$B,2,FALSE),AO79,1),"")</f>
        <v>K</v>
      </c>
      <c r="AO79" s="16">
        <v>250</v>
      </c>
      <c r="AP79" s="16" t="str">
        <f>IFERROR(MID(VLOOKUP($B79,Seqs!$A:$B,2,FALSE),AQ79,1),"")</f>
        <v>V</v>
      </c>
      <c r="AQ79" s="16">
        <v>287</v>
      </c>
      <c r="AR79" s="16" t="str">
        <f>IFERROR(MID(VLOOKUP($B79,Seqs!$A:$B,2,FALSE),AS79,1),"")</f>
        <v>D</v>
      </c>
      <c r="AS79" s="16">
        <v>293</v>
      </c>
      <c r="AT79" s="16" t="str">
        <f>IFERROR(MID(VLOOKUP($B79,Seqs!$A:$B,2,FALSE),AU79,1),"")</f>
        <v>L</v>
      </c>
      <c r="AU79" s="16">
        <v>321</v>
      </c>
      <c r="AV79" s="16" t="str">
        <f>IFERROR(MID(VLOOKUP($B79,Seqs!$A:$B,2,FALSE),AW79,1),"")</f>
        <v>D</v>
      </c>
      <c r="AW79" s="16">
        <v>322</v>
      </c>
      <c r="AX79" s="16" t="str">
        <f>IFERROR(MID(VLOOKUP($B79,Seqs!$A:$B,2,FALSE),AY79,1),"")</f>
        <v>K</v>
      </c>
      <c r="AY79" s="16">
        <v>335</v>
      </c>
      <c r="AZ79" s="116" t="str">
        <f>VLOOKUP(B79,Classification!A:D,2,FALSE)</f>
        <v>A</v>
      </c>
      <c r="BB79" s="121"/>
      <c r="BC79" s="115">
        <f t="shared" si="116"/>
        <v>269</v>
      </c>
      <c r="BD79" s="85" t="b">
        <f t="shared" si="117"/>
        <v>1</v>
      </c>
      <c r="BE79" s="117" t="s">
        <v>1514</v>
      </c>
      <c r="BF79" s="118" t="s">
        <v>1514</v>
      </c>
      <c r="BG79" s="118" t="s">
        <v>1514</v>
      </c>
      <c r="BH79" s="118" t="s">
        <v>1514</v>
      </c>
      <c r="BI79" s="118" t="s">
        <v>1514</v>
      </c>
      <c r="BJ79" s="118" t="s">
        <v>1514</v>
      </c>
      <c r="BK79" s="118" t="s">
        <v>1514</v>
      </c>
      <c r="BL79" s="118" t="s">
        <v>1514</v>
      </c>
      <c r="BM79" s="118" t="s">
        <v>1514</v>
      </c>
      <c r="BN79" s="118" t="s">
        <v>1514</v>
      </c>
      <c r="BO79" s="118" t="s">
        <v>1514</v>
      </c>
      <c r="BP79" s="118" t="s">
        <v>1514</v>
      </c>
      <c r="BQ79" s="117">
        <f t="shared" si="90"/>
        <v>39</v>
      </c>
      <c r="BR79" s="119">
        <f t="shared" si="91"/>
        <v>78</v>
      </c>
      <c r="BS79" s="120">
        <f t="shared" si="92"/>
        <v>82</v>
      </c>
      <c r="BT79" s="119">
        <f t="shared" si="93"/>
        <v>113</v>
      </c>
      <c r="BU79" s="120">
        <f t="shared" si="94"/>
        <v>117</v>
      </c>
      <c r="BV79" s="119">
        <f t="shared" si="95"/>
        <v>153</v>
      </c>
      <c r="BW79" s="120">
        <f t="shared" si="96"/>
        <v>162</v>
      </c>
      <c r="BX79" s="119">
        <f t="shared" si="97"/>
        <v>198</v>
      </c>
      <c r="BY79" s="120">
        <f t="shared" si="98"/>
        <v>206</v>
      </c>
      <c r="BZ79" s="119">
        <f t="shared" si="99"/>
        <v>250</v>
      </c>
      <c r="CA79" s="120">
        <f t="shared" si="100"/>
        <v>293</v>
      </c>
      <c r="CB79" s="119">
        <f t="shared" si="101"/>
        <v>322</v>
      </c>
      <c r="CC79" s="117">
        <f t="shared" si="102"/>
        <v>77</v>
      </c>
      <c r="CD79" s="119">
        <f t="shared" si="103"/>
        <v>81</v>
      </c>
      <c r="CE79" s="120">
        <f t="shared" si="104"/>
        <v>111</v>
      </c>
      <c r="CF79" s="120">
        <f t="shared" si="105"/>
        <v>116</v>
      </c>
      <c r="CG79" s="120">
        <f t="shared" si="106"/>
        <v>152</v>
      </c>
      <c r="CH79" s="120">
        <f t="shared" si="107"/>
        <v>160</v>
      </c>
      <c r="CI79" s="120">
        <f t="shared" si="108"/>
        <v>187</v>
      </c>
      <c r="CJ79" s="120">
        <f t="shared" si="109"/>
        <v>200</v>
      </c>
      <c r="CK79" s="120">
        <f t="shared" si="110"/>
        <v>243</v>
      </c>
      <c r="CL79" s="120">
        <f t="shared" si="111"/>
        <v>287</v>
      </c>
      <c r="CM79" s="120">
        <f t="shared" si="112"/>
        <v>321</v>
      </c>
      <c r="CN79" s="120">
        <f t="shared" si="113"/>
        <v>335</v>
      </c>
      <c r="CO79" s="115">
        <f t="shared" si="114"/>
        <v>1</v>
      </c>
    </row>
    <row r="80" spans="1:93" x14ac:dyDescent="0.2">
      <c r="A80" s="3" t="str">
        <f t="shared" si="115"/>
        <v>oprd_mouse__wt</v>
      </c>
      <c r="B80" s="3" t="s">
        <v>1112</v>
      </c>
      <c r="C80" s="3" t="s">
        <v>294</v>
      </c>
      <c r="D80" s="3" t="str">
        <f>IFERROR(MID(VLOOKUP($B80,Seqs!$A:$B,2,FALSE),E80,1),"")</f>
        <v>R</v>
      </c>
      <c r="E80" s="3">
        <v>41</v>
      </c>
      <c r="F80" s="3" t="str">
        <f>IFERROR(MID(VLOOKUP($B80,Seqs!$A:$B,2,FALSE),G80,1),"")</f>
        <v>Y</v>
      </c>
      <c r="G80" s="3">
        <v>77</v>
      </c>
      <c r="H80" s="3" t="str">
        <f>IFERROR(MID(VLOOKUP($B80,Seqs!$A:$B,2,FALSE),I80,1),"")</f>
        <v>T</v>
      </c>
      <c r="I80" s="57">
        <v>78</v>
      </c>
      <c r="J80" s="3" t="str">
        <f>IFERROR(MID(VLOOKUP($B80,Seqs!$A:$B,2,FALSE),K80,1),"")</f>
        <v>K</v>
      </c>
      <c r="K80" s="57">
        <v>81</v>
      </c>
      <c r="L80" s="3" t="str">
        <f>IFERROR(MID(VLOOKUP($B80,Seqs!$A:$B,2,FALSE),M80,1),"")</f>
        <v>T</v>
      </c>
      <c r="M80" s="3">
        <v>82</v>
      </c>
      <c r="N80" s="3" t="str">
        <f>IFERROR(MID(VLOOKUP($B80,Seqs!$A:$B,2,FALSE),O80,1),"")</f>
        <v>M</v>
      </c>
      <c r="O80" s="3">
        <v>111</v>
      </c>
      <c r="P80" s="3" t="str">
        <f>IFERROR(MID(VLOOKUP($B80,Seqs!$A:$B,2,FALSE),Q80,1),"")</f>
        <v>T</v>
      </c>
      <c r="Q80" s="3">
        <v>113</v>
      </c>
      <c r="R80" s="3" t="str">
        <f>IFERROR(MID(VLOOKUP($B80,Seqs!$A:$B,2,FALSE),S80,1),"")</f>
        <v>F</v>
      </c>
      <c r="S80" s="3">
        <v>116</v>
      </c>
      <c r="T80" s="3" t="str">
        <f>IFERROR(MID(VLOOKUP($B80,Seqs!$A:$B,2,FALSE),U80,1),"")</f>
        <v>G</v>
      </c>
      <c r="U80" s="3">
        <v>117</v>
      </c>
      <c r="V80" s="3" t="str">
        <f>IFERROR(MID(VLOOKUP($B80,Seqs!$A:$B,2,FALSE),W80,1),"")</f>
        <v>H</v>
      </c>
      <c r="W80" s="3">
        <v>152</v>
      </c>
      <c r="X80" s="3" t="str">
        <f>IFERROR(MID(VLOOKUP($B80,Seqs!$A:$B,2,FALSE),Y80,1),"")</f>
        <v>P</v>
      </c>
      <c r="Y80" s="3">
        <v>153</v>
      </c>
      <c r="Z80" s="3" t="str">
        <f>IFERROR(MID(VLOOKUP($B80,Seqs!$A:$B,2,FALSE),AA80,1),"")</f>
        <v>R</v>
      </c>
      <c r="AA80" s="3">
        <v>160</v>
      </c>
      <c r="AB80" s="3" t="str">
        <f>IFERROR(MID(VLOOKUP($B80,Seqs!$A:$B,2,FALSE),AC80,1),"")</f>
        <v>P</v>
      </c>
      <c r="AC80" s="3">
        <v>162</v>
      </c>
      <c r="AD80" s="3" t="str">
        <f>IFERROR(MID(VLOOKUP($B80,Seqs!$A:$B,2,FALSE),AE80,1),"")</f>
        <v>A</v>
      </c>
      <c r="AE80" s="3">
        <v>187</v>
      </c>
      <c r="AF80" s="3" t="str">
        <f>IFERROR(MID(VLOOKUP($B80,Seqs!$A:$B,2,FALSE),AG80,1),"")</f>
        <v>C</v>
      </c>
      <c r="AG80" s="3">
        <v>198</v>
      </c>
      <c r="AH80" s="3" t="str">
        <f>IFERROR(MID(VLOOKUP($B80,Seqs!$A:$B,2,FALSE),AI80,1),"")</f>
        <v>L</v>
      </c>
      <c r="AI80" s="3">
        <v>200</v>
      </c>
      <c r="AJ80" s="3" t="str">
        <f>IFERROR(MID(VLOOKUP($B80,Seqs!$A:$B,2,FALSE),AK80,1),"")</f>
        <v>S</v>
      </c>
      <c r="AK80" s="3">
        <v>206</v>
      </c>
      <c r="AL80" s="3" t="str">
        <f>IFERROR(MID(VLOOKUP($B80,Seqs!$A:$B,2,FALSE),AM80,1),"")</f>
        <v>V</v>
      </c>
      <c r="AM80" s="3">
        <v>243</v>
      </c>
      <c r="AN80" s="3" t="str">
        <f>IFERROR(MID(VLOOKUP($B80,Seqs!$A:$B,2,FALSE),AO80,1),"")</f>
        <v>S</v>
      </c>
      <c r="AO80" s="3">
        <v>249</v>
      </c>
      <c r="AP80" s="3" t="str">
        <f>IFERROR(MID(VLOOKUP($B80,Seqs!$A:$B,2,FALSE),AQ80,1),"")</f>
        <v>V</v>
      </c>
      <c r="AQ80" s="3">
        <v>287</v>
      </c>
      <c r="AR80" s="3" t="str">
        <f>IFERROR(MID(VLOOKUP($B80,Seqs!$A:$B,2,FALSE),AS80,1),"")</f>
        <v>D</v>
      </c>
      <c r="AS80" s="3">
        <v>293</v>
      </c>
      <c r="AT80" s="3" t="str">
        <f>IFERROR(MID(VLOOKUP($B80,Seqs!$A:$B,2,FALSE),AU80,1),"")</f>
        <v>L</v>
      </c>
      <c r="AU80" s="3">
        <v>321</v>
      </c>
      <c r="AV80" s="3" t="str">
        <f>IFERROR(MID(VLOOKUP($B80,Seqs!$A:$B,2,FALSE),AW80,1),"")</f>
        <v>D</v>
      </c>
      <c r="AW80" s="3">
        <v>322</v>
      </c>
      <c r="AX80" s="3" t="str">
        <f>IFERROR(MID(VLOOKUP($B80,Seqs!$A:$B,2,FALSE),AY80,1),"")</f>
        <v>T</v>
      </c>
      <c r="AY80" s="3">
        <v>335</v>
      </c>
      <c r="AZ80" s="83" t="str">
        <f>VLOOKUP(B80,Classification!A:D,2,FALSE)</f>
        <v>A</v>
      </c>
      <c r="BB80" s="82">
        <f>S80-Q80+1</f>
        <v>4</v>
      </c>
      <c r="BC80" s="57">
        <f t="shared" si="116"/>
        <v>268</v>
      </c>
      <c r="BD80" s="63" t="b">
        <f t="shared" si="117"/>
        <v>1</v>
      </c>
      <c r="BE80" s="68" t="s">
        <v>1514</v>
      </c>
      <c r="BF80" s="75" t="s">
        <v>1514</v>
      </c>
      <c r="BG80" s="75" t="s">
        <v>1514</v>
      </c>
      <c r="BH80" s="75" t="s">
        <v>1514</v>
      </c>
      <c r="BI80" s="75" t="s">
        <v>1514</v>
      </c>
      <c r="BJ80" s="75" t="s">
        <v>1514</v>
      </c>
      <c r="BK80" s="75" t="s">
        <v>1514</v>
      </c>
      <c r="BL80" s="75" t="s">
        <v>1514</v>
      </c>
      <c r="BM80" s="75" t="s">
        <v>1514</v>
      </c>
      <c r="BN80" s="75" t="s">
        <v>1514</v>
      </c>
      <c r="BO80" s="75" t="s">
        <v>1514</v>
      </c>
      <c r="BP80" s="75" t="s">
        <v>1514</v>
      </c>
      <c r="BQ80" s="68">
        <f t="shared" si="90"/>
        <v>41</v>
      </c>
      <c r="BR80" s="69">
        <f t="shared" si="91"/>
        <v>78</v>
      </c>
      <c r="BS80" s="70">
        <f t="shared" si="92"/>
        <v>82</v>
      </c>
      <c r="BT80" s="69">
        <f t="shared" si="93"/>
        <v>113</v>
      </c>
      <c r="BU80" s="70">
        <f t="shared" si="94"/>
        <v>117</v>
      </c>
      <c r="BV80" s="69">
        <f t="shared" si="95"/>
        <v>153</v>
      </c>
      <c r="BW80" s="70">
        <f t="shared" si="96"/>
        <v>162</v>
      </c>
      <c r="BX80" s="69">
        <f t="shared" si="97"/>
        <v>198</v>
      </c>
      <c r="BY80" s="70">
        <f t="shared" si="98"/>
        <v>206</v>
      </c>
      <c r="BZ80" s="69">
        <f t="shared" si="99"/>
        <v>249</v>
      </c>
      <c r="CA80" s="70">
        <f t="shared" si="100"/>
        <v>293</v>
      </c>
      <c r="CB80" s="69">
        <f t="shared" si="101"/>
        <v>322</v>
      </c>
      <c r="CC80" s="68">
        <f t="shared" si="102"/>
        <v>77</v>
      </c>
      <c r="CD80" s="69">
        <f t="shared" si="103"/>
        <v>81</v>
      </c>
      <c r="CE80" s="70">
        <f t="shared" si="104"/>
        <v>111</v>
      </c>
      <c r="CF80" s="70">
        <f t="shared" si="105"/>
        <v>116</v>
      </c>
      <c r="CG80" s="70">
        <f t="shared" si="106"/>
        <v>152</v>
      </c>
      <c r="CH80" s="70">
        <f t="shared" si="107"/>
        <v>160</v>
      </c>
      <c r="CI80" s="70">
        <f t="shared" si="108"/>
        <v>187</v>
      </c>
      <c r="CJ80" s="70">
        <f t="shared" si="109"/>
        <v>200</v>
      </c>
      <c r="CK80" s="70">
        <f t="shared" si="110"/>
        <v>243</v>
      </c>
      <c r="CL80" s="70">
        <f t="shared" si="111"/>
        <v>287</v>
      </c>
      <c r="CM80" s="70">
        <f t="shared" si="112"/>
        <v>321</v>
      </c>
      <c r="CN80" s="70">
        <f t="shared" si="113"/>
        <v>335</v>
      </c>
      <c r="CO80" s="57">
        <f t="shared" si="114"/>
        <v>1</v>
      </c>
    </row>
    <row r="81" spans="1:93" x14ac:dyDescent="0.2">
      <c r="A81" s="3" t="str">
        <f t="shared" si="115"/>
        <v>oprd_mouse_4EJ4</v>
      </c>
      <c r="B81" s="3" t="s">
        <v>1112</v>
      </c>
      <c r="C81" s="3" t="s">
        <v>255</v>
      </c>
      <c r="D81" s="3" t="str">
        <f>IFERROR(MID(VLOOKUP($B81,Seqs!$A:$B,2,FALSE),E81,1),"")</f>
        <v>R</v>
      </c>
      <c r="E81" s="3">
        <v>41</v>
      </c>
      <c r="F81" s="3" t="str">
        <f>IFERROR(MID(VLOOKUP($B81,Seqs!$A:$B,2,FALSE),G81,1),"")</f>
        <v>Y</v>
      </c>
      <c r="G81" s="3">
        <v>77</v>
      </c>
      <c r="H81" s="3" t="str">
        <f>IFERROR(MID(VLOOKUP($B81,Seqs!$A:$B,2,FALSE),I81,1),"")</f>
        <v>T</v>
      </c>
      <c r="I81" s="57">
        <v>78</v>
      </c>
      <c r="J81" s="3" t="str">
        <f>IFERROR(MID(VLOOKUP($B81,Seqs!$A:$B,2,FALSE),K81,1),"")</f>
        <v>K</v>
      </c>
      <c r="K81" s="57">
        <v>81</v>
      </c>
      <c r="L81" s="3" t="str">
        <f>IFERROR(MID(VLOOKUP($B81,Seqs!$A:$B,2,FALSE),M81,1),"")</f>
        <v>T</v>
      </c>
      <c r="M81" s="3">
        <v>82</v>
      </c>
      <c r="N81" s="3" t="str">
        <f>IFERROR(MID(VLOOKUP($B81,Seqs!$A:$B,2,FALSE),O81,1),"")</f>
        <v>M</v>
      </c>
      <c r="O81" s="3">
        <v>111</v>
      </c>
      <c r="P81" s="3" t="str">
        <f>IFERROR(MID(VLOOKUP($B81,Seqs!$A:$B,2,FALSE),Q81,1),"")</f>
        <v>T</v>
      </c>
      <c r="Q81" s="3">
        <v>113</v>
      </c>
      <c r="R81" s="3" t="str">
        <f>IFERROR(MID(VLOOKUP($B81,Seqs!$A:$B,2,FALSE),S81,1),"")</f>
        <v>F</v>
      </c>
      <c r="S81" s="3">
        <v>116</v>
      </c>
      <c r="T81" s="3" t="str">
        <f>IFERROR(MID(VLOOKUP($B81,Seqs!$A:$B,2,FALSE),U81,1),"")</f>
        <v>G</v>
      </c>
      <c r="U81" s="3">
        <v>117</v>
      </c>
      <c r="V81" s="3" t="str">
        <f>IFERROR(MID(VLOOKUP($B81,Seqs!$A:$B,2,FALSE),W81,1),"")</f>
        <v>H</v>
      </c>
      <c r="W81" s="3">
        <v>152</v>
      </c>
      <c r="X81" s="3" t="str">
        <f>IFERROR(MID(VLOOKUP($B81,Seqs!$A:$B,2,FALSE),Y81,1),"")</f>
        <v>P</v>
      </c>
      <c r="Y81" s="3">
        <v>153</v>
      </c>
      <c r="Z81" s="3" t="str">
        <f>IFERROR(MID(VLOOKUP($B81,Seqs!$A:$B,2,FALSE),AA81,1),"")</f>
        <v>R</v>
      </c>
      <c r="AA81" s="3">
        <v>160</v>
      </c>
      <c r="AB81" s="3" t="str">
        <f>IFERROR(MID(VLOOKUP($B81,Seqs!$A:$B,2,FALSE),AC81,1),"")</f>
        <v>P</v>
      </c>
      <c r="AC81" s="3">
        <v>162</v>
      </c>
      <c r="AD81" s="3" t="str">
        <f>IFERROR(MID(VLOOKUP($B81,Seqs!$A:$B,2,FALSE),AE81,1),"")</f>
        <v>A</v>
      </c>
      <c r="AE81" s="3">
        <v>187</v>
      </c>
      <c r="AF81" s="3" t="str">
        <f>IFERROR(MID(VLOOKUP($B81,Seqs!$A:$B,2,FALSE),AG81,1),"")</f>
        <v>C</v>
      </c>
      <c r="AG81" s="3">
        <v>198</v>
      </c>
      <c r="AH81" s="3" t="str">
        <f>IFERROR(MID(VLOOKUP($B81,Seqs!$A:$B,2,FALSE),AI81,1),"")</f>
        <v>L</v>
      </c>
      <c r="AI81" s="3">
        <v>200</v>
      </c>
      <c r="AJ81" s="3" t="str">
        <f>IFERROR(MID(VLOOKUP($B81,Seqs!$A:$B,2,FALSE),AK81,1),"")</f>
        <v>S</v>
      </c>
      <c r="AK81" s="3">
        <v>206</v>
      </c>
      <c r="AL81" s="3" t="str">
        <f>IFERROR(MID(VLOOKUP($B81,Seqs!$A:$B,2,FALSE),AM81,1),"")</f>
        <v>L</v>
      </c>
      <c r="AM81" s="3">
        <v>238</v>
      </c>
      <c r="AN81" s="3" t="str">
        <f>IFERROR(MID(VLOOKUP($B81,Seqs!$A:$B,2,FALSE),AO81,1),"")</f>
        <v>R</v>
      </c>
      <c r="AO81" s="3">
        <v>258</v>
      </c>
      <c r="AP81" s="3" t="str">
        <f>IFERROR(MID(VLOOKUP($B81,Seqs!$A:$B,2,FALSE),AQ81,1),"")</f>
        <v>V</v>
      </c>
      <c r="AQ81" s="3">
        <v>287</v>
      </c>
      <c r="AR81" s="3" t="str">
        <f>IFERROR(MID(VLOOKUP($B81,Seqs!$A:$B,2,FALSE),AS81,1),"")</f>
        <v>D</v>
      </c>
      <c r="AS81" s="3">
        <v>293</v>
      </c>
      <c r="AT81" s="3" t="str">
        <f>IFERROR(MID(VLOOKUP($B81,Seqs!$A:$B,2,FALSE),AU81,1),"")</f>
        <v>L</v>
      </c>
      <c r="AU81" s="3">
        <v>321</v>
      </c>
      <c r="AV81" s="3" t="str">
        <f>IFERROR(MID(VLOOKUP($B81,Seqs!$A:$B,2,FALSE),AW81,1),"")</f>
        <v>D</v>
      </c>
      <c r="AW81" s="3">
        <v>322</v>
      </c>
      <c r="AX81" s="3" t="str">
        <f>IFERROR(MID(VLOOKUP($B81,Seqs!$A:$B,2,FALSE),AY81,1),"")</f>
        <v>C</v>
      </c>
      <c r="AY81" s="3">
        <v>328</v>
      </c>
      <c r="AZ81" s="83" t="str">
        <f>VLOOKUP(B81,Classification!A:D,2,FALSE)</f>
        <v>A</v>
      </c>
      <c r="BC81" s="57">
        <f t="shared" si="116"/>
        <v>247</v>
      </c>
      <c r="BD81" s="63" t="b">
        <f t="shared" si="117"/>
        <v>1</v>
      </c>
      <c r="BE81" s="68" t="s">
        <v>1514</v>
      </c>
      <c r="BF81" s="75" t="s">
        <v>1514</v>
      </c>
      <c r="BG81" s="75" t="s">
        <v>1514</v>
      </c>
      <c r="BH81" s="75" t="s">
        <v>1514</v>
      </c>
      <c r="BI81" s="75" t="s">
        <v>1514</v>
      </c>
      <c r="BJ81" s="75" t="s">
        <v>1514</v>
      </c>
      <c r="BK81" s="75" t="s">
        <v>1514</v>
      </c>
      <c r="BL81" s="75" t="s">
        <v>1514</v>
      </c>
      <c r="BM81" s="75" t="s">
        <v>1514</v>
      </c>
      <c r="BN81" s="75" t="s">
        <v>1514</v>
      </c>
      <c r="BO81" s="75" t="s">
        <v>1514</v>
      </c>
      <c r="BP81" s="75" t="s">
        <v>1514</v>
      </c>
      <c r="BQ81" s="68">
        <f t="shared" si="90"/>
        <v>41</v>
      </c>
      <c r="BR81" s="69">
        <f t="shared" si="91"/>
        <v>78</v>
      </c>
      <c r="BS81" s="70">
        <f t="shared" si="92"/>
        <v>82</v>
      </c>
      <c r="BT81" s="69">
        <f t="shared" si="93"/>
        <v>113</v>
      </c>
      <c r="BU81" s="70">
        <f t="shared" si="94"/>
        <v>117</v>
      </c>
      <c r="BV81" s="69">
        <f t="shared" si="95"/>
        <v>153</v>
      </c>
      <c r="BW81" s="70">
        <f t="shared" si="96"/>
        <v>162</v>
      </c>
      <c r="BX81" s="69">
        <f t="shared" si="97"/>
        <v>198</v>
      </c>
      <c r="BY81" s="70">
        <f t="shared" si="98"/>
        <v>206</v>
      </c>
      <c r="BZ81" s="69">
        <f t="shared" si="99"/>
        <v>258</v>
      </c>
      <c r="CA81" s="70">
        <f t="shared" si="100"/>
        <v>293</v>
      </c>
      <c r="CB81" s="69">
        <f t="shared" si="101"/>
        <v>322</v>
      </c>
      <c r="CC81" s="68">
        <f t="shared" si="102"/>
        <v>77</v>
      </c>
      <c r="CD81" s="69">
        <f t="shared" si="103"/>
        <v>81</v>
      </c>
      <c r="CE81" s="70">
        <f t="shared" si="104"/>
        <v>111</v>
      </c>
      <c r="CF81" s="70">
        <f t="shared" si="105"/>
        <v>116</v>
      </c>
      <c r="CG81" s="70">
        <f t="shared" si="106"/>
        <v>152</v>
      </c>
      <c r="CH81" s="70">
        <f t="shared" si="107"/>
        <v>160</v>
      </c>
      <c r="CI81" s="70">
        <f t="shared" si="108"/>
        <v>187</v>
      </c>
      <c r="CJ81" s="70">
        <f t="shared" si="109"/>
        <v>200</v>
      </c>
      <c r="CK81" s="70">
        <f t="shared" si="110"/>
        <v>238</v>
      </c>
      <c r="CL81" s="70">
        <f t="shared" si="111"/>
        <v>287</v>
      </c>
      <c r="CM81" s="70">
        <f t="shared" si="112"/>
        <v>321</v>
      </c>
      <c r="CN81" s="70">
        <f t="shared" si="113"/>
        <v>328</v>
      </c>
      <c r="CO81" s="57">
        <f t="shared" si="114"/>
        <v>1</v>
      </c>
    </row>
    <row r="82" spans="1:93" x14ac:dyDescent="0.2">
      <c r="A82" s="3" t="str">
        <f t="shared" si="115"/>
        <v>oprk_human__wt</v>
      </c>
      <c r="B82" s="3" t="s">
        <v>530</v>
      </c>
      <c r="C82" s="3" t="s">
        <v>294</v>
      </c>
      <c r="D82" s="3" t="str">
        <f>IFERROR(MID(VLOOKUP($B82,Seqs!$A:$B,2,FALSE),E82,1),"")</f>
        <v>A</v>
      </c>
      <c r="E82" s="3">
        <v>57</v>
      </c>
      <c r="F82" s="3" t="str">
        <f>IFERROR(MID(VLOOKUP($B82,Seqs!$A:$B,2,FALSE),G82,1),"")</f>
        <v>Y</v>
      </c>
      <c r="G82" s="3">
        <v>87</v>
      </c>
      <c r="H82" s="3" t="str">
        <f>IFERROR(MID(VLOOKUP($B82,Seqs!$A:$B,2,FALSE),I82,1),"")</f>
        <v>T</v>
      </c>
      <c r="I82" s="57">
        <v>88</v>
      </c>
      <c r="J82" s="3" t="str">
        <f>IFERROR(MID(VLOOKUP($B82,Seqs!$A:$B,2,FALSE),K82,1),"")</f>
        <v>K</v>
      </c>
      <c r="K82" s="57">
        <v>91</v>
      </c>
      <c r="L82" s="3" t="str">
        <f>IFERROR(MID(VLOOKUP($B82,Seqs!$A:$B,2,FALSE),M82,1),"")</f>
        <v>T</v>
      </c>
      <c r="M82" s="3">
        <v>92</v>
      </c>
      <c r="N82" s="3" t="str">
        <f>IFERROR(MID(VLOOKUP($B82,Seqs!$A:$B,2,FALSE),O82,1),"")</f>
        <v>M</v>
      </c>
      <c r="O82" s="3">
        <v>121</v>
      </c>
      <c r="P82" s="3" t="str">
        <f>IFERROR(MID(VLOOKUP($B82,Seqs!$A:$B,2,FALSE),Q82,1),"")</f>
        <v>S</v>
      </c>
      <c r="Q82" s="3">
        <v>123</v>
      </c>
      <c r="R82" s="3" t="str">
        <f>IFERROR(MID(VLOOKUP($B82,Seqs!$A:$B,2,FALSE),S82,1),"")</f>
        <v>F</v>
      </c>
      <c r="S82" s="3">
        <v>126</v>
      </c>
      <c r="T82" s="3" t="str">
        <f>IFERROR(MID(VLOOKUP($B82,Seqs!$A:$B,2,FALSE),U82,1),"")</f>
        <v>G</v>
      </c>
      <c r="U82" s="3">
        <v>127</v>
      </c>
      <c r="V82" s="3" t="str">
        <f>IFERROR(MID(VLOOKUP($B82,Seqs!$A:$B,2,FALSE),W82,1),"")</f>
        <v>H</v>
      </c>
      <c r="W82" s="3">
        <v>162</v>
      </c>
      <c r="X82" s="3" t="str">
        <f>IFERROR(MID(VLOOKUP($B82,Seqs!$A:$B,2,FALSE),Y82,1),"")</f>
        <v>P</v>
      </c>
      <c r="Y82" s="3">
        <v>163</v>
      </c>
      <c r="Z82" s="3" t="str">
        <f>IFERROR(MID(VLOOKUP($B82,Seqs!$A:$B,2,FALSE),AA82,1),"")</f>
        <v>R</v>
      </c>
      <c r="AA82" s="3">
        <v>170</v>
      </c>
      <c r="AB82" s="3" t="str">
        <f>IFERROR(MID(VLOOKUP($B82,Seqs!$A:$B,2,FALSE),AC82,1),"")</f>
        <v>P</v>
      </c>
      <c r="AC82" s="3">
        <v>172</v>
      </c>
      <c r="AD82" s="3" t="str">
        <f>IFERROR(MID(VLOOKUP($B82,Seqs!$A:$B,2,FALSE),AE82,1),"")</f>
        <v>G</v>
      </c>
      <c r="AE82" s="3">
        <v>197</v>
      </c>
      <c r="AF82" s="3" t="str">
        <f>IFERROR(MID(VLOOKUP($B82,Seqs!$A:$B,2,FALSE),AG82,1),"")</f>
        <v>C</v>
      </c>
      <c r="AG82" s="3">
        <v>210</v>
      </c>
      <c r="AH82" s="3" t="str">
        <f>IFERROR(MID(VLOOKUP($B82,Seqs!$A:$B,2,FALSE),AI82,1),"")</f>
        <v>L</v>
      </c>
      <c r="AI82" s="3">
        <v>212</v>
      </c>
      <c r="AJ82" s="3" t="str">
        <f>IFERROR(MID(VLOOKUP($B82,Seqs!$A:$B,2,FALSE),AK82,1),"")</f>
        <v>Y</v>
      </c>
      <c r="AK82" s="3">
        <v>219</v>
      </c>
      <c r="AL82" s="3" t="str">
        <f>IFERROR(MID(VLOOKUP($B82,Seqs!$A:$B,2,FALSE),AM82,1),"")</f>
        <v>V</v>
      </c>
      <c r="AM82" s="3">
        <v>256</v>
      </c>
      <c r="AN82" s="3" t="str">
        <f>IFERROR(MID(VLOOKUP($B82,Seqs!$A:$B,2,FALSE),AO82,1),"")</f>
        <v>S</v>
      </c>
      <c r="AO82" s="3">
        <v>262</v>
      </c>
      <c r="AP82" s="3" t="str">
        <f>IFERROR(MID(VLOOKUP($B82,Seqs!$A:$B,2,FALSE),AQ82,1),"")</f>
        <v>G</v>
      </c>
      <c r="AQ82" s="3">
        <v>300</v>
      </c>
      <c r="AR82" s="3" t="str">
        <f>IFERROR(MID(VLOOKUP($B82,Seqs!$A:$B,2,FALSE),AS82,1),"")</f>
        <v>S</v>
      </c>
      <c r="AS82" s="3">
        <v>305</v>
      </c>
      <c r="AT82" s="3" t="str">
        <f>IFERROR(MID(VLOOKUP($B82,Seqs!$A:$B,2,FALSE),AU82,1),"")</f>
        <v>L</v>
      </c>
      <c r="AU82" s="3">
        <v>333</v>
      </c>
      <c r="AV82" s="3" t="str">
        <f>IFERROR(MID(VLOOKUP($B82,Seqs!$A:$B,2,FALSE),AW82,1),"")</f>
        <v>D</v>
      </c>
      <c r="AW82" s="3">
        <v>334</v>
      </c>
      <c r="AX82" s="3" t="str">
        <f>IFERROR(MID(VLOOKUP($B82,Seqs!$A:$B,2,FALSE),AY82,1),"")</f>
        <v>F</v>
      </c>
      <c r="AY82" s="3">
        <v>346</v>
      </c>
      <c r="AZ82" s="83" t="str">
        <f>VLOOKUP(B82,Classification!A:D,2,FALSE)</f>
        <v>A</v>
      </c>
      <c r="BB82" s="82">
        <f>S82-Q82+1</f>
        <v>4</v>
      </c>
      <c r="BC82" s="57">
        <f t="shared" si="116"/>
        <v>261</v>
      </c>
      <c r="BD82" s="63" t="b">
        <f t="shared" si="117"/>
        <v>1</v>
      </c>
      <c r="BE82" s="68" t="s">
        <v>1514</v>
      </c>
      <c r="BF82" s="75" t="s">
        <v>1514</v>
      </c>
      <c r="BG82" s="75" t="s">
        <v>1514</v>
      </c>
      <c r="BH82" s="75" t="s">
        <v>1514</v>
      </c>
      <c r="BI82" s="75" t="s">
        <v>1514</v>
      </c>
      <c r="BJ82" s="75" t="s">
        <v>1514</v>
      </c>
      <c r="BK82" s="75" t="s">
        <v>1514</v>
      </c>
      <c r="BL82" s="75" t="s">
        <v>1514</v>
      </c>
      <c r="BM82" s="75" t="s">
        <v>1514</v>
      </c>
      <c r="BN82" s="75" t="s">
        <v>1514</v>
      </c>
      <c r="BO82" s="75" t="s">
        <v>1514</v>
      </c>
      <c r="BP82" s="75" t="s">
        <v>1514</v>
      </c>
      <c r="BQ82" s="68">
        <f t="shared" si="90"/>
        <v>57</v>
      </c>
      <c r="BR82" s="69">
        <f t="shared" si="91"/>
        <v>88</v>
      </c>
      <c r="BS82" s="70">
        <f t="shared" si="92"/>
        <v>92</v>
      </c>
      <c r="BT82" s="69">
        <f t="shared" si="93"/>
        <v>123</v>
      </c>
      <c r="BU82" s="70">
        <f t="shared" si="94"/>
        <v>127</v>
      </c>
      <c r="BV82" s="69">
        <f t="shared" si="95"/>
        <v>163</v>
      </c>
      <c r="BW82" s="70">
        <f t="shared" si="96"/>
        <v>172</v>
      </c>
      <c r="BX82" s="69">
        <f t="shared" si="97"/>
        <v>210</v>
      </c>
      <c r="BY82" s="70">
        <f t="shared" si="98"/>
        <v>219</v>
      </c>
      <c r="BZ82" s="69">
        <f t="shared" si="99"/>
        <v>262</v>
      </c>
      <c r="CA82" s="70">
        <f t="shared" si="100"/>
        <v>305</v>
      </c>
      <c r="CB82" s="69">
        <f t="shared" si="101"/>
        <v>334</v>
      </c>
      <c r="CC82" s="68">
        <f t="shared" si="102"/>
        <v>87</v>
      </c>
      <c r="CD82" s="69">
        <f t="shared" si="103"/>
        <v>91</v>
      </c>
      <c r="CE82" s="70">
        <f t="shared" si="104"/>
        <v>121</v>
      </c>
      <c r="CF82" s="70">
        <f t="shared" si="105"/>
        <v>126</v>
      </c>
      <c r="CG82" s="70">
        <f t="shared" si="106"/>
        <v>162</v>
      </c>
      <c r="CH82" s="70">
        <f t="shared" si="107"/>
        <v>170</v>
      </c>
      <c r="CI82" s="70">
        <f t="shared" si="108"/>
        <v>197</v>
      </c>
      <c r="CJ82" s="70">
        <f t="shared" si="109"/>
        <v>212</v>
      </c>
      <c r="CK82" s="70">
        <f t="shared" si="110"/>
        <v>256</v>
      </c>
      <c r="CL82" s="70">
        <f t="shared" si="111"/>
        <v>300</v>
      </c>
      <c r="CM82" s="70">
        <f t="shared" si="112"/>
        <v>333</v>
      </c>
      <c r="CN82" s="70">
        <f t="shared" si="113"/>
        <v>346</v>
      </c>
      <c r="CO82" s="57">
        <f t="shared" si="114"/>
        <v>1</v>
      </c>
    </row>
    <row r="83" spans="1:93" x14ac:dyDescent="0.2">
      <c r="A83" s="3" t="str">
        <f t="shared" si="115"/>
        <v>oprk_human_4DJH</v>
      </c>
      <c r="B83" s="3" t="s">
        <v>530</v>
      </c>
      <c r="C83" s="3" t="s">
        <v>280</v>
      </c>
      <c r="D83" s="3" t="str">
        <f>IFERROR(MID(VLOOKUP($B83,Seqs!$A:$B,2,FALSE),E83,1),"")</f>
        <v>A</v>
      </c>
      <c r="E83" s="3">
        <v>57</v>
      </c>
      <c r="F83" s="3" t="str">
        <f>IFERROR(MID(VLOOKUP($B83,Seqs!$A:$B,2,FALSE),G83,1),"")</f>
        <v>Y</v>
      </c>
      <c r="G83" s="3">
        <v>87</v>
      </c>
      <c r="H83" s="3" t="str">
        <f>IFERROR(MID(VLOOKUP($B83,Seqs!$A:$B,2,FALSE),I83,1),"")</f>
        <v>T</v>
      </c>
      <c r="I83" s="57">
        <v>88</v>
      </c>
      <c r="J83" s="3" t="str">
        <f>IFERROR(MID(VLOOKUP($B83,Seqs!$A:$B,2,FALSE),K83,1),"")</f>
        <v>K</v>
      </c>
      <c r="K83" s="57">
        <v>91</v>
      </c>
      <c r="L83" s="3" t="str">
        <f>IFERROR(MID(VLOOKUP($B83,Seqs!$A:$B,2,FALSE),M83,1),"")</f>
        <v>T</v>
      </c>
      <c r="M83" s="3">
        <v>92</v>
      </c>
      <c r="N83" s="3" t="str">
        <f>IFERROR(MID(VLOOKUP($B83,Seqs!$A:$B,2,FALSE),O83,1),"")</f>
        <v>M</v>
      </c>
      <c r="O83" s="3">
        <v>121</v>
      </c>
      <c r="P83" s="3" t="str">
        <f>IFERROR(MID(VLOOKUP($B83,Seqs!$A:$B,2,FALSE),Q83,1),"")</f>
        <v>S</v>
      </c>
      <c r="Q83" s="3">
        <v>123</v>
      </c>
      <c r="R83" s="3" t="str">
        <f>IFERROR(MID(VLOOKUP($B83,Seqs!$A:$B,2,FALSE),S83,1),"")</f>
        <v>F</v>
      </c>
      <c r="S83" s="3">
        <v>126</v>
      </c>
      <c r="T83" s="3" t="str">
        <f>IFERROR(MID(VLOOKUP($B83,Seqs!$A:$B,2,FALSE),U83,1),"")</f>
        <v>G</v>
      </c>
      <c r="U83" s="3">
        <v>127</v>
      </c>
      <c r="V83" s="3" t="str">
        <f>IFERROR(MID(VLOOKUP($B83,Seqs!$A:$B,2,FALSE),W83,1),"")</f>
        <v>H</v>
      </c>
      <c r="W83" s="3">
        <v>162</v>
      </c>
      <c r="X83" s="3" t="str">
        <f>IFERROR(MID(VLOOKUP($B83,Seqs!$A:$B,2,FALSE),Y83,1),"")</f>
        <v>P</v>
      </c>
      <c r="Y83" s="3">
        <v>163</v>
      </c>
      <c r="Z83" s="3" t="str">
        <f>IFERROR(MID(VLOOKUP($B83,Seqs!$A:$B,2,FALSE),AA83,1),"")</f>
        <v>L</v>
      </c>
      <c r="AA83" s="3">
        <v>167</v>
      </c>
      <c r="AB83" s="3" t="str">
        <f>IFERROR(MID(VLOOKUP($B83,Seqs!$A:$B,2,FALSE),AC83,1),"")</f>
        <v>R</v>
      </c>
      <c r="AC83" s="3">
        <v>170</v>
      </c>
      <c r="AD83" s="3" t="str">
        <f>IFERROR(MID(VLOOKUP($B83,Seqs!$A:$B,2,FALSE),AE83,1),"")</f>
        <v>G</v>
      </c>
      <c r="AE83" s="3">
        <v>197</v>
      </c>
      <c r="AF83" s="3" t="str">
        <f>IFERROR(MID(VLOOKUP($B83,Seqs!$A:$B,2,FALSE),AG83,1),"")</f>
        <v>C</v>
      </c>
      <c r="AG83" s="3">
        <v>210</v>
      </c>
      <c r="AH83" s="3" t="str">
        <f>IFERROR(MID(VLOOKUP($B83,Seqs!$A:$B,2,FALSE),AI83,1),"")</f>
        <v>L</v>
      </c>
      <c r="AI83" s="3">
        <v>212</v>
      </c>
      <c r="AJ83" s="3" t="str">
        <f>IFERROR(MID(VLOOKUP($B83,Seqs!$A:$B,2,FALSE),AK83,1),"")</f>
        <v>Y</v>
      </c>
      <c r="AK83" s="3">
        <v>219</v>
      </c>
      <c r="AL83" s="3" t="str">
        <f>IFERROR(MID(VLOOKUP($B83,Seqs!$A:$B,2,FALSE),AM83,1),"")</f>
        <v>V</v>
      </c>
      <c r="AM83" s="3">
        <v>256</v>
      </c>
      <c r="AN83" s="3" t="str">
        <f>IFERROR(MID(VLOOKUP($B83,Seqs!$A:$B,2,FALSE),AO83,1),"")</f>
        <v>R</v>
      </c>
      <c r="AO83" s="3">
        <v>267</v>
      </c>
      <c r="AP83" s="3" t="str">
        <f>IFERROR(MID(VLOOKUP($B83,Seqs!$A:$B,2,FALSE),AQ83,1),"")</f>
        <v>G</v>
      </c>
      <c r="AQ83" s="3">
        <v>300</v>
      </c>
      <c r="AR83" s="3" t="str">
        <f>IFERROR(MID(VLOOKUP($B83,Seqs!$A:$B,2,FALSE),AS83,1),"")</f>
        <v>A</v>
      </c>
      <c r="AS83" s="3">
        <v>308</v>
      </c>
      <c r="AT83" s="3" t="str">
        <f>IFERROR(MID(VLOOKUP($B83,Seqs!$A:$B,2,FALSE),AU83,1),"")</f>
        <v>L</v>
      </c>
      <c r="AU83" s="3">
        <v>333</v>
      </c>
      <c r="AV83" s="3" t="str">
        <f>IFERROR(MID(VLOOKUP($B83,Seqs!$A:$B,2,FALSE),AW83,1),"")</f>
        <v>D</v>
      </c>
      <c r="AW83" s="3">
        <v>334</v>
      </c>
      <c r="AX83" s="3" t="str">
        <f>IFERROR(MID(VLOOKUP($B83,Seqs!$A:$B,2,FALSE),AY83,1),"")</f>
        <v>F</v>
      </c>
      <c r="AY83" s="3">
        <v>346</v>
      </c>
      <c r="AZ83" s="83" t="str">
        <f>VLOOKUP(B83,Classification!A:D,2,FALSE)</f>
        <v>A</v>
      </c>
      <c r="BC83" s="57">
        <f t="shared" si="116"/>
        <v>252</v>
      </c>
      <c r="BD83" s="63" t="b">
        <f t="shared" si="117"/>
        <v>1</v>
      </c>
      <c r="BE83" s="68" t="s">
        <v>1514</v>
      </c>
      <c r="BF83" s="75" t="s">
        <v>1514</v>
      </c>
      <c r="BG83" s="75" t="s">
        <v>1514</v>
      </c>
      <c r="BH83" s="75" t="s">
        <v>1514</v>
      </c>
      <c r="BI83" s="75" t="s">
        <v>1514</v>
      </c>
      <c r="BJ83" s="75" t="s">
        <v>1514</v>
      </c>
      <c r="BK83" s="75" t="s">
        <v>1514</v>
      </c>
      <c r="BL83" s="75" t="s">
        <v>1514</v>
      </c>
      <c r="BM83" s="75" t="s">
        <v>1514</v>
      </c>
      <c r="BN83" s="75" t="s">
        <v>1514</v>
      </c>
      <c r="BO83" s="75" t="s">
        <v>1514</v>
      </c>
      <c r="BP83" s="75" t="s">
        <v>1514</v>
      </c>
      <c r="BQ83" s="68">
        <f t="shared" si="90"/>
        <v>57</v>
      </c>
      <c r="BR83" s="69">
        <f t="shared" si="91"/>
        <v>88</v>
      </c>
      <c r="BS83" s="70">
        <f t="shared" si="92"/>
        <v>92</v>
      </c>
      <c r="BT83" s="69">
        <f t="shared" si="93"/>
        <v>123</v>
      </c>
      <c r="BU83" s="70">
        <f t="shared" si="94"/>
        <v>127</v>
      </c>
      <c r="BV83" s="69">
        <f t="shared" si="95"/>
        <v>163</v>
      </c>
      <c r="BW83" s="70">
        <f t="shared" si="96"/>
        <v>170</v>
      </c>
      <c r="BX83" s="69">
        <f t="shared" si="97"/>
        <v>210</v>
      </c>
      <c r="BY83" s="70">
        <f t="shared" si="98"/>
        <v>219</v>
      </c>
      <c r="BZ83" s="69">
        <f t="shared" si="99"/>
        <v>267</v>
      </c>
      <c r="CA83" s="70">
        <f t="shared" si="100"/>
        <v>308</v>
      </c>
      <c r="CB83" s="69">
        <f t="shared" si="101"/>
        <v>334</v>
      </c>
      <c r="CC83" s="68">
        <f t="shared" si="102"/>
        <v>87</v>
      </c>
      <c r="CD83" s="69">
        <f t="shared" si="103"/>
        <v>91</v>
      </c>
      <c r="CE83" s="70">
        <f t="shared" si="104"/>
        <v>121</v>
      </c>
      <c r="CF83" s="70">
        <f t="shared" si="105"/>
        <v>126</v>
      </c>
      <c r="CG83" s="70">
        <f t="shared" si="106"/>
        <v>162</v>
      </c>
      <c r="CH83" s="70">
        <f t="shared" si="107"/>
        <v>167</v>
      </c>
      <c r="CI83" s="70">
        <f t="shared" si="108"/>
        <v>197</v>
      </c>
      <c r="CJ83" s="70">
        <f t="shared" si="109"/>
        <v>212</v>
      </c>
      <c r="CK83" s="70">
        <f t="shared" si="110"/>
        <v>256</v>
      </c>
      <c r="CL83" s="70">
        <f t="shared" si="111"/>
        <v>300</v>
      </c>
      <c r="CM83" s="70">
        <f t="shared" si="112"/>
        <v>333</v>
      </c>
      <c r="CN83" s="70">
        <f t="shared" si="113"/>
        <v>346</v>
      </c>
      <c r="CO83" s="57">
        <f t="shared" si="114"/>
        <v>1</v>
      </c>
    </row>
    <row r="84" spans="1:93" x14ac:dyDescent="0.2">
      <c r="A84" s="3" t="str">
        <f t="shared" si="115"/>
        <v>oprm_mouse__wt</v>
      </c>
      <c r="B84" s="3" t="s">
        <v>1114</v>
      </c>
      <c r="C84" s="3" t="s">
        <v>294</v>
      </c>
      <c r="D84" s="3" t="str">
        <f>IFERROR(MID(VLOOKUP($B84,Seqs!$A:$B,2,FALSE),E84,1),"")</f>
        <v>M</v>
      </c>
      <c r="E84" s="3">
        <v>65</v>
      </c>
      <c r="F84" s="3" t="str">
        <f>IFERROR(MID(VLOOKUP($B84,Seqs!$A:$B,2,FALSE),G84,1),"")</f>
        <v>Y</v>
      </c>
      <c r="G84" s="3">
        <v>96</v>
      </c>
      <c r="H84" s="3" t="str">
        <f>IFERROR(MID(VLOOKUP($B84,Seqs!$A:$B,2,FALSE),I84,1),"")</f>
        <v>T</v>
      </c>
      <c r="I84" s="57">
        <v>97</v>
      </c>
      <c r="J84" s="3" t="str">
        <f>IFERROR(MID(VLOOKUP($B84,Seqs!$A:$B,2,FALSE),K84,1),"")</f>
        <v>K</v>
      </c>
      <c r="K84" s="57">
        <v>100</v>
      </c>
      <c r="L84" s="3" t="str">
        <f>IFERROR(MID(VLOOKUP($B84,Seqs!$A:$B,2,FALSE),M84,1),"")</f>
        <v>T</v>
      </c>
      <c r="M84" s="3">
        <v>101</v>
      </c>
      <c r="N84" s="3" t="str">
        <f>IFERROR(MID(VLOOKUP($B84,Seqs!$A:$B,2,FALSE),O84,1),"")</f>
        <v>M</v>
      </c>
      <c r="O84" s="3">
        <v>130</v>
      </c>
      <c r="P84" s="3" t="str">
        <f>IFERROR(MID(VLOOKUP($B84,Seqs!$A:$B,2,FALSE),Q84,1),"")</f>
        <v>T</v>
      </c>
      <c r="Q84" s="3">
        <v>132</v>
      </c>
      <c r="R84" s="3" t="str">
        <f>IFERROR(MID(VLOOKUP($B84,Seqs!$A:$B,2,FALSE),S84,1),"")</f>
        <v>F</v>
      </c>
      <c r="S84" s="3">
        <v>135</v>
      </c>
      <c r="T84" s="3" t="str">
        <f>IFERROR(MID(VLOOKUP($B84,Seqs!$A:$B,2,FALSE),U84,1),"")</f>
        <v>G</v>
      </c>
      <c r="U84" s="3">
        <v>136</v>
      </c>
      <c r="V84" s="3" t="str">
        <f>IFERROR(MID(VLOOKUP($B84,Seqs!$A:$B,2,FALSE),W84,1),"")</f>
        <v>H</v>
      </c>
      <c r="W84" s="3">
        <v>171</v>
      </c>
      <c r="X84" s="3" t="str">
        <f>IFERROR(MID(VLOOKUP($B84,Seqs!$A:$B,2,FALSE),Y84,1),"")</f>
        <v>P</v>
      </c>
      <c r="Y84" s="3">
        <v>172</v>
      </c>
      <c r="Z84" s="3" t="str">
        <f>IFERROR(MID(VLOOKUP($B84,Seqs!$A:$B,2,FALSE),AA84,1),"")</f>
        <v>R</v>
      </c>
      <c r="AA84" s="3">
        <v>179</v>
      </c>
      <c r="AB84" s="3" t="str">
        <f>IFERROR(MID(VLOOKUP($B84,Seqs!$A:$B,2,FALSE),AC84,1),"")</f>
        <v>P</v>
      </c>
      <c r="AC84" s="3">
        <v>181</v>
      </c>
      <c r="AD84" s="3" t="str">
        <f>IFERROR(MID(VLOOKUP($B84,Seqs!$A:$B,2,FALSE),AE84,1),"")</f>
        <v>A</v>
      </c>
      <c r="AE84" s="3">
        <v>206</v>
      </c>
      <c r="AF84" s="3" t="str">
        <f>IFERROR(MID(VLOOKUP($B84,Seqs!$A:$B,2,FALSE),AG84,1),"")</f>
        <v>C</v>
      </c>
      <c r="AG84" s="3">
        <v>217</v>
      </c>
      <c r="AH84" s="3" t="str">
        <f>IFERROR(MID(VLOOKUP($B84,Seqs!$A:$B,2,FALSE),AI84,1),"")</f>
        <v>L</v>
      </c>
      <c r="AI84" s="3">
        <v>219</v>
      </c>
      <c r="AJ84" s="3" t="str">
        <f>IFERROR(MID(VLOOKUP($B84,Seqs!$A:$B,2,FALSE),AK84,1),"")</f>
        <v>T</v>
      </c>
      <c r="AK84" s="3">
        <v>225</v>
      </c>
      <c r="AL84" s="3" t="str">
        <f>IFERROR(MID(VLOOKUP($B84,Seqs!$A:$B,2,FALSE),AM84,1),"")</f>
        <v>V</v>
      </c>
      <c r="AM84" s="3">
        <v>262</v>
      </c>
      <c r="AN84" s="3" t="str">
        <f>IFERROR(MID(VLOOKUP($B84,Seqs!$A:$B,2,FALSE),AO84,1),"")</f>
        <v>S</v>
      </c>
      <c r="AO84" s="3">
        <v>268</v>
      </c>
      <c r="AP84" s="3" t="str">
        <f>IFERROR(MID(VLOOKUP($B84,Seqs!$A:$B,2,FALSE),AQ84,1),"")</f>
        <v>I</v>
      </c>
      <c r="AQ84" s="3">
        <v>306</v>
      </c>
      <c r="AR84" s="3" t="str">
        <f>IFERROR(MID(VLOOKUP($B84,Seqs!$A:$B,2,FALSE),AS84,1),"")</f>
        <v>T</v>
      </c>
      <c r="AS84" s="3">
        <v>311</v>
      </c>
      <c r="AT84" s="3" t="str">
        <f>IFERROR(MID(VLOOKUP($B84,Seqs!$A:$B,2,FALSE),AU84,1),"")</f>
        <v>L</v>
      </c>
      <c r="AU84" s="3">
        <v>339</v>
      </c>
      <c r="AV84" s="3" t="str">
        <f>IFERROR(MID(VLOOKUP($B84,Seqs!$A:$B,2,FALSE),AW84,1),"")</f>
        <v>D</v>
      </c>
      <c r="AW84" s="3">
        <v>340</v>
      </c>
      <c r="AX84" s="3" t="str">
        <f>IFERROR(MID(VLOOKUP($B84,Seqs!$A:$B,2,FALSE),AY84,1),"")</f>
        <v>I</v>
      </c>
      <c r="AY84" s="3">
        <v>352</v>
      </c>
      <c r="AZ84" s="83" t="str">
        <f>VLOOKUP(B84,Classification!A:D,2,FALSE)</f>
        <v>A</v>
      </c>
      <c r="BB84" s="82">
        <f>S84-Q84+1</f>
        <v>4</v>
      </c>
      <c r="BC84" s="57">
        <f t="shared" si="116"/>
        <v>262</v>
      </c>
      <c r="BD84" s="63" t="b">
        <f t="shared" si="117"/>
        <v>1</v>
      </c>
      <c r="BE84" s="68" t="s">
        <v>1514</v>
      </c>
      <c r="BF84" s="75" t="s">
        <v>1514</v>
      </c>
      <c r="BG84" s="75" t="s">
        <v>1514</v>
      </c>
      <c r="BH84" s="75" t="s">
        <v>1514</v>
      </c>
      <c r="BI84" s="75" t="s">
        <v>1514</v>
      </c>
      <c r="BJ84" s="75" t="s">
        <v>1514</v>
      </c>
      <c r="BK84" s="75" t="s">
        <v>1514</v>
      </c>
      <c r="BL84" s="75" t="s">
        <v>1514</v>
      </c>
      <c r="BM84" s="75" t="s">
        <v>1514</v>
      </c>
      <c r="BN84" s="75" t="s">
        <v>1514</v>
      </c>
      <c r="BO84" s="75" t="s">
        <v>1514</v>
      </c>
      <c r="BP84" s="75" t="s">
        <v>1514</v>
      </c>
      <c r="BQ84" s="68">
        <f t="shared" si="90"/>
        <v>65</v>
      </c>
      <c r="BR84" s="69">
        <f t="shared" si="91"/>
        <v>97</v>
      </c>
      <c r="BS84" s="70">
        <f t="shared" si="92"/>
        <v>101</v>
      </c>
      <c r="BT84" s="69">
        <f t="shared" si="93"/>
        <v>132</v>
      </c>
      <c r="BU84" s="70">
        <f t="shared" si="94"/>
        <v>136</v>
      </c>
      <c r="BV84" s="69">
        <f t="shared" si="95"/>
        <v>172</v>
      </c>
      <c r="BW84" s="70">
        <f t="shared" si="96"/>
        <v>181</v>
      </c>
      <c r="BX84" s="69">
        <f t="shared" si="97"/>
        <v>217</v>
      </c>
      <c r="BY84" s="70">
        <f t="shared" si="98"/>
        <v>225</v>
      </c>
      <c r="BZ84" s="69">
        <f t="shared" si="99"/>
        <v>268</v>
      </c>
      <c r="CA84" s="70">
        <f t="shared" si="100"/>
        <v>311</v>
      </c>
      <c r="CB84" s="69">
        <f t="shared" si="101"/>
        <v>340</v>
      </c>
      <c r="CC84" s="68">
        <f t="shared" si="102"/>
        <v>96</v>
      </c>
      <c r="CD84" s="69">
        <f t="shared" si="103"/>
        <v>100</v>
      </c>
      <c r="CE84" s="70">
        <f t="shared" si="104"/>
        <v>130</v>
      </c>
      <c r="CF84" s="70">
        <f t="shared" si="105"/>
        <v>135</v>
      </c>
      <c r="CG84" s="70">
        <f t="shared" si="106"/>
        <v>171</v>
      </c>
      <c r="CH84" s="70">
        <f t="shared" si="107"/>
        <v>179</v>
      </c>
      <c r="CI84" s="70">
        <f t="shared" si="108"/>
        <v>206</v>
      </c>
      <c r="CJ84" s="70">
        <f t="shared" si="109"/>
        <v>219</v>
      </c>
      <c r="CK84" s="70">
        <f t="shared" si="110"/>
        <v>262</v>
      </c>
      <c r="CL84" s="70">
        <f t="shared" si="111"/>
        <v>306</v>
      </c>
      <c r="CM84" s="70">
        <f t="shared" si="112"/>
        <v>339</v>
      </c>
      <c r="CN84" s="70">
        <f t="shared" si="113"/>
        <v>352</v>
      </c>
      <c r="CO84" s="57">
        <f t="shared" si="114"/>
        <v>1</v>
      </c>
    </row>
    <row r="85" spans="1:93" x14ac:dyDescent="0.2">
      <c r="A85" s="3" t="str">
        <f t="shared" si="115"/>
        <v>oprm_mouse_4DKL</v>
      </c>
      <c r="B85" s="3" t="s">
        <v>1114</v>
      </c>
      <c r="C85" s="3" t="s">
        <v>256</v>
      </c>
      <c r="D85" s="3" t="str">
        <f>IFERROR(MID(VLOOKUP($B85,Seqs!$A:$B,2,FALSE),E85,1),"")</f>
        <v>M</v>
      </c>
      <c r="E85" s="3">
        <v>65</v>
      </c>
      <c r="F85" s="3" t="str">
        <f>IFERROR(MID(VLOOKUP($B85,Seqs!$A:$B,2,FALSE),G85,1),"")</f>
        <v>Y</v>
      </c>
      <c r="G85" s="3">
        <v>96</v>
      </c>
      <c r="H85" s="3" t="str">
        <f>IFERROR(MID(VLOOKUP($B85,Seqs!$A:$B,2,FALSE),I85,1),"")</f>
        <v>T</v>
      </c>
      <c r="I85" s="57">
        <v>97</v>
      </c>
      <c r="J85" s="3" t="str">
        <f>IFERROR(MID(VLOOKUP($B85,Seqs!$A:$B,2,FALSE),K85,1),"")</f>
        <v>K</v>
      </c>
      <c r="K85" s="57">
        <v>100</v>
      </c>
      <c r="L85" s="3" t="str">
        <f>IFERROR(MID(VLOOKUP($B85,Seqs!$A:$B,2,FALSE),M85,1),"")</f>
        <v>T</v>
      </c>
      <c r="M85" s="3">
        <v>101</v>
      </c>
      <c r="N85" s="3" t="str">
        <f>IFERROR(MID(VLOOKUP($B85,Seqs!$A:$B,2,FALSE),O85,1),"")</f>
        <v>M</v>
      </c>
      <c r="O85" s="3">
        <v>130</v>
      </c>
      <c r="P85" s="3" t="str">
        <f>IFERROR(MID(VLOOKUP($B85,Seqs!$A:$B,2,FALSE),Q85,1),"")</f>
        <v>T</v>
      </c>
      <c r="Q85" s="3">
        <v>132</v>
      </c>
      <c r="R85" s="3" t="str">
        <f>IFERROR(MID(VLOOKUP($B85,Seqs!$A:$B,2,FALSE),S85,1),"")</f>
        <v>F</v>
      </c>
      <c r="S85" s="3">
        <v>135</v>
      </c>
      <c r="T85" s="3" t="str">
        <f>IFERROR(MID(VLOOKUP($B85,Seqs!$A:$B,2,FALSE),U85,1),"")</f>
        <v>G</v>
      </c>
      <c r="U85" s="3">
        <v>136</v>
      </c>
      <c r="V85" s="3" t="str">
        <f>IFERROR(MID(VLOOKUP($B85,Seqs!$A:$B,2,FALSE),W85,1),"")</f>
        <v>H</v>
      </c>
      <c r="W85" s="3">
        <v>171</v>
      </c>
      <c r="X85" s="3" t="str">
        <f>IFERROR(MID(VLOOKUP($B85,Seqs!$A:$B,2,FALSE),Y85,1),"")</f>
        <v>P</v>
      </c>
      <c r="Y85" s="3">
        <v>172</v>
      </c>
      <c r="Z85" s="3" t="str">
        <f>IFERROR(MID(VLOOKUP($B85,Seqs!$A:$B,2,FALSE),AA85,1),"")</f>
        <v>R</v>
      </c>
      <c r="AA85" s="3">
        <v>179</v>
      </c>
      <c r="AB85" s="3" t="str">
        <f>IFERROR(MID(VLOOKUP($B85,Seqs!$A:$B,2,FALSE),AC85,1),"")</f>
        <v>P</v>
      </c>
      <c r="AC85" s="3">
        <v>181</v>
      </c>
      <c r="AD85" s="3" t="str">
        <f>IFERROR(MID(VLOOKUP($B85,Seqs!$A:$B,2,FALSE),AE85,1),"")</f>
        <v>A</v>
      </c>
      <c r="AE85" s="3">
        <v>206</v>
      </c>
      <c r="AF85" s="3" t="str">
        <f>IFERROR(MID(VLOOKUP($B85,Seqs!$A:$B,2,FALSE),AG85,1),"")</f>
        <v>C</v>
      </c>
      <c r="AG85" s="3">
        <v>217</v>
      </c>
      <c r="AH85" s="3" t="str">
        <f>IFERROR(MID(VLOOKUP($B85,Seqs!$A:$B,2,FALSE),AI85,1),"")</f>
        <v>L</v>
      </c>
      <c r="AI85" s="3">
        <v>219</v>
      </c>
      <c r="AJ85" s="3" t="str">
        <f>IFERROR(MID(VLOOKUP($B85,Seqs!$A:$B,2,FALSE),AK85,1),"")</f>
        <v>T</v>
      </c>
      <c r="AK85" s="3">
        <v>225</v>
      </c>
      <c r="AL85" s="3" t="str">
        <f>IFERROR(MID(VLOOKUP($B85,Seqs!$A:$B,2,FALSE),AM85,1),"")</f>
        <v>L</v>
      </c>
      <c r="AM85" s="3">
        <v>257</v>
      </c>
      <c r="AN85" s="3" t="str">
        <f>IFERROR(MID(VLOOKUP($B85,Seqs!$A:$B,2,FALSE),AO85,1),"")</f>
        <v>N</v>
      </c>
      <c r="AO85" s="3">
        <v>274</v>
      </c>
      <c r="AP85" s="3" t="str">
        <f>IFERROR(MID(VLOOKUP($B85,Seqs!$A:$B,2,FALSE),AQ85,1),"")</f>
        <v>I</v>
      </c>
      <c r="AQ85" s="3">
        <v>306</v>
      </c>
      <c r="AR85" s="3" t="str">
        <f>IFERROR(MID(VLOOKUP($B85,Seqs!$A:$B,2,FALSE),AS85,1),"")</f>
        <v>T</v>
      </c>
      <c r="AS85" s="3">
        <v>311</v>
      </c>
      <c r="AT85" s="3" t="str">
        <f>IFERROR(MID(VLOOKUP($B85,Seqs!$A:$B,2,FALSE),AU85,1),"")</f>
        <v>L</v>
      </c>
      <c r="AU85" s="3">
        <v>339</v>
      </c>
      <c r="AV85" s="3" t="str">
        <f>IFERROR(MID(VLOOKUP($B85,Seqs!$A:$B,2,FALSE),AW85,1),"")</f>
        <v>D</v>
      </c>
      <c r="AW85" s="3">
        <v>340</v>
      </c>
      <c r="AX85" s="3" t="str">
        <f>IFERROR(MID(VLOOKUP($B85,Seqs!$A:$B,2,FALSE),AY85,1),"")</f>
        <v>I</v>
      </c>
      <c r="AY85" s="3">
        <v>352</v>
      </c>
      <c r="AZ85" s="83" t="str">
        <f>VLOOKUP(B85,Classification!A:D,2,FALSE)</f>
        <v>A</v>
      </c>
      <c r="BB85" s="35" t="s">
        <v>1330</v>
      </c>
      <c r="BC85" s="57">
        <f t="shared" si="116"/>
        <v>251</v>
      </c>
      <c r="BD85" s="63" t="b">
        <f t="shared" si="117"/>
        <v>1</v>
      </c>
      <c r="BE85" s="68" t="s">
        <v>1514</v>
      </c>
      <c r="BF85" s="75" t="s">
        <v>1514</v>
      </c>
      <c r="BG85" s="75" t="s">
        <v>1514</v>
      </c>
      <c r="BH85" s="75" t="s">
        <v>1514</v>
      </c>
      <c r="BI85" s="75" t="s">
        <v>1514</v>
      </c>
      <c r="BJ85" s="75" t="s">
        <v>1514</v>
      </c>
      <c r="BK85" s="75" t="s">
        <v>1514</v>
      </c>
      <c r="BL85" s="75" t="s">
        <v>1514</v>
      </c>
      <c r="BM85" s="75" t="s">
        <v>1514</v>
      </c>
      <c r="BN85" s="75" t="s">
        <v>1514</v>
      </c>
      <c r="BO85" s="75" t="s">
        <v>1514</v>
      </c>
      <c r="BP85" s="75" t="s">
        <v>1514</v>
      </c>
      <c r="BQ85" s="68">
        <f t="shared" si="90"/>
        <v>65</v>
      </c>
      <c r="BR85" s="69">
        <f t="shared" si="91"/>
        <v>97</v>
      </c>
      <c r="BS85" s="70">
        <f t="shared" si="92"/>
        <v>101</v>
      </c>
      <c r="BT85" s="69">
        <f t="shared" si="93"/>
        <v>132</v>
      </c>
      <c r="BU85" s="70">
        <f t="shared" si="94"/>
        <v>136</v>
      </c>
      <c r="BV85" s="69">
        <f t="shared" si="95"/>
        <v>172</v>
      </c>
      <c r="BW85" s="70">
        <f t="shared" si="96"/>
        <v>181</v>
      </c>
      <c r="BX85" s="69">
        <f t="shared" si="97"/>
        <v>217</v>
      </c>
      <c r="BY85" s="70">
        <f t="shared" si="98"/>
        <v>225</v>
      </c>
      <c r="BZ85" s="69">
        <f t="shared" si="99"/>
        <v>274</v>
      </c>
      <c r="CA85" s="70">
        <f t="shared" si="100"/>
        <v>311</v>
      </c>
      <c r="CB85" s="69">
        <f t="shared" si="101"/>
        <v>340</v>
      </c>
      <c r="CC85" s="68">
        <f t="shared" si="102"/>
        <v>96</v>
      </c>
      <c r="CD85" s="69">
        <f t="shared" si="103"/>
        <v>100</v>
      </c>
      <c r="CE85" s="70">
        <f t="shared" si="104"/>
        <v>130</v>
      </c>
      <c r="CF85" s="70">
        <f t="shared" si="105"/>
        <v>135</v>
      </c>
      <c r="CG85" s="70">
        <f t="shared" si="106"/>
        <v>171</v>
      </c>
      <c r="CH85" s="70">
        <f t="shared" si="107"/>
        <v>179</v>
      </c>
      <c r="CI85" s="70">
        <f t="shared" si="108"/>
        <v>206</v>
      </c>
      <c r="CJ85" s="70">
        <f t="shared" si="109"/>
        <v>219</v>
      </c>
      <c r="CK85" s="70">
        <f t="shared" si="110"/>
        <v>257</v>
      </c>
      <c r="CL85" s="70">
        <f t="shared" si="111"/>
        <v>306</v>
      </c>
      <c r="CM85" s="70">
        <f t="shared" si="112"/>
        <v>339</v>
      </c>
      <c r="CN85" s="70">
        <f t="shared" si="113"/>
        <v>352</v>
      </c>
      <c r="CO85" s="57">
        <f t="shared" si="114"/>
        <v>1</v>
      </c>
    </row>
    <row r="86" spans="1:93" x14ac:dyDescent="0.2">
      <c r="A86" s="3" t="str">
        <f t="shared" si="115"/>
        <v>oprm_mouse_5C1M</v>
      </c>
      <c r="B86" s="3" t="s">
        <v>1114</v>
      </c>
      <c r="C86" s="3" t="s">
        <v>276</v>
      </c>
      <c r="D86" s="3" t="str">
        <f>IFERROR(MID(VLOOKUP($B86,Seqs!$A:$B,2,FALSE),E86,1),"")</f>
        <v>M</v>
      </c>
      <c r="E86" s="3">
        <v>65</v>
      </c>
      <c r="F86" s="3" t="str">
        <f>IFERROR(MID(VLOOKUP($B86,Seqs!$A:$B,2,FALSE),G86,1),"")</f>
        <v>Y</v>
      </c>
      <c r="G86" s="3">
        <v>96</v>
      </c>
      <c r="H86" s="3" t="str">
        <f>IFERROR(MID(VLOOKUP($B86,Seqs!$A:$B,2,FALSE),I86,1),"")</f>
        <v/>
      </c>
      <c r="I86" s="57" t="s">
        <v>129</v>
      </c>
      <c r="J86" s="3" t="str">
        <f>IFERROR(MID(VLOOKUP($B86,Seqs!$A:$B,2,FALSE),K86,1),"")</f>
        <v/>
      </c>
      <c r="K86" s="57" t="s">
        <v>129</v>
      </c>
      <c r="L86" s="3" t="str">
        <f>IFERROR(MID(VLOOKUP($B86,Seqs!$A:$B,2,FALSE),M86,1),"")</f>
        <v>T</v>
      </c>
      <c r="M86" s="3">
        <v>101</v>
      </c>
      <c r="N86" s="3" t="str">
        <f>IFERROR(MID(VLOOKUP($B86,Seqs!$A:$B,2,FALSE),O86,1),"")</f>
        <v>M</v>
      </c>
      <c r="O86" s="3">
        <v>130</v>
      </c>
      <c r="P86" s="3" t="str">
        <f>IFERROR(MID(VLOOKUP($B86,Seqs!$A:$B,2,FALSE),Q86,1),"")</f>
        <v>T</v>
      </c>
      <c r="Q86" s="3">
        <v>132</v>
      </c>
      <c r="R86" s="3" t="str">
        <f>IFERROR(MID(VLOOKUP($B86,Seqs!$A:$B,2,FALSE),S86,1),"")</f>
        <v>F</v>
      </c>
      <c r="S86" s="3">
        <v>135</v>
      </c>
      <c r="T86" s="3" t="str">
        <f>IFERROR(MID(VLOOKUP($B86,Seqs!$A:$B,2,FALSE),U86,1),"")</f>
        <v>G</v>
      </c>
      <c r="U86" s="3">
        <v>136</v>
      </c>
      <c r="V86" s="3" t="str">
        <f>IFERROR(MID(VLOOKUP($B86,Seqs!$A:$B,2,FALSE),W86,1),"")</f>
        <v>H</v>
      </c>
      <c r="W86" s="3">
        <v>171</v>
      </c>
      <c r="X86" s="3" t="str">
        <f>IFERROR(MID(VLOOKUP($B86,Seqs!$A:$B,2,FALSE),Y86,1),"")</f>
        <v>P</v>
      </c>
      <c r="Y86" s="3">
        <v>172</v>
      </c>
      <c r="Z86" s="3" t="str">
        <f>IFERROR(MID(VLOOKUP($B86,Seqs!$A:$B,2,FALSE),AA86,1),"")</f>
        <v>R</v>
      </c>
      <c r="AA86" s="3">
        <v>179</v>
      </c>
      <c r="AB86" s="3" t="str">
        <f>IFERROR(MID(VLOOKUP($B86,Seqs!$A:$B,2,FALSE),AC86,1),"")</f>
        <v>P</v>
      </c>
      <c r="AC86" s="3">
        <v>181</v>
      </c>
      <c r="AD86" s="3" t="str">
        <f>IFERROR(MID(VLOOKUP($B86,Seqs!$A:$B,2,FALSE),AE86,1),"")</f>
        <v>A</v>
      </c>
      <c r="AE86" s="3">
        <v>206</v>
      </c>
      <c r="AF86" s="3" t="str">
        <f>IFERROR(MID(VLOOKUP($B86,Seqs!$A:$B,2,FALSE),AG86,1),"")</f>
        <v>C</v>
      </c>
      <c r="AG86" s="3">
        <v>217</v>
      </c>
      <c r="AH86" s="3" t="str">
        <f>IFERROR(MID(VLOOKUP($B86,Seqs!$A:$B,2,FALSE),AI86,1),"")</f>
        <v>L</v>
      </c>
      <c r="AI86" s="3">
        <v>219</v>
      </c>
      <c r="AJ86" s="3" t="str">
        <f>IFERROR(MID(VLOOKUP($B86,Seqs!$A:$B,2,FALSE),AK86,1),"")</f>
        <v>T</v>
      </c>
      <c r="AK86" s="3">
        <v>225</v>
      </c>
      <c r="AL86" s="3" t="str">
        <f>IFERROR(MID(VLOOKUP($B86,Seqs!$A:$B,2,FALSE),AM86,1),"")</f>
        <v>V</v>
      </c>
      <c r="AM86" s="3">
        <v>262</v>
      </c>
      <c r="AN86" s="3" t="str">
        <f>IFERROR(MID(VLOOKUP($B86,Seqs!$A:$B,2,FALSE),AO86,1),"")</f>
        <v>S</v>
      </c>
      <c r="AO86" s="3">
        <v>268</v>
      </c>
      <c r="AP86" s="3" t="str">
        <f>IFERROR(MID(VLOOKUP($B86,Seqs!$A:$B,2,FALSE),AQ86,1),"")</f>
        <v>I</v>
      </c>
      <c r="AQ86" s="3">
        <v>306</v>
      </c>
      <c r="AR86" s="3" t="str">
        <f>IFERROR(MID(VLOOKUP($B86,Seqs!$A:$B,2,FALSE),AS86,1),"")</f>
        <v>T</v>
      </c>
      <c r="AS86" s="3">
        <v>311</v>
      </c>
      <c r="AT86" s="3" t="str">
        <f>IFERROR(MID(VLOOKUP($B86,Seqs!$A:$B,2,FALSE),AU86,1),"")</f>
        <v>P</v>
      </c>
      <c r="AU86" s="3">
        <v>333</v>
      </c>
      <c r="AV86" s="3" t="str">
        <f>IFERROR(MID(VLOOKUP($B86,Seqs!$A:$B,2,FALSE),AW86,1),"")</f>
        <v/>
      </c>
      <c r="AW86" s="3" t="s">
        <v>129</v>
      </c>
      <c r="AX86" s="3" t="str">
        <f>IFERROR(MID(VLOOKUP($B86,Seqs!$A:$B,2,FALSE),AY86,1),"")</f>
        <v/>
      </c>
      <c r="AY86" s="3" t="s">
        <v>129</v>
      </c>
      <c r="AZ86" s="83" t="str">
        <f>VLOOKUP(B86,Classification!A:D,2,FALSE)</f>
        <v>A</v>
      </c>
      <c r="BC86" s="57">
        <f t="shared" si="116"/>
        <v>241</v>
      </c>
      <c r="BD86" s="63" t="b">
        <f t="shared" si="117"/>
        <v>1</v>
      </c>
      <c r="BE86" s="68" t="s">
        <v>1514</v>
      </c>
      <c r="BF86" s="75" t="s">
        <v>1514</v>
      </c>
      <c r="BG86" s="75" t="s">
        <v>1514</v>
      </c>
      <c r="BH86" s="75" t="s">
        <v>1514</v>
      </c>
      <c r="BI86" s="75" t="s">
        <v>1514</v>
      </c>
      <c r="BJ86" s="75" t="s">
        <v>1514</v>
      </c>
      <c r="BK86" s="75" t="s">
        <v>1514</v>
      </c>
      <c r="BL86" s="75" t="s">
        <v>1514</v>
      </c>
      <c r="BM86" s="75" t="s">
        <v>1514</v>
      </c>
      <c r="BN86" s="75" t="s">
        <v>1514</v>
      </c>
      <c r="BO86" s="75" t="s">
        <v>1514</v>
      </c>
      <c r="BP86" s="75" t="s">
        <v>1514</v>
      </c>
      <c r="BQ86" s="68">
        <f t="shared" si="90"/>
        <v>65</v>
      </c>
      <c r="BR86" s="69" t="str">
        <f t="shared" si="91"/>
        <v>-</v>
      </c>
      <c r="BS86" s="70">
        <f t="shared" si="92"/>
        <v>101</v>
      </c>
      <c r="BT86" s="69">
        <f t="shared" si="93"/>
        <v>132</v>
      </c>
      <c r="BU86" s="70">
        <f t="shared" si="94"/>
        <v>136</v>
      </c>
      <c r="BV86" s="69">
        <f t="shared" si="95"/>
        <v>172</v>
      </c>
      <c r="BW86" s="70">
        <f t="shared" si="96"/>
        <v>181</v>
      </c>
      <c r="BX86" s="69">
        <f t="shared" si="97"/>
        <v>217</v>
      </c>
      <c r="BY86" s="70">
        <f t="shared" si="98"/>
        <v>225</v>
      </c>
      <c r="BZ86" s="69">
        <f t="shared" si="99"/>
        <v>268</v>
      </c>
      <c r="CA86" s="70">
        <f t="shared" si="100"/>
        <v>311</v>
      </c>
      <c r="CB86" s="69" t="str">
        <f t="shared" si="101"/>
        <v>-</v>
      </c>
      <c r="CC86" s="68">
        <f t="shared" si="102"/>
        <v>96</v>
      </c>
      <c r="CD86" s="69" t="str">
        <f t="shared" si="103"/>
        <v>-</v>
      </c>
      <c r="CE86" s="70">
        <f t="shared" si="104"/>
        <v>130</v>
      </c>
      <c r="CF86" s="70">
        <f t="shared" si="105"/>
        <v>135</v>
      </c>
      <c r="CG86" s="70">
        <f t="shared" si="106"/>
        <v>171</v>
      </c>
      <c r="CH86" s="70">
        <f t="shared" si="107"/>
        <v>179</v>
      </c>
      <c r="CI86" s="70">
        <f t="shared" si="108"/>
        <v>206</v>
      </c>
      <c r="CJ86" s="70">
        <f t="shared" si="109"/>
        <v>219</v>
      </c>
      <c r="CK86" s="70">
        <f t="shared" si="110"/>
        <v>262</v>
      </c>
      <c r="CL86" s="70">
        <f t="shared" si="111"/>
        <v>306</v>
      </c>
      <c r="CM86" s="70">
        <f t="shared" si="112"/>
        <v>333</v>
      </c>
      <c r="CN86" s="70" t="str">
        <f t="shared" si="113"/>
        <v>-</v>
      </c>
      <c r="CO86" s="57" t="e">
        <f t="shared" si="114"/>
        <v>#VALUE!</v>
      </c>
    </row>
    <row r="87" spans="1:93" x14ac:dyDescent="0.2">
      <c r="A87" s="3" t="str">
        <f t="shared" si="115"/>
        <v>oprx_human__wt</v>
      </c>
      <c r="B87" s="3" t="s">
        <v>1393</v>
      </c>
      <c r="C87" s="3" t="s">
        <v>294</v>
      </c>
      <c r="D87" s="3" t="str">
        <f>IFERROR(MID(VLOOKUP($B87,Seqs!$A:$B,2,FALSE),E87,1),"")</f>
        <v>L</v>
      </c>
      <c r="E87" s="3">
        <v>48</v>
      </c>
      <c r="F87" s="3" t="str">
        <f>IFERROR(MID(VLOOKUP($B87,Seqs!$A:$B,2,FALSE),G87,1),"")</f>
        <v>H</v>
      </c>
      <c r="G87" s="3">
        <v>79</v>
      </c>
      <c r="H87" s="3" t="str">
        <f>IFERROR(MID(VLOOKUP($B87,Seqs!$A:$B,2,FALSE),I87,1),"")</f>
        <v>T</v>
      </c>
      <c r="I87" s="57">
        <v>80</v>
      </c>
      <c r="J87" s="3" t="str">
        <f>IFERROR(MID(VLOOKUP($B87,Seqs!$A:$B,2,FALSE),K87,1),"")</f>
        <v>K</v>
      </c>
      <c r="K87" s="57">
        <v>83</v>
      </c>
      <c r="L87" s="3" t="str">
        <f>IFERROR(MID(VLOOKUP($B87,Seqs!$A:$B,2,FALSE),M87,1),"")</f>
        <v>T</v>
      </c>
      <c r="M87" s="3">
        <v>84</v>
      </c>
      <c r="N87" s="3" t="str">
        <f>IFERROR(MID(VLOOKUP($B87,Seqs!$A:$B,2,FALSE),O87,1),"")</f>
        <v>L</v>
      </c>
      <c r="O87" s="3">
        <v>113</v>
      </c>
      <c r="P87" s="3" t="str">
        <f>IFERROR(MID(VLOOKUP($B87,Seqs!$A:$B,2,FALSE),Q87,1),"")</f>
        <v>F</v>
      </c>
      <c r="Q87" s="3">
        <v>115</v>
      </c>
      <c r="R87" s="3" t="str">
        <f>IFERROR(MID(VLOOKUP($B87,Seqs!$A:$B,2,FALSE),S87,1),"")</f>
        <v>F</v>
      </c>
      <c r="S87" s="3">
        <v>118</v>
      </c>
      <c r="T87" s="3" t="str">
        <f>IFERROR(MID(VLOOKUP($B87,Seqs!$A:$B,2,FALSE),U87,1),"")</f>
        <v>G</v>
      </c>
      <c r="U87" s="3">
        <v>119</v>
      </c>
      <c r="V87" s="3" t="str">
        <f>IFERROR(MID(VLOOKUP($B87,Seqs!$A:$B,2,FALSE),W87,1),"")</f>
        <v>H</v>
      </c>
      <c r="W87" s="3">
        <v>154</v>
      </c>
      <c r="X87" s="3" t="str">
        <f>IFERROR(MID(VLOOKUP($B87,Seqs!$A:$B,2,FALSE),Y87,1),"")</f>
        <v>P</v>
      </c>
      <c r="Y87" s="3">
        <v>155</v>
      </c>
      <c r="Z87" s="3" t="str">
        <f>IFERROR(MID(VLOOKUP($B87,Seqs!$A:$B,2,FALSE),AA87,1),"")</f>
        <v>R</v>
      </c>
      <c r="AA87" s="3">
        <v>162</v>
      </c>
      <c r="AB87" s="3" t="str">
        <f>IFERROR(MID(VLOOKUP($B87,Seqs!$A:$B,2,FALSE),AC87,1),"")</f>
        <v>S</v>
      </c>
      <c r="AC87" s="3">
        <v>164</v>
      </c>
      <c r="AD87" s="3" t="str">
        <f>IFERROR(MID(VLOOKUP($B87,Seqs!$A:$B,2,FALSE),AE87,1),"")</f>
        <v>G</v>
      </c>
      <c r="AE87" s="3">
        <v>189</v>
      </c>
      <c r="AF87" s="3" t="str">
        <f>IFERROR(MID(VLOOKUP($B87,Seqs!$A:$B,2,FALSE),AG87,1),"")</f>
        <v>C</v>
      </c>
      <c r="AG87" s="3">
        <v>200</v>
      </c>
      <c r="AH87" s="3" t="str">
        <f>IFERROR(MID(VLOOKUP($B87,Seqs!$A:$B,2,FALSE),AI87,1),"")</f>
        <v>V</v>
      </c>
      <c r="AI87" s="3">
        <v>202</v>
      </c>
      <c r="AJ87" s="3" t="str">
        <f>IFERROR(MID(VLOOKUP($B87,Seqs!$A:$B,2,FALSE),AK87,1),"")</f>
        <v>Q</v>
      </c>
      <c r="AK87" s="3">
        <v>208</v>
      </c>
      <c r="AL87" s="3" t="str">
        <f>IFERROR(MID(VLOOKUP($B87,Seqs!$A:$B,2,FALSE),AM87,1),"")</f>
        <v>V</v>
      </c>
      <c r="AM87" s="3">
        <v>245</v>
      </c>
      <c r="AN87" s="3" t="str">
        <f>IFERROR(MID(VLOOKUP($B87,Seqs!$A:$B,2,FALSE),AO87,1),"")</f>
        <v>S</v>
      </c>
      <c r="AO87" s="3">
        <v>251</v>
      </c>
      <c r="AP87" s="3" t="str">
        <f>IFERROR(MID(VLOOKUP($B87,Seqs!$A:$B,2,FALSE),AQ87,1),"")</f>
        <v>G</v>
      </c>
      <c r="AQ87" s="3">
        <v>289</v>
      </c>
      <c r="AR87" s="3" t="str">
        <f>IFERROR(MID(VLOOKUP($B87,Seqs!$A:$B,2,FALSE),AS87,1),"")</f>
        <v>S</v>
      </c>
      <c r="AS87" s="3">
        <v>294</v>
      </c>
      <c r="AT87" s="3" t="str">
        <f>IFERROR(MID(VLOOKUP($B87,Seqs!$A:$B,2,FALSE),AU87,1),"")</f>
        <v>L</v>
      </c>
      <c r="AU87" s="3">
        <v>322</v>
      </c>
      <c r="AV87" s="3" t="str">
        <f>IFERROR(MID(VLOOKUP($B87,Seqs!$A:$B,2,FALSE),AW87,1),"")</f>
        <v>D</v>
      </c>
      <c r="AW87" s="3">
        <v>323</v>
      </c>
      <c r="AX87" s="3" t="str">
        <f>IFERROR(MID(VLOOKUP($B87,Seqs!$A:$B,2,FALSE),AY87,1),"")</f>
        <v>C</v>
      </c>
      <c r="AY87" s="3">
        <v>335</v>
      </c>
      <c r="AZ87" s="83" t="str">
        <f>VLOOKUP(B87,Classification!A:D,2,FALSE)</f>
        <v>A</v>
      </c>
      <c r="BB87" s="82">
        <f>S87-Q87+1</f>
        <v>4</v>
      </c>
      <c r="BC87" s="57">
        <f t="shared" si="116"/>
        <v>262</v>
      </c>
      <c r="BD87" s="63" t="b">
        <f t="shared" si="117"/>
        <v>1</v>
      </c>
      <c r="BE87" s="68" t="s">
        <v>1514</v>
      </c>
      <c r="BF87" s="75" t="s">
        <v>1514</v>
      </c>
      <c r="BG87" s="75" t="s">
        <v>1514</v>
      </c>
      <c r="BH87" s="75" t="s">
        <v>1514</v>
      </c>
      <c r="BI87" s="75" t="s">
        <v>1514</v>
      </c>
      <c r="BJ87" s="75" t="s">
        <v>1514</v>
      </c>
      <c r="BK87" s="75" t="s">
        <v>1514</v>
      </c>
      <c r="BL87" s="75" t="s">
        <v>1514</v>
      </c>
      <c r="BM87" s="75" t="s">
        <v>1514</v>
      </c>
      <c r="BN87" s="75" t="s">
        <v>1514</v>
      </c>
      <c r="BO87" s="75" t="s">
        <v>1514</v>
      </c>
      <c r="BP87" s="75" t="s">
        <v>1514</v>
      </c>
      <c r="BQ87" s="68">
        <f t="shared" si="90"/>
        <v>48</v>
      </c>
      <c r="BR87" s="69">
        <f t="shared" si="91"/>
        <v>80</v>
      </c>
      <c r="BS87" s="70">
        <f t="shared" si="92"/>
        <v>84</v>
      </c>
      <c r="BT87" s="69">
        <f t="shared" si="93"/>
        <v>115</v>
      </c>
      <c r="BU87" s="70">
        <f t="shared" si="94"/>
        <v>119</v>
      </c>
      <c r="BV87" s="69">
        <f t="shared" si="95"/>
        <v>155</v>
      </c>
      <c r="BW87" s="70">
        <f t="shared" si="96"/>
        <v>164</v>
      </c>
      <c r="BX87" s="69">
        <f t="shared" si="97"/>
        <v>200</v>
      </c>
      <c r="BY87" s="70">
        <f t="shared" si="98"/>
        <v>208</v>
      </c>
      <c r="BZ87" s="69">
        <f t="shared" si="99"/>
        <v>251</v>
      </c>
      <c r="CA87" s="70">
        <f t="shared" si="100"/>
        <v>294</v>
      </c>
      <c r="CB87" s="69">
        <f t="shared" si="101"/>
        <v>323</v>
      </c>
      <c r="CC87" s="68">
        <f t="shared" si="102"/>
        <v>79</v>
      </c>
      <c r="CD87" s="69">
        <f t="shared" si="103"/>
        <v>83</v>
      </c>
      <c r="CE87" s="70">
        <f t="shared" si="104"/>
        <v>113</v>
      </c>
      <c r="CF87" s="70">
        <f t="shared" si="105"/>
        <v>118</v>
      </c>
      <c r="CG87" s="70">
        <f t="shared" si="106"/>
        <v>154</v>
      </c>
      <c r="CH87" s="70">
        <f t="shared" si="107"/>
        <v>162</v>
      </c>
      <c r="CI87" s="70">
        <f t="shared" si="108"/>
        <v>189</v>
      </c>
      <c r="CJ87" s="70">
        <f t="shared" si="109"/>
        <v>202</v>
      </c>
      <c r="CK87" s="70">
        <f t="shared" si="110"/>
        <v>245</v>
      </c>
      <c r="CL87" s="70">
        <f t="shared" si="111"/>
        <v>289</v>
      </c>
      <c r="CM87" s="70">
        <f t="shared" si="112"/>
        <v>322</v>
      </c>
      <c r="CN87" s="70">
        <f t="shared" si="113"/>
        <v>335</v>
      </c>
      <c r="CO87" s="57">
        <f t="shared" si="114"/>
        <v>1</v>
      </c>
    </row>
    <row r="88" spans="1:93" x14ac:dyDescent="0.2">
      <c r="A88" s="3" t="str">
        <f t="shared" si="115"/>
        <v>oprx_human_4EA3</v>
      </c>
      <c r="B88" s="3" t="s">
        <v>1393</v>
      </c>
      <c r="C88" s="3" t="s">
        <v>258</v>
      </c>
      <c r="D88" s="3" t="str">
        <f>IFERROR(MID(VLOOKUP($B88,Seqs!$A:$B,2,FALSE),E88,1),"")</f>
        <v>L</v>
      </c>
      <c r="E88" s="3">
        <v>48</v>
      </c>
      <c r="F88" s="3" t="str">
        <f>IFERROR(MID(VLOOKUP($B88,Seqs!$A:$B,2,FALSE),G88,1),"")</f>
        <v>H</v>
      </c>
      <c r="G88" s="3">
        <v>79</v>
      </c>
      <c r="H88" s="3" t="str">
        <f>IFERROR(MID(VLOOKUP($B88,Seqs!$A:$B,2,FALSE),I88,1),"")</f>
        <v/>
      </c>
      <c r="I88" s="57" t="s">
        <v>129</v>
      </c>
      <c r="J88" s="3" t="str">
        <f>IFERROR(MID(VLOOKUP($B88,Seqs!$A:$B,2,FALSE),K88,1),"")</f>
        <v/>
      </c>
      <c r="K88" s="57" t="s">
        <v>129</v>
      </c>
      <c r="L88" s="3" t="str">
        <f>IFERROR(MID(VLOOKUP($B88,Seqs!$A:$B,2,FALSE),M88,1),"")</f>
        <v>T</v>
      </c>
      <c r="M88" s="3">
        <v>84</v>
      </c>
      <c r="N88" s="3" t="str">
        <f>IFERROR(MID(VLOOKUP($B88,Seqs!$A:$B,2,FALSE),O88,1),"")</f>
        <v>L</v>
      </c>
      <c r="O88" s="3">
        <v>113</v>
      </c>
      <c r="P88" s="3" t="str">
        <f>IFERROR(MID(VLOOKUP($B88,Seqs!$A:$B,2,FALSE),Q88,1),"")</f>
        <v>F</v>
      </c>
      <c r="Q88" s="3">
        <v>115</v>
      </c>
      <c r="R88" s="3" t="str">
        <f>IFERROR(MID(VLOOKUP($B88,Seqs!$A:$B,2,FALSE),S88,1),"")</f>
        <v>F</v>
      </c>
      <c r="S88" s="3">
        <v>118</v>
      </c>
      <c r="T88" s="3" t="str">
        <f>IFERROR(MID(VLOOKUP($B88,Seqs!$A:$B,2,FALSE),U88,1),"")</f>
        <v>G</v>
      </c>
      <c r="U88" s="3">
        <v>119</v>
      </c>
      <c r="V88" s="3" t="str">
        <f>IFERROR(MID(VLOOKUP($B88,Seqs!$A:$B,2,FALSE),W88,1),"")</f>
        <v>H</v>
      </c>
      <c r="W88" s="3">
        <v>154</v>
      </c>
      <c r="X88" s="3" t="str">
        <f>IFERROR(MID(VLOOKUP($B88,Seqs!$A:$B,2,FALSE),Y88,1),"")</f>
        <v/>
      </c>
      <c r="Y88" s="3" t="s">
        <v>129</v>
      </c>
      <c r="Z88" s="3" t="str">
        <f>IFERROR(MID(VLOOKUP($B88,Seqs!$A:$B,2,FALSE),AA88,1),"")</f>
        <v/>
      </c>
      <c r="AA88" s="3" t="s">
        <v>129</v>
      </c>
      <c r="AB88" s="3" t="str">
        <f>IFERROR(MID(VLOOKUP($B88,Seqs!$A:$B,2,FALSE),AC88,1),"")</f>
        <v>S</v>
      </c>
      <c r="AC88" s="3">
        <v>164</v>
      </c>
      <c r="AD88" s="3" t="str">
        <f>IFERROR(MID(VLOOKUP($B88,Seqs!$A:$B,2,FALSE),AE88,1),"")</f>
        <v>G</v>
      </c>
      <c r="AE88" s="3">
        <v>189</v>
      </c>
      <c r="AF88" s="3" t="str">
        <f>IFERROR(MID(VLOOKUP($B88,Seqs!$A:$B,2,FALSE),AG88,1),"")</f>
        <v>C</v>
      </c>
      <c r="AG88" s="3">
        <v>200</v>
      </c>
      <c r="AH88" s="3" t="str">
        <f>IFERROR(MID(VLOOKUP($B88,Seqs!$A:$B,2,FALSE),AI88,1),"")</f>
        <v>V</v>
      </c>
      <c r="AI88" s="3">
        <v>202</v>
      </c>
      <c r="AJ88" s="3" t="str">
        <f>IFERROR(MID(VLOOKUP($B88,Seqs!$A:$B,2,FALSE),AK88,1),"")</f>
        <v>Q</v>
      </c>
      <c r="AK88" s="3">
        <v>208</v>
      </c>
      <c r="AL88" s="3" t="str">
        <f>IFERROR(MID(VLOOKUP($B88,Seqs!$A:$B,2,FALSE),AM88,1),"")</f>
        <v>L</v>
      </c>
      <c r="AM88" s="3">
        <v>242</v>
      </c>
      <c r="AN88" s="3" t="str">
        <f>IFERROR(MID(VLOOKUP($B88,Seqs!$A:$B,2,FALSE),AO88,1),"")</f>
        <v>R</v>
      </c>
      <c r="AO88" s="3">
        <v>252</v>
      </c>
      <c r="AP88" s="3" t="str">
        <f>IFERROR(MID(VLOOKUP($B88,Seqs!$A:$B,2,FALSE),AQ88,1),"")</f>
        <v>G</v>
      </c>
      <c r="AQ88" s="3">
        <v>289</v>
      </c>
      <c r="AR88" s="3" t="str">
        <f>IFERROR(MID(VLOOKUP($B88,Seqs!$A:$B,2,FALSE),AS88,1),"")</f>
        <v>S</v>
      </c>
      <c r="AS88" s="3">
        <v>294</v>
      </c>
      <c r="AT88" s="3" t="str">
        <f>IFERROR(MID(VLOOKUP($B88,Seqs!$A:$B,2,FALSE),AU88,1),"")</f>
        <v>L</v>
      </c>
      <c r="AU88" s="3">
        <v>322</v>
      </c>
      <c r="AV88" s="3" t="str">
        <f>IFERROR(MID(VLOOKUP($B88,Seqs!$A:$B,2,FALSE),AW88,1),"")</f>
        <v>D</v>
      </c>
      <c r="AW88" s="3">
        <v>323</v>
      </c>
      <c r="AX88" s="3" t="str">
        <f>IFERROR(MID(VLOOKUP($B88,Seqs!$A:$B,2,FALSE),AY88,1),"")</f>
        <v>R</v>
      </c>
      <c r="AY88" s="3">
        <v>331</v>
      </c>
      <c r="AZ88" s="83" t="str">
        <f>VLOOKUP(B88,Classification!A:D,2,FALSE)</f>
        <v>A</v>
      </c>
      <c r="BC88" s="57">
        <f t="shared" si="116"/>
        <v>244</v>
      </c>
      <c r="BD88" s="63" t="b">
        <f t="shared" si="117"/>
        <v>1</v>
      </c>
      <c r="BE88" s="68" t="s">
        <v>1514</v>
      </c>
      <c r="BF88" s="75" t="s">
        <v>1514</v>
      </c>
      <c r="BG88" s="75" t="s">
        <v>1514</v>
      </c>
      <c r="BH88" s="75" t="s">
        <v>1514</v>
      </c>
      <c r="BI88" s="75" t="s">
        <v>1514</v>
      </c>
      <c r="BJ88" s="75" t="s">
        <v>1514</v>
      </c>
      <c r="BK88" s="75" t="s">
        <v>1514</v>
      </c>
      <c r="BL88" s="75" t="s">
        <v>1514</v>
      </c>
      <c r="BM88" s="75" t="s">
        <v>1514</v>
      </c>
      <c r="BN88" s="75" t="s">
        <v>1514</v>
      </c>
      <c r="BO88" s="75" t="s">
        <v>1514</v>
      </c>
      <c r="BP88" s="75" t="s">
        <v>1514</v>
      </c>
      <c r="BQ88" s="68">
        <f t="shared" si="90"/>
        <v>48</v>
      </c>
      <c r="BR88" s="69" t="str">
        <f t="shared" si="91"/>
        <v>-</v>
      </c>
      <c r="BS88" s="70">
        <f t="shared" si="92"/>
        <v>84</v>
      </c>
      <c r="BT88" s="69">
        <f t="shared" si="93"/>
        <v>115</v>
      </c>
      <c r="BU88" s="70">
        <f t="shared" si="94"/>
        <v>119</v>
      </c>
      <c r="BV88" s="69" t="str">
        <f t="shared" si="95"/>
        <v>-</v>
      </c>
      <c r="BW88" s="70">
        <f t="shared" si="96"/>
        <v>164</v>
      </c>
      <c r="BX88" s="69">
        <f t="shared" si="97"/>
        <v>200</v>
      </c>
      <c r="BY88" s="70">
        <f t="shared" si="98"/>
        <v>208</v>
      </c>
      <c r="BZ88" s="69">
        <f t="shared" si="99"/>
        <v>252</v>
      </c>
      <c r="CA88" s="70">
        <f t="shared" si="100"/>
        <v>294</v>
      </c>
      <c r="CB88" s="69">
        <f t="shared" si="101"/>
        <v>323</v>
      </c>
      <c r="CC88" s="68">
        <f t="shared" si="102"/>
        <v>79</v>
      </c>
      <c r="CD88" s="69" t="str">
        <f t="shared" si="103"/>
        <v>-</v>
      </c>
      <c r="CE88" s="70">
        <f t="shared" si="104"/>
        <v>113</v>
      </c>
      <c r="CF88" s="70">
        <f t="shared" si="105"/>
        <v>118</v>
      </c>
      <c r="CG88" s="70">
        <f t="shared" si="106"/>
        <v>154</v>
      </c>
      <c r="CH88" s="70" t="str">
        <f t="shared" si="107"/>
        <v>-</v>
      </c>
      <c r="CI88" s="70">
        <f t="shared" si="108"/>
        <v>189</v>
      </c>
      <c r="CJ88" s="70">
        <f t="shared" si="109"/>
        <v>202</v>
      </c>
      <c r="CK88" s="70">
        <f t="shared" si="110"/>
        <v>242</v>
      </c>
      <c r="CL88" s="70">
        <f t="shared" si="111"/>
        <v>289</v>
      </c>
      <c r="CM88" s="70">
        <f t="shared" si="112"/>
        <v>322</v>
      </c>
      <c r="CN88" s="70">
        <f t="shared" si="113"/>
        <v>331</v>
      </c>
      <c r="CO88" s="57" t="e">
        <f t="shared" si="114"/>
        <v>#VALUE!</v>
      </c>
    </row>
    <row r="89" spans="1:93" x14ac:dyDescent="0.2">
      <c r="A89" s="3" t="str">
        <f t="shared" si="115"/>
        <v>opsd_bovin__wt</v>
      </c>
      <c r="B89" s="3" t="s">
        <v>1116</v>
      </c>
      <c r="C89" s="3" t="s">
        <v>294</v>
      </c>
      <c r="D89" s="3" t="str">
        <f>IFERROR(MID(VLOOKUP($B89,Seqs!$A:$B,2,FALSE),E89,1),"")</f>
        <v>P</v>
      </c>
      <c r="E89" s="3">
        <v>34</v>
      </c>
      <c r="F89" s="3" t="str">
        <f>IFERROR(MID(VLOOKUP($B89,Seqs!$A:$B,2,FALSE),G89,1),"")</f>
        <v>H</v>
      </c>
      <c r="G89" s="3">
        <v>65</v>
      </c>
      <c r="H89" s="3" t="str">
        <f>IFERROR(MID(VLOOKUP($B89,Seqs!$A:$B,2,FALSE),I89,1),"")</f>
        <v>K</v>
      </c>
      <c r="I89" s="57">
        <v>66</v>
      </c>
      <c r="J89" s="3" t="str">
        <f>IFERROR(MID(VLOOKUP($B89,Seqs!$A:$B,2,FALSE),K89,1),"")</f>
        <v>R</v>
      </c>
      <c r="K89" s="57">
        <v>69</v>
      </c>
      <c r="L89" s="3" t="str">
        <f>IFERROR(MID(VLOOKUP($B89,Seqs!$A:$B,2,FALSE),M89,1),"")</f>
        <v>T</v>
      </c>
      <c r="M89" s="3">
        <v>70</v>
      </c>
      <c r="N89" s="3" t="str">
        <f>IFERROR(MID(VLOOKUP($B89,Seqs!$A:$B,2,FALSE),O89,1),"")</f>
        <v>H</v>
      </c>
      <c r="O89" s="3">
        <v>100</v>
      </c>
      <c r="P89" s="3" t="str">
        <f>IFERROR(MID(VLOOKUP($B89,Seqs!$A:$B,2,FALSE),Q89,1),"")</f>
        <v>Y</v>
      </c>
      <c r="Q89" s="3">
        <v>102</v>
      </c>
      <c r="R89" s="3" t="str">
        <f>IFERROR(MID(VLOOKUP($B89,Seqs!$A:$B,2,FALSE),S89,1),"")</f>
        <v>F</v>
      </c>
      <c r="S89" s="3">
        <v>105</v>
      </c>
      <c r="T89" s="3" t="str">
        <f>IFERROR(MID(VLOOKUP($B89,Seqs!$A:$B,2,FALSE),U89,1),"")</f>
        <v>G</v>
      </c>
      <c r="U89" s="3">
        <v>106</v>
      </c>
      <c r="V89" s="3" t="str">
        <f>IFERROR(MID(VLOOKUP($B89,Seqs!$A:$B,2,FALSE),W89,1),"")</f>
        <v>K</v>
      </c>
      <c r="W89" s="3">
        <v>141</v>
      </c>
      <c r="X89" s="3" t="str">
        <f>IFERROR(MID(VLOOKUP($B89,Seqs!$A:$B,2,FALSE),Y89,1),"")</f>
        <v>P</v>
      </c>
      <c r="Y89" s="3">
        <v>142</v>
      </c>
      <c r="Z89" s="3" t="str">
        <f>IFERROR(MID(VLOOKUP($B89,Seqs!$A:$B,2,FALSE),AA89,1),"")</f>
        <v>G</v>
      </c>
      <c r="AA89" s="3">
        <v>149</v>
      </c>
      <c r="AB89" s="3" t="str">
        <f>IFERROR(MID(VLOOKUP($B89,Seqs!$A:$B,2,FALSE),AC89,1),"")</f>
        <v>E</v>
      </c>
      <c r="AC89" s="3">
        <v>150</v>
      </c>
      <c r="AD89" s="3" t="str">
        <f>IFERROR(MID(VLOOKUP($B89,Seqs!$A:$B,2,FALSE),AE89,1),"")</f>
        <v>V</v>
      </c>
      <c r="AE89" s="3">
        <v>173</v>
      </c>
      <c r="AF89" s="3" t="str">
        <f>IFERROR(MID(VLOOKUP($B89,Seqs!$A:$B,2,FALSE),AG89,1),"")</f>
        <v>C</v>
      </c>
      <c r="AG89" s="3">
        <v>187</v>
      </c>
      <c r="AH89" s="3" t="str">
        <f>IFERROR(MID(VLOOKUP($B89,Seqs!$A:$B,2,FALSE),AI89,1),"")</f>
        <v>I</v>
      </c>
      <c r="AI89" s="3">
        <v>189</v>
      </c>
      <c r="AJ89" s="3" t="str">
        <f>IFERROR(MID(VLOOKUP($B89,Seqs!$A:$B,2,FALSE),AK89,1),"")</f>
        <v>N</v>
      </c>
      <c r="AK89" s="3">
        <v>199</v>
      </c>
      <c r="AL89" s="3" t="str">
        <f>IFERROR(MID(VLOOKUP($B89,Seqs!$A:$B,2,FALSE),AM89,1),"")</f>
        <v>Q</v>
      </c>
      <c r="AM89" s="3">
        <v>237</v>
      </c>
      <c r="AN89" s="3" t="str">
        <f>IFERROR(MID(VLOOKUP($B89,Seqs!$A:$B,2,FALSE),AO89,1),"")</f>
        <v>A</v>
      </c>
      <c r="AO89" s="3">
        <v>241</v>
      </c>
      <c r="AP89" s="3" t="str">
        <f>IFERROR(MID(VLOOKUP($B89,Seqs!$A:$B,2,FALSE),AQ89,1),"")</f>
        <v>H</v>
      </c>
      <c r="AQ89" s="3">
        <v>278</v>
      </c>
      <c r="AR89" s="3" t="str">
        <f>IFERROR(MID(VLOOKUP($B89,Seqs!$A:$B,2,FALSE),AS89,1),"")</f>
        <v>G</v>
      </c>
      <c r="AS89" s="3">
        <v>284</v>
      </c>
      <c r="AT89" s="3" t="str">
        <f>IFERROR(MID(VLOOKUP($B89,Seqs!$A:$B,2,FALSE),AU89,1),"")</f>
        <v>M</v>
      </c>
      <c r="AU89" s="3">
        <v>309</v>
      </c>
      <c r="AV89" s="3" t="str">
        <f>IFERROR(MID(VLOOKUP($B89,Seqs!$A:$B,2,FALSE),AW89,1),"")</f>
        <v>N</v>
      </c>
      <c r="AW89" s="3">
        <v>310</v>
      </c>
      <c r="AX89" s="3" t="str">
        <f>IFERROR(MID(VLOOKUP($B89,Seqs!$A:$B,2,FALSE),AY89,1),"")</f>
        <v>C</v>
      </c>
      <c r="AY89" s="3">
        <v>322</v>
      </c>
      <c r="AZ89" s="83" t="str">
        <f>VLOOKUP(B89,Classification!A:D,2,FALSE)</f>
        <v>A</v>
      </c>
      <c r="BB89" s="82">
        <f>S89-Q89+1</f>
        <v>4</v>
      </c>
      <c r="BC89" s="57">
        <f t="shared" si="116"/>
        <v>258</v>
      </c>
      <c r="BD89" s="63" t="b">
        <f t="shared" si="117"/>
        <v>1</v>
      </c>
      <c r="BE89" s="68" t="s">
        <v>1514</v>
      </c>
      <c r="BF89" s="75" t="s">
        <v>1514</v>
      </c>
      <c r="BG89" s="75" t="s">
        <v>1514</v>
      </c>
      <c r="BH89" s="75" t="s">
        <v>1514</v>
      </c>
      <c r="BI89" s="75" t="s">
        <v>1514</v>
      </c>
      <c r="BJ89" s="75" t="s">
        <v>1514</v>
      </c>
      <c r="BK89" s="75" t="s">
        <v>1514</v>
      </c>
      <c r="BL89" s="75" t="s">
        <v>1514</v>
      </c>
      <c r="BM89" s="75" t="s">
        <v>1514</v>
      </c>
      <c r="BN89" s="75" t="s">
        <v>1514</v>
      </c>
      <c r="BO89" s="75" t="s">
        <v>1514</v>
      </c>
      <c r="BP89" s="75" t="s">
        <v>1514</v>
      </c>
      <c r="BQ89" s="68">
        <f t="shared" si="90"/>
        <v>34</v>
      </c>
      <c r="BR89" s="69">
        <f t="shared" si="91"/>
        <v>66</v>
      </c>
      <c r="BS89" s="70">
        <f t="shared" si="92"/>
        <v>70</v>
      </c>
      <c r="BT89" s="69">
        <f t="shared" si="93"/>
        <v>102</v>
      </c>
      <c r="BU89" s="70">
        <f t="shared" si="94"/>
        <v>106</v>
      </c>
      <c r="BV89" s="69">
        <f t="shared" si="95"/>
        <v>142</v>
      </c>
      <c r="BW89" s="70">
        <f t="shared" si="96"/>
        <v>150</v>
      </c>
      <c r="BX89" s="69">
        <f t="shared" si="97"/>
        <v>187</v>
      </c>
      <c r="BY89" s="70">
        <f t="shared" si="98"/>
        <v>199</v>
      </c>
      <c r="BZ89" s="69">
        <f t="shared" si="99"/>
        <v>241</v>
      </c>
      <c r="CA89" s="70">
        <f t="shared" si="100"/>
        <v>284</v>
      </c>
      <c r="CB89" s="69">
        <f t="shared" si="101"/>
        <v>310</v>
      </c>
      <c r="CC89" s="68">
        <f t="shared" si="102"/>
        <v>65</v>
      </c>
      <c r="CD89" s="69">
        <f t="shared" si="103"/>
        <v>69</v>
      </c>
      <c r="CE89" s="70">
        <f t="shared" si="104"/>
        <v>100</v>
      </c>
      <c r="CF89" s="70">
        <f t="shared" si="105"/>
        <v>105</v>
      </c>
      <c r="CG89" s="70">
        <f t="shared" si="106"/>
        <v>141</v>
      </c>
      <c r="CH89" s="70">
        <f t="shared" si="107"/>
        <v>149</v>
      </c>
      <c r="CI89" s="70">
        <f t="shared" si="108"/>
        <v>173</v>
      </c>
      <c r="CJ89" s="70">
        <f t="shared" si="109"/>
        <v>189</v>
      </c>
      <c r="CK89" s="70">
        <f t="shared" si="110"/>
        <v>237</v>
      </c>
      <c r="CL89" s="70">
        <f t="shared" si="111"/>
        <v>278</v>
      </c>
      <c r="CM89" s="70">
        <f t="shared" si="112"/>
        <v>309</v>
      </c>
      <c r="CN89" s="70">
        <f t="shared" si="113"/>
        <v>322</v>
      </c>
      <c r="CO89" s="57">
        <f t="shared" si="114"/>
        <v>1</v>
      </c>
    </row>
    <row r="90" spans="1:93" x14ac:dyDescent="0.2">
      <c r="A90" s="3" t="str">
        <f t="shared" si="115"/>
        <v>opsd_bovin_1U19</v>
      </c>
      <c r="B90" s="3" t="s">
        <v>1116</v>
      </c>
      <c r="C90" s="3" t="s">
        <v>244</v>
      </c>
      <c r="D90" s="3" t="str">
        <f>IFERROR(MID(VLOOKUP($B90,Seqs!$A:$B,2,FALSE),E90,1),"")</f>
        <v>P</v>
      </c>
      <c r="E90" s="3">
        <v>34</v>
      </c>
      <c r="F90" s="3" t="str">
        <f>IFERROR(MID(VLOOKUP($B90,Seqs!$A:$B,2,FALSE),G90,1),"")</f>
        <v>H</v>
      </c>
      <c r="G90" s="3">
        <v>65</v>
      </c>
      <c r="H90" s="3" t="str">
        <f>IFERROR(MID(VLOOKUP($B90,Seqs!$A:$B,2,FALSE),I90,1),"")</f>
        <v>K</v>
      </c>
      <c r="I90" s="57">
        <v>66</v>
      </c>
      <c r="J90" s="3" t="str">
        <f>IFERROR(MID(VLOOKUP($B90,Seqs!$A:$B,2,FALSE),K90,1),"")</f>
        <v>R</v>
      </c>
      <c r="K90" s="57">
        <v>69</v>
      </c>
      <c r="L90" s="3" t="str">
        <f>IFERROR(MID(VLOOKUP($B90,Seqs!$A:$B,2,FALSE),M90,1),"")</f>
        <v>T</v>
      </c>
      <c r="M90" s="3">
        <v>70</v>
      </c>
      <c r="N90" s="3" t="str">
        <f>IFERROR(MID(VLOOKUP($B90,Seqs!$A:$B,2,FALSE),O90,1),"")</f>
        <v>H</v>
      </c>
      <c r="O90" s="3">
        <v>100</v>
      </c>
      <c r="P90" s="3" t="str">
        <f>IFERROR(MID(VLOOKUP($B90,Seqs!$A:$B,2,FALSE),Q90,1),"")</f>
        <v>Y</v>
      </c>
      <c r="Q90" s="3">
        <v>102</v>
      </c>
      <c r="R90" s="3" t="str">
        <f>IFERROR(MID(VLOOKUP($B90,Seqs!$A:$B,2,FALSE),S90,1),"")</f>
        <v>F</v>
      </c>
      <c r="S90" s="3">
        <v>105</v>
      </c>
      <c r="T90" s="3" t="str">
        <f>IFERROR(MID(VLOOKUP($B90,Seqs!$A:$B,2,FALSE),U90,1),"")</f>
        <v>G</v>
      </c>
      <c r="U90" s="3">
        <v>106</v>
      </c>
      <c r="V90" s="3" t="str">
        <f>IFERROR(MID(VLOOKUP($B90,Seqs!$A:$B,2,FALSE),W90,1),"")</f>
        <v>K</v>
      </c>
      <c r="W90" s="3">
        <v>141</v>
      </c>
      <c r="X90" s="3" t="str">
        <f>IFERROR(MID(VLOOKUP($B90,Seqs!$A:$B,2,FALSE),Y90,1),"")</f>
        <v/>
      </c>
      <c r="Y90" s="3" t="s">
        <v>129</v>
      </c>
      <c r="Z90" s="3" t="str">
        <f>IFERROR(MID(VLOOKUP($B90,Seqs!$A:$B,2,FALSE),AA90,1),"")</f>
        <v/>
      </c>
      <c r="AA90" s="3" t="s">
        <v>129</v>
      </c>
      <c r="AB90" s="3" t="str">
        <f>IFERROR(MID(VLOOKUP($B90,Seqs!$A:$B,2,FALSE),AC90,1),"")</f>
        <v>E</v>
      </c>
      <c r="AC90" s="3">
        <v>150</v>
      </c>
      <c r="AD90" s="3" t="str">
        <f>IFERROR(MID(VLOOKUP($B90,Seqs!$A:$B,2,FALSE),AE90,1),"")</f>
        <v>V</v>
      </c>
      <c r="AE90" s="3">
        <v>173</v>
      </c>
      <c r="AF90" s="3" t="str">
        <f>IFERROR(MID(VLOOKUP($B90,Seqs!$A:$B,2,FALSE),AG90,1),"")</f>
        <v>C</v>
      </c>
      <c r="AG90" s="3">
        <v>187</v>
      </c>
      <c r="AH90" s="3" t="str">
        <f>IFERROR(MID(VLOOKUP($B90,Seqs!$A:$B,2,FALSE),AI90,1),"")</f>
        <v>I</v>
      </c>
      <c r="AI90" s="3">
        <v>189</v>
      </c>
      <c r="AJ90" s="3" t="str">
        <f>IFERROR(MID(VLOOKUP($B90,Seqs!$A:$B,2,FALSE),AK90,1),"")</f>
        <v>N</v>
      </c>
      <c r="AK90" s="3">
        <v>199</v>
      </c>
      <c r="AL90" s="3" t="str">
        <f>IFERROR(MID(VLOOKUP($B90,Seqs!$A:$B,2,FALSE),AM90,1),"")</f>
        <v>Q</v>
      </c>
      <c r="AM90" s="3">
        <v>225</v>
      </c>
      <c r="AN90" s="3" t="str">
        <f>IFERROR(MID(VLOOKUP($B90,Seqs!$A:$B,2,FALSE),AO90,1),"")</f>
        <v>T</v>
      </c>
      <c r="AO90" s="3">
        <v>243</v>
      </c>
      <c r="AP90" s="3" t="str">
        <f>IFERROR(MID(VLOOKUP($B90,Seqs!$A:$B,2,FALSE),AQ90,1),"")</f>
        <v>H</v>
      </c>
      <c r="AQ90" s="3">
        <v>278</v>
      </c>
      <c r="AR90" s="3" t="str">
        <f>IFERROR(MID(VLOOKUP($B90,Seqs!$A:$B,2,FALSE),AS90,1),"")</f>
        <v>G</v>
      </c>
      <c r="AS90" s="3">
        <v>284</v>
      </c>
      <c r="AT90" s="3" t="str">
        <f>IFERROR(MID(VLOOKUP($B90,Seqs!$A:$B,2,FALSE),AU90,1),"")</f>
        <v>M</v>
      </c>
      <c r="AU90" s="3">
        <v>309</v>
      </c>
      <c r="AV90" s="3" t="str">
        <f>IFERROR(MID(VLOOKUP($B90,Seqs!$A:$B,2,FALSE),AW90,1),"")</f>
        <v>N</v>
      </c>
      <c r="AW90" s="3">
        <v>310</v>
      </c>
      <c r="AX90" s="3" t="str">
        <f>IFERROR(MID(VLOOKUP($B90,Seqs!$A:$B,2,FALSE),AY90,1),"")</f>
        <v>C</v>
      </c>
      <c r="AY90" s="3">
        <v>322</v>
      </c>
      <c r="AZ90" s="83" t="str">
        <f>VLOOKUP(B90,Classification!A:D,2,FALSE)</f>
        <v>A</v>
      </c>
      <c r="BB90" s="82">
        <f>S90-Q90+1</f>
        <v>4</v>
      </c>
      <c r="BC90" s="57">
        <f t="shared" si="116"/>
        <v>237</v>
      </c>
      <c r="BD90" s="63" t="b">
        <f t="shared" si="117"/>
        <v>1</v>
      </c>
      <c r="BE90" s="68" t="s">
        <v>1514</v>
      </c>
      <c r="BF90" s="75" t="s">
        <v>1514</v>
      </c>
      <c r="BG90" s="75" t="s">
        <v>1514</v>
      </c>
      <c r="BH90" s="75" t="s">
        <v>1514</v>
      </c>
      <c r="BI90" s="75" t="s">
        <v>1514</v>
      </c>
      <c r="BJ90" s="75" t="s">
        <v>1514</v>
      </c>
      <c r="BK90" s="75" t="s">
        <v>1514</v>
      </c>
      <c r="BL90" s="75" t="s">
        <v>1514</v>
      </c>
      <c r="BM90" s="75" t="s">
        <v>1514</v>
      </c>
      <c r="BN90" s="75" t="s">
        <v>1514</v>
      </c>
      <c r="BO90" s="75" t="s">
        <v>1514</v>
      </c>
      <c r="BP90" s="75" t="s">
        <v>1514</v>
      </c>
      <c r="BQ90" s="68">
        <f t="shared" si="90"/>
        <v>34</v>
      </c>
      <c r="BR90" s="69">
        <f t="shared" si="91"/>
        <v>66</v>
      </c>
      <c r="BS90" s="70">
        <f t="shared" si="92"/>
        <v>70</v>
      </c>
      <c r="BT90" s="69">
        <f t="shared" si="93"/>
        <v>102</v>
      </c>
      <c r="BU90" s="70">
        <f t="shared" si="94"/>
        <v>106</v>
      </c>
      <c r="BV90" s="69" t="str">
        <f t="shared" si="95"/>
        <v>-</v>
      </c>
      <c r="BW90" s="70">
        <f t="shared" si="96"/>
        <v>150</v>
      </c>
      <c r="BX90" s="69">
        <f t="shared" si="97"/>
        <v>187</v>
      </c>
      <c r="BY90" s="70">
        <f t="shared" si="98"/>
        <v>199</v>
      </c>
      <c r="BZ90" s="69">
        <f t="shared" si="99"/>
        <v>243</v>
      </c>
      <c r="CA90" s="70">
        <f t="shared" si="100"/>
        <v>284</v>
      </c>
      <c r="CB90" s="69">
        <f t="shared" si="101"/>
        <v>310</v>
      </c>
      <c r="CC90" s="68">
        <f t="shared" si="102"/>
        <v>65</v>
      </c>
      <c r="CD90" s="69">
        <f t="shared" si="103"/>
        <v>69</v>
      </c>
      <c r="CE90" s="70">
        <f t="shared" si="104"/>
        <v>100</v>
      </c>
      <c r="CF90" s="70">
        <f t="shared" si="105"/>
        <v>105</v>
      </c>
      <c r="CG90" s="70">
        <f t="shared" si="106"/>
        <v>141</v>
      </c>
      <c r="CH90" s="70" t="str">
        <f t="shared" si="107"/>
        <v>-</v>
      </c>
      <c r="CI90" s="70">
        <f t="shared" si="108"/>
        <v>173</v>
      </c>
      <c r="CJ90" s="70">
        <f t="shared" si="109"/>
        <v>189</v>
      </c>
      <c r="CK90" s="70">
        <f t="shared" si="110"/>
        <v>225</v>
      </c>
      <c r="CL90" s="70">
        <f t="shared" si="111"/>
        <v>278</v>
      </c>
      <c r="CM90" s="70">
        <f t="shared" si="112"/>
        <v>309</v>
      </c>
      <c r="CN90" s="70">
        <f t="shared" si="113"/>
        <v>322</v>
      </c>
      <c r="CO90" s="57">
        <f t="shared" si="114"/>
        <v>1</v>
      </c>
    </row>
    <row r="91" spans="1:93" x14ac:dyDescent="0.2">
      <c r="A91" s="3" t="str">
        <f t="shared" si="115"/>
        <v>opsd_bovin_3DQB</v>
      </c>
      <c r="B91" s="3" t="s">
        <v>1116</v>
      </c>
      <c r="C91" s="3" t="s">
        <v>245</v>
      </c>
      <c r="D91" s="3" t="str">
        <f>IFERROR(MID(VLOOKUP($B91,Seqs!$A:$B,2,FALSE),E91,1),"")</f>
        <v>P</v>
      </c>
      <c r="E91" s="3">
        <v>34</v>
      </c>
      <c r="F91" s="3" t="str">
        <f>IFERROR(MID(VLOOKUP($B91,Seqs!$A:$B,2,FALSE),G91,1),"")</f>
        <v>H</v>
      </c>
      <c r="G91" s="3">
        <v>65</v>
      </c>
      <c r="H91" s="3" t="str">
        <f>IFERROR(MID(VLOOKUP($B91,Seqs!$A:$B,2,FALSE),I91,1),"")</f>
        <v>K</v>
      </c>
      <c r="I91" s="57">
        <v>66</v>
      </c>
      <c r="J91" s="3" t="str">
        <f>IFERROR(MID(VLOOKUP($B91,Seqs!$A:$B,2,FALSE),K91,1),"")</f>
        <v>R</v>
      </c>
      <c r="K91" s="57">
        <v>69</v>
      </c>
      <c r="L91" s="3" t="str">
        <f>IFERROR(MID(VLOOKUP($B91,Seqs!$A:$B,2,FALSE),M91,1),"")</f>
        <v>T</v>
      </c>
      <c r="M91" s="3">
        <v>70</v>
      </c>
      <c r="N91" s="3" t="str">
        <f>IFERROR(MID(VLOOKUP($B91,Seqs!$A:$B,2,FALSE),O91,1),"")</f>
        <v>H</v>
      </c>
      <c r="O91" s="3">
        <v>100</v>
      </c>
      <c r="P91" s="3" t="str">
        <f>IFERROR(MID(VLOOKUP($B91,Seqs!$A:$B,2,FALSE),Q91,1),"")</f>
        <v>Y</v>
      </c>
      <c r="Q91" s="3">
        <v>102</v>
      </c>
      <c r="R91" s="3" t="str">
        <f>IFERROR(MID(VLOOKUP($B91,Seqs!$A:$B,2,FALSE),S91,1),"")</f>
        <v>F</v>
      </c>
      <c r="S91" s="3">
        <v>105</v>
      </c>
      <c r="T91" s="3" t="str">
        <f>IFERROR(MID(VLOOKUP($B91,Seqs!$A:$B,2,FALSE),U91,1),"")</f>
        <v>G</v>
      </c>
      <c r="U91" s="3">
        <v>106</v>
      </c>
      <c r="V91" s="3" t="str">
        <f>IFERROR(MID(VLOOKUP($B91,Seqs!$A:$B,2,FALSE),W91,1),"")</f>
        <v>K</v>
      </c>
      <c r="W91" s="3">
        <v>141</v>
      </c>
      <c r="X91" s="3" t="str">
        <f>IFERROR(MID(VLOOKUP($B91,Seqs!$A:$B,2,FALSE),Y91,1),"")</f>
        <v/>
      </c>
      <c r="Y91" s="3" t="s">
        <v>129</v>
      </c>
      <c r="Z91" s="3" t="str">
        <f>IFERROR(MID(VLOOKUP($B91,Seqs!$A:$B,2,FALSE),AA91,1),"")</f>
        <v/>
      </c>
      <c r="AA91" s="3" t="s">
        <v>129</v>
      </c>
      <c r="AB91" s="3" t="str">
        <f>IFERROR(MID(VLOOKUP($B91,Seqs!$A:$B,2,FALSE),AC91,1),"")</f>
        <v>E</v>
      </c>
      <c r="AC91" s="3">
        <v>150</v>
      </c>
      <c r="AD91" s="3" t="str">
        <f>IFERROR(MID(VLOOKUP($B91,Seqs!$A:$B,2,FALSE),AE91,1),"")</f>
        <v>V</v>
      </c>
      <c r="AE91" s="3">
        <v>173</v>
      </c>
      <c r="AF91" s="3" t="str">
        <f>IFERROR(MID(VLOOKUP($B91,Seqs!$A:$B,2,FALSE),AG91,1),"")</f>
        <v>C</v>
      </c>
      <c r="AG91" s="3">
        <v>187</v>
      </c>
      <c r="AH91" s="3" t="str">
        <f>IFERROR(MID(VLOOKUP($B91,Seqs!$A:$B,2,FALSE),AI91,1),"")</f>
        <v>I</v>
      </c>
      <c r="AI91" s="3">
        <v>189</v>
      </c>
      <c r="AJ91" s="3" t="str">
        <f>IFERROR(MID(VLOOKUP($B91,Seqs!$A:$B,2,FALSE),AK91,1),"")</f>
        <v>N</v>
      </c>
      <c r="AK91" s="3">
        <v>199</v>
      </c>
      <c r="AL91" s="3" t="str">
        <f>IFERROR(MID(VLOOKUP($B91,Seqs!$A:$B,2,FALSE),AM91,1),"")</f>
        <v>Q</v>
      </c>
      <c r="AM91" s="3">
        <v>237</v>
      </c>
      <c r="AN91" s="3" t="str">
        <f>IFERROR(MID(VLOOKUP($B91,Seqs!$A:$B,2,FALSE),AO91,1),"")</f>
        <v>A</v>
      </c>
      <c r="AO91" s="3">
        <v>241</v>
      </c>
      <c r="AP91" s="3" t="str">
        <f>IFERROR(MID(VLOOKUP($B91,Seqs!$A:$B,2,FALSE),AQ91,1),"")</f>
        <v>H</v>
      </c>
      <c r="AQ91" s="3">
        <v>278</v>
      </c>
      <c r="AR91" s="3" t="str">
        <f>IFERROR(MID(VLOOKUP($B91,Seqs!$A:$B,2,FALSE),AS91,1),"")</f>
        <v>G</v>
      </c>
      <c r="AS91" s="3">
        <v>284</v>
      </c>
      <c r="AT91" s="3" t="str">
        <f>IFERROR(MID(VLOOKUP($B91,Seqs!$A:$B,2,FALSE),AU91,1),"")</f>
        <v>M</v>
      </c>
      <c r="AU91" s="3">
        <v>309</v>
      </c>
      <c r="AV91" s="3" t="str">
        <f>IFERROR(MID(VLOOKUP($B91,Seqs!$A:$B,2,FALSE),AW91,1),"")</f>
        <v>N</v>
      </c>
      <c r="AW91" s="3">
        <v>310</v>
      </c>
      <c r="AX91" s="3" t="str">
        <f>IFERROR(MID(VLOOKUP($B91,Seqs!$A:$B,2,FALSE),AY91,1),"")</f>
        <v>C</v>
      </c>
      <c r="AY91" s="3">
        <v>322</v>
      </c>
      <c r="AZ91" s="83" t="str">
        <f>VLOOKUP(B91,Classification!A:D,2,FALSE)</f>
        <v>A</v>
      </c>
      <c r="BC91" s="57">
        <f t="shared" si="116"/>
        <v>251</v>
      </c>
      <c r="BD91" s="63" t="b">
        <f t="shared" si="117"/>
        <v>1</v>
      </c>
      <c r="BE91" s="68" t="s">
        <v>1514</v>
      </c>
      <c r="BF91" s="75" t="s">
        <v>1514</v>
      </c>
      <c r="BG91" s="75" t="s">
        <v>1514</v>
      </c>
      <c r="BH91" s="75" t="s">
        <v>1514</v>
      </c>
      <c r="BI91" s="75" t="s">
        <v>1514</v>
      </c>
      <c r="BJ91" s="75" t="s">
        <v>1514</v>
      </c>
      <c r="BK91" s="75" t="s">
        <v>1514</v>
      </c>
      <c r="BL91" s="75" t="s">
        <v>1514</v>
      </c>
      <c r="BM91" s="75" t="s">
        <v>1514</v>
      </c>
      <c r="BN91" s="75" t="s">
        <v>1514</v>
      </c>
      <c r="BO91" s="75" t="s">
        <v>1514</v>
      </c>
      <c r="BP91" s="75" t="s">
        <v>1514</v>
      </c>
      <c r="BQ91" s="68">
        <f t="shared" si="90"/>
        <v>34</v>
      </c>
      <c r="BR91" s="69">
        <f t="shared" si="91"/>
        <v>66</v>
      </c>
      <c r="BS91" s="70">
        <f t="shared" si="92"/>
        <v>70</v>
      </c>
      <c r="BT91" s="69">
        <f t="shared" si="93"/>
        <v>102</v>
      </c>
      <c r="BU91" s="70">
        <f t="shared" si="94"/>
        <v>106</v>
      </c>
      <c r="BV91" s="69" t="str">
        <f t="shared" si="95"/>
        <v>-</v>
      </c>
      <c r="BW91" s="70">
        <f t="shared" si="96"/>
        <v>150</v>
      </c>
      <c r="BX91" s="69">
        <f t="shared" si="97"/>
        <v>187</v>
      </c>
      <c r="BY91" s="70">
        <f t="shared" si="98"/>
        <v>199</v>
      </c>
      <c r="BZ91" s="69">
        <f t="shared" si="99"/>
        <v>241</v>
      </c>
      <c r="CA91" s="70">
        <f t="shared" si="100"/>
        <v>284</v>
      </c>
      <c r="CB91" s="69">
        <f t="shared" si="101"/>
        <v>310</v>
      </c>
      <c r="CC91" s="68">
        <f t="shared" si="102"/>
        <v>65</v>
      </c>
      <c r="CD91" s="69">
        <f t="shared" si="103"/>
        <v>69</v>
      </c>
      <c r="CE91" s="70">
        <f t="shared" si="104"/>
        <v>100</v>
      </c>
      <c r="CF91" s="70">
        <f t="shared" si="105"/>
        <v>105</v>
      </c>
      <c r="CG91" s="70">
        <f t="shared" si="106"/>
        <v>141</v>
      </c>
      <c r="CH91" s="70" t="str">
        <f t="shared" si="107"/>
        <v>-</v>
      </c>
      <c r="CI91" s="70">
        <f t="shared" si="108"/>
        <v>173</v>
      </c>
      <c r="CJ91" s="70">
        <f t="shared" si="109"/>
        <v>189</v>
      </c>
      <c r="CK91" s="70">
        <f t="shared" si="110"/>
        <v>237</v>
      </c>
      <c r="CL91" s="70">
        <f t="shared" si="111"/>
        <v>278</v>
      </c>
      <c r="CM91" s="70">
        <f t="shared" si="112"/>
        <v>309</v>
      </c>
      <c r="CN91" s="70">
        <f t="shared" si="113"/>
        <v>322</v>
      </c>
      <c r="CO91" s="57">
        <f t="shared" si="114"/>
        <v>1</v>
      </c>
    </row>
    <row r="92" spans="1:93" x14ac:dyDescent="0.2">
      <c r="A92" s="3" t="str">
        <f t="shared" si="115"/>
        <v>opsd_bovin_3PQR</v>
      </c>
      <c r="B92" s="3" t="s">
        <v>1116</v>
      </c>
      <c r="C92" s="3" t="s">
        <v>1239</v>
      </c>
      <c r="D92" s="3" t="str">
        <f>IFERROR(MID(VLOOKUP($B92,Seqs!$A:$B,2,FALSE),E92,1),"")</f>
        <v>P</v>
      </c>
      <c r="E92" s="3">
        <v>34</v>
      </c>
      <c r="F92" s="3" t="str">
        <f>IFERROR(MID(VLOOKUP($B92,Seqs!$A:$B,2,FALSE),G92,1),"")</f>
        <v>H</v>
      </c>
      <c r="G92" s="3">
        <v>65</v>
      </c>
      <c r="H92" s="3" t="str">
        <f>IFERROR(MID(VLOOKUP($B92,Seqs!$A:$B,2,FALSE),I92,1),"")</f>
        <v>K</v>
      </c>
      <c r="I92" s="57">
        <v>66</v>
      </c>
      <c r="J92" s="3" t="str">
        <f>IFERROR(MID(VLOOKUP($B92,Seqs!$A:$B,2,FALSE),K92,1),"")</f>
        <v>R</v>
      </c>
      <c r="K92" s="57">
        <v>69</v>
      </c>
      <c r="L92" s="3" t="str">
        <f>IFERROR(MID(VLOOKUP($B92,Seqs!$A:$B,2,FALSE),M92,1),"")</f>
        <v>T</v>
      </c>
      <c r="M92" s="3">
        <v>70</v>
      </c>
      <c r="N92" s="3" t="str">
        <f>IFERROR(MID(VLOOKUP($B92,Seqs!$A:$B,2,FALSE),O92,1),"")</f>
        <v>H</v>
      </c>
      <c r="O92" s="3">
        <v>100</v>
      </c>
      <c r="P92" s="3" t="str">
        <f>IFERROR(MID(VLOOKUP($B92,Seqs!$A:$B,2,FALSE),Q92,1),"")</f>
        <v>Y</v>
      </c>
      <c r="Q92" s="3">
        <v>102</v>
      </c>
      <c r="R92" s="3" t="str">
        <f>IFERROR(MID(VLOOKUP($B92,Seqs!$A:$B,2,FALSE),S92,1),"")</f>
        <v>F</v>
      </c>
      <c r="S92" s="3">
        <v>105</v>
      </c>
      <c r="T92" s="3" t="str">
        <f>IFERROR(MID(VLOOKUP($B92,Seqs!$A:$B,2,FALSE),U92,1),"")</f>
        <v>G</v>
      </c>
      <c r="U92" s="3">
        <v>106</v>
      </c>
      <c r="V92" s="3" t="str">
        <f>IFERROR(MID(VLOOKUP($B92,Seqs!$A:$B,2,FALSE),W92,1),"")</f>
        <v>K</v>
      </c>
      <c r="W92" s="3">
        <v>141</v>
      </c>
      <c r="X92" s="3" t="str">
        <f>IFERROR(MID(VLOOKUP($B92,Seqs!$A:$B,2,FALSE),Y92,1),"")</f>
        <v/>
      </c>
      <c r="Y92" s="3" t="s">
        <v>129</v>
      </c>
      <c r="Z92" s="3" t="str">
        <f>IFERROR(MID(VLOOKUP($B92,Seqs!$A:$B,2,FALSE),AA92,1),"")</f>
        <v/>
      </c>
      <c r="AA92" s="3" t="s">
        <v>129</v>
      </c>
      <c r="AB92" s="3" t="str">
        <f>IFERROR(MID(VLOOKUP($B92,Seqs!$A:$B,2,FALSE),AC92,1),"")</f>
        <v>E</v>
      </c>
      <c r="AC92" s="3">
        <v>150</v>
      </c>
      <c r="AD92" s="3" t="str">
        <f>IFERROR(MID(VLOOKUP($B92,Seqs!$A:$B,2,FALSE),AE92,1),"")</f>
        <v>V</v>
      </c>
      <c r="AE92" s="3">
        <v>173</v>
      </c>
      <c r="AF92" s="3" t="str">
        <f>IFERROR(MID(VLOOKUP($B92,Seqs!$A:$B,2,FALSE),AG92,1),"")</f>
        <v>C</v>
      </c>
      <c r="AG92" s="3">
        <v>187</v>
      </c>
      <c r="AH92" s="3" t="str">
        <f>IFERROR(MID(VLOOKUP($B92,Seqs!$A:$B,2,FALSE),AI92,1),"")</f>
        <v>I</v>
      </c>
      <c r="AI92" s="3">
        <v>189</v>
      </c>
      <c r="AJ92" s="3" t="str">
        <f>IFERROR(MID(VLOOKUP($B92,Seqs!$A:$B,2,FALSE),AK92,1),"")</f>
        <v>N</v>
      </c>
      <c r="AK92" s="3">
        <v>199</v>
      </c>
      <c r="AL92" s="3" t="str">
        <f>IFERROR(MID(VLOOKUP($B92,Seqs!$A:$B,2,FALSE),AM92,1),"")</f>
        <v>Q</v>
      </c>
      <c r="AM92" s="3">
        <v>237</v>
      </c>
      <c r="AN92" s="3" t="str">
        <f>IFERROR(MID(VLOOKUP($B92,Seqs!$A:$B,2,FALSE),AO92,1),"")</f>
        <v>A</v>
      </c>
      <c r="AO92" s="3">
        <v>241</v>
      </c>
      <c r="AP92" s="3" t="str">
        <f>IFERROR(MID(VLOOKUP($B92,Seqs!$A:$B,2,FALSE),AQ92,1),"")</f>
        <v>H</v>
      </c>
      <c r="AQ92" s="3">
        <v>278</v>
      </c>
      <c r="AR92" s="3" t="str">
        <f>IFERROR(MID(VLOOKUP($B92,Seqs!$A:$B,2,FALSE),AS92,1),"")</f>
        <v>G</v>
      </c>
      <c r="AS92" s="3">
        <v>284</v>
      </c>
      <c r="AT92" s="3" t="str">
        <f>IFERROR(MID(VLOOKUP($B92,Seqs!$A:$B,2,FALSE),AU92,1),"")</f>
        <v>M</v>
      </c>
      <c r="AU92" s="3">
        <v>309</v>
      </c>
      <c r="AV92" s="3" t="str">
        <f>IFERROR(MID(VLOOKUP($B92,Seqs!$A:$B,2,FALSE),AW92,1),"")</f>
        <v>N</v>
      </c>
      <c r="AW92" s="3">
        <v>310</v>
      </c>
      <c r="AX92" s="3" t="str">
        <f>IFERROR(MID(VLOOKUP($B92,Seqs!$A:$B,2,FALSE),AY92,1),"")</f>
        <v>C</v>
      </c>
      <c r="AY92" s="3">
        <v>322</v>
      </c>
      <c r="AZ92" s="83" t="str">
        <f>VLOOKUP(B92,Classification!A:D,2,FALSE)</f>
        <v>A</v>
      </c>
      <c r="BC92" s="57">
        <f t="shared" si="116"/>
        <v>251</v>
      </c>
      <c r="BD92" s="63" t="b">
        <f t="shared" si="117"/>
        <v>1</v>
      </c>
      <c r="BE92" s="68" t="s">
        <v>1514</v>
      </c>
      <c r="BF92" s="75" t="s">
        <v>1514</v>
      </c>
      <c r="BG92" s="75" t="s">
        <v>1514</v>
      </c>
      <c r="BH92" s="75" t="s">
        <v>1514</v>
      </c>
      <c r="BI92" s="75" t="s">
        <v>1514</v>
      </c>
      <c r="BJ92" s="75" t="s">
        <v>1514</v>
      </c>
      <c r="BK92" s="75" t="s">
        <v>1514</v>
      </c>
      <c r="BL92" s="75" t="s">
        <v>1514</v>
      </c>
      <c r="BM92" s="75" t="s">
        <v>1514</v>
      </c>
      <c r="BN92" s="75" t="s">
        <v>1514</v>
      </c>
      <c r="BO92" s="75" t="s">
        <v>1514</v>
      </c>
      <c r="BP92" s="75" t="s">
        <v>1514</v>
      </c>
      <c r="BQ92" s="68">
        <f t="shared" si="90"/>
        <v>34</v>
      </c>
      <c r="BR92" s="69">
        <f t="shared" si="91"/>
        <v>66</v>
      </c>
      <c r="BS92" s="70">
        <f t="shared" si="92"/>
        <v>70</v>
      </c>
      <c r="BT92" s="69">
        <f t="shared" si="93"/>
        <v>102</v>
      </c>
      <c r="BU92" s="70">
        <f t="shared" si="94"/>
        <v>106</v>
      </c>
      <c r="BV92" s="69" t="str">
        <f t="shared" si="95"/>
        <v>-</v>
      </c>
      <c r="BW92" s="70">
        <f t="shared" si="96"/>
        <v>150</v>
      </c>
      <c r="BX92" s="69">
        <f t="shared" si="97"/>
        <v>187</v>
      </c>
      <c r="BY92" s="70">
        <f t="shared" si="98"/>
        <v>199</v>
      </c>
      <c r="BZ92" s="69">
        <f t="shared" si="99"/>
        <v>241</v>
      </c>
      <c r="CA92" s="70">
        <f t="shared" si="100"/>
        <v>284</v>
      </c>
      <c r="CB92" s="69">
        <f t="shared" si="101"/>
        <v>310</v>
      </c>
      <c r="CC92" s="68">
        <f t="shared" si="102"/>
        <v>65</v>
      </c>
      <c r="CD92" s="69">
        <f t="shared" si="103"/>
        <v>69</v>
      </c>
      <c r="CE92" s="70">
        <f t="shared" si="104"/>
        <v>100</v>
      </c>
      <c r="CF92" s="70">
        <f t="shared" si="105"/>
        <v>105</v>
      </c>
      <c r="CG92" s="70">
        <f t="shared" si="106"/>
        <v>141</v>
      </c>
      <c r="CH92" s="70" t="str">
        <f t="shared" si="107"/>
        <v>-</v>
      </c>
      <c r="CI92" s="70">
        <f t="shared" si="108"/>
        <v>173</v>
      </c>
      <c r="CJ92" s="70">
        <f t="shared" si="109"/>
        <v>189</v>
      </c>
      <c r="CK92" s="70">
        <f t="shared" si="110"/>
        <v>237</v>
      </c>
      <c r="CL92" s="70">
        <f t="shared" si="111"/>
        <v>278</v>
      </c>
      <c r="CM92" s="70">
        <f t="shared" si="112"/>
        <v>309</v>
      </c>
      <c r="CN92" s="70">
        <f t="shared" si="113"/>
        <v>322</v>
      </c>
      <c r="CO92" s="57">
        <f t="shared" si="114"/>
        <v>1</v>
      </c>
    </row>
    <row r="93" spans="1:93" x14ac:dyDescent="0.2">
      <c r="A93" s="3" t="str">
        <f t="shared" si="115"/>
        <v>opsd_bovin_4J4Q</v>
      </c>
      <c r="B93" s="3" t="s">
        <v>1116</v>
      </c>
      <c r="C93" s="3" t="s">
        <v>1250</v>
      </c>
      <c r="D93" s="3" t="str">
        <f>IFERROR(MID(VLOOKUP($B93,Seqs!$A:$B,2,FALSE),E93,1),"")</f>
        <v>P</v>
      </c>
      <c r="E93" s="3">
        <v>34</v>
      </c>
      <c r="F93" s="3" t="str">
        <f>IFERROR(MID(VLOOKUP($B93,Seqs!$A:$B,2,FALSE),G93,1),"")</f>
        <v>H</v>
      </c>
      <c r="G93" s="3">
        <v>65</v>
      </c>
      <c r="H93" s="3" t="str">
        <f>IFERROR(MID(VLOOKUP($B93,Seqs!$A:$B,2,FALSE),I93,1),"")</f>
        <v>K</v>
      </c>
      <c r="I93" s="57">
        <v>66</v>
      </c>
      <c r="J93" s="3" t="str">
        <f>IFERROR(MID(VLOOKUP($B93,Seqs!$A:$B,2,FALSE),K93,1),"")</f>
        <v>R</v>
      </c>
      <c r="K93" s="57">
        <v>69</v>
      </c>
      <c r="L93" s="3" t="str">
        <f>IFERROR(MID(VLOOKUP($B93,Seqs!$A:$B,2,FALSE),M93,1),"")</f>
        <v>T</v>
      </c>
      <c r="M93" s="3">
        <v>70</v>
      </c>
      <c r="N93" s="3" t="str">
        <f>IFERROR(MID(VLOOKUP($B93,Seqs!$A:$B,2,FALSE),O93,1),"")</f>
        <v>H</v>
      </c>
      <c r="O93" s="3">
        <v>100</v>
      </c>
      <c r="P93" s="3" t="str">
        <f>IFERROR(MID(VLOOKUP($B93,Seqs!$A:$B,2,FALSE),Q93,1),"")</f>
        <v>Y</v>
      </c>
      <c r="Q93" s="3">
        <v>102</v>
      </c>
      <c r="R93" s="3" t="str">
        <f>IFERROR(MID(VLOOKUP($B93,Seqs!$A:$B,2,FALSE),S93,1),"")</f>
        <v>F</v>
      </c>
      <c r="S93" s="3">
        <v>105</v>
      </c>
      <c r="T93" s="3" t="str">
        <f>IFERROR(MID(VLOOKUP($B93,Seqs!$A:$B,2,FALSE),U93,1),"")</f>
        <v>G</v>
      </c>
      <c r="U93" s="3">
        <v>106</v>
      </c>
      <c r="V93" s="3" t="str">
        <f>IFERROR(MID(VLOOKUP($B93,Seqs!$A:$B,2,FALSE),W93,1),"")</f>
        <v>K</v>
      </c>
      <c r="W93" s="3">
        <v>141</v>
      </c>
      <c r="X93" s="3" t="str">
        <f>IFERROR(MID(VLOOKUP($B93,Seqs!$A:$B,2,FALSE),Y93,1),"")</f>
        <v/>
      </c>
      <c r="Y93" s="3" t="s">
        <v>129</v>
      </c>
      <c r="Z93" s="3" t="str">
        <f>IFERROR(MID(VLOOKUP($B93,Seqs!$A:$B,2,FALSE),AA93,1),"")</f>
        <v/>
      </c>
      <c r="AA93" s="3" t="s">
        <v>129</v>
      </c>
      <c r="AB93" s="3" t="str">
        <f>IFERROR(MID(VLOOKUP($B93,Seqs!$A:$B,2,FALSE),AC93,1),"")</f>
        <v>E</v>
      </c>
      <c r="AC93" s="3">
        <v>150</v>
      </c>
      <c r="AD93" s="3" t="str">
        <f>IFERROR(MID(VLOOKUP($B93,Seqs!$A:$B,2,FALSE),AE93,1),"")</f>
        <v>V</v>
      </c>
      <c r="AE93" s="3">
        <v>173</v>
      </c>
      <c r="AF93" s="3" t="str">
        <f>IFERROR(MID(VLOOKUP($B93,Seqs!$A:$B,2,FALSE),AG93,1),"")</f>
        <v>C</v>
      </c>
      <c r="AG93" s="3">
        <v>187</v>
      </c>
      <c r="AH93" s="3" t="str">
        <f>IFERROR(MID(VLOOKUP($B93,Seqs!$A:$B,2,FALSE),AI93,1),"")</f>
        <v>I</v>
      </c>
      <c r="AI93" s="3">
        <v>189</v>
      </c>
      <c r="AJ93" s="3" t="str">
        <f>IFERROR(MID(VLOOKUP($B93,Seqs!$A:$B,2,FALSE),AK93,1),"")</f>
        <v>N</v>
      </c>
      <c r="AK93" s="3">
        <v>199</v>
      </c>
      <c r="AL93" s="3" t="str">
        <f>IFERROR(MID(VLOOKUP($B93,Seqs!$A:$B,2,FALSE),AM93,1),"")</f>
        <v>Q</v>
      </c>
      <c r="AM93" s="3">
        <v>237</v>
      </c>
      <c r="AN93" s="3" t="str">
        <f>IFERROR(MID(VLOOKUP($B93,Seqs!$A:$B,2,FALSE),AO93,1),"")</f>
        <v>A</v>
      </c>
      <c r="AO93" s="3">
        <v>241</v>
      </c>
      <c r="AP93" s="3" t="str">
        <f>IFERROR(MID(VLOOKUP($B93,Seqs!$A:$B,2,FALSE),AQ93,1),"")</f>
        <v>H</v>
      </c>
      <c r="AQ93" s="3">
        <v>278</v>
      </c>
      <c r="AR93" s="3" t="str">
        <f>IFERROR(MID(VLOOKUP($B93,Seqs!$A:$B,2,FALSE),AS93,1),"")</f>
        <v>G</v>
      </c>
      <c r="AS93" s="3">
        <v>284</v>
      </c>
      <c r="AT93" s="3" t="str">
        <f>IFERROR(MID(VLOOKUP($B93,Seqs!$A:$B,2,FALSE),AU93,1),"")</f>
        <v>M</v>
      </c>
      <c r="AU93" s="3">
        <v>309</v>
      </c>
      <c r="AV93" s="3" t="str">
        <f>IFERROR(MID(VLOOKUP($B93,Seqs!$A:$B,2,FALSE),AW93,1),"")</f>
        <v>N</v>
      </c>
      <c r="AW93" s="3">
        <v>310</v>
      </c>
      <c r="AX93" s="3" t="str">
        <f>IFERROR(MID(VLOOKUP($B93,Seqs!$A:$B,2,FALSE),AY93,1),"")</f>
        <v>C</v>
      </c>
      <c r="AY93" s="3">
        <v>322</v>
      </c>
      <c r="AZ93" s="83" t="str">
        <f>VLOOKUP(B93,Classification!A:D,2,FALSE)</f>
        <v>A</v>
      </c>
      <c r="BC93" s="57">
        <f t="shared" si="116"/>
        <v>251</v>
      </c>
      <c r="BD93" s="63" t="b">
        <f t="shared" si="117"/>
        <v>1</v>
      </c>
      <c r="BE93" s="68" t="s">
        <v>1514</v>
      </c>
      <c r="BF93" s="75" t="s">
        <v>1514</v>
      </c>
      <c r="BG93" s="75" t="s">
        <v>1514</v>
      </c>
      <c r="BH93" s="75" t="s">
        <v>1514</v>
      </c>
      <c r="BI93" s="75" t="s">
        <v>1514</v>
      </c>
      <c r="BJ93" s="75" t="s">
        <v>1514</v>
      </c>
      <c r="BK93" s="75" t="s">
        <v>1514</v>
      </c>
      <c r="BL93" s="75" t="s">
        <v>1514</v>
      </c>
      <c r="BM93" s="75" t="s">
        <v>1514</v>
      </c>
      <c r="BN93" s="75" t="s">
        <v>1514</v>
      </c>
      <c r="BO93" s="75" t="s">
        <v>1514</v>
      </c>
      <c r="BP93" s="75" t="s">
        <v>1514</v>
      </c>
      <c r="BQ93" s="68">
        <f t="shared" si="90"/>
        <v>34</v>
      </c>
      <c r="BR93" s="69">
        <f t="shared" si="91"/>
        <v>66</v>
      </c>
      <c r="BS93" s="70">
        <f t="shared" si="92"/>
        <v>70</v>
      </c>
      <c r="BT93" s="69">
        <f t="shared" si="93"/>
        <v>102</v>
      </c>
      <c r="BU93" s="70">
        <f t="shared" si="94"/>
        <v>106</v>
      </c>
      <c r="BV93" s="69" t="str">
        <f t="shared" si="95"/>
        <v>-</v>
      </c>
      <c r="BW93" s="70">
        <f t="shared" si="96"/>
        <v>150</v>
      </c>
      <c r="BX93" s="69">
        <f t="shared" si="97"/>
        <v>187</v>
      </c>
      <c r="BY93" s="70">
        <f t="shared" si="98"/>
        <v>199</v>
      </c>
      <c r="BZ93" s="69">
        <f t="shared" si="99"/>
        <v>241</v>
      </c>
      <c r="CA93" s="70">
        <f t="shared" si="100"/>
        <v>284</v>
      </c>
      <c r="CB93" s="69">
        <f t="shared" si="101"/>
        <v>310</v>
      </c>
      <c r="CC93" s="68">
        <f t="shared" si="102"/>
        <v>65</v>
      </c>
      <c r="CD93" s="69">
        <f t="shared" si="103"/>
        <v>69</v>
      </c>
      <c r="CE93" s="70">
        <f t="shared" si="104"/>
        <v>100</v>
      </c>
      <c r="CF93" s="70">
        <f t="shared" si="105"/>
        <v>105</v>
      </c>
      <c r="CG93" s="70">
        <f t="shared" si="106"/>
        <v>141</v>
      </c>
      <c r="CH93" s="70" t="str">
        <f t="shared" si="107"/>
        <v>-</v>
      </c>
      <c r="CI93" s="70">
        <f t="shared" si="108"/>
        <v>173</v>
      </c>
      <c r="CJ93" s="70">
        <f t="shared" si="109"/>
        <v>189</v>
      </c>
      <c r="CK93" s="70">
        <f t="shared" si="110"/>
        <v>237</v>
      </c>
      <c r="CL93" s="70">
        <f t="shared" si="111"/>
        <v>278</v>
      </c>
      <c r="CM93" s="70">
        <f t="shared" si="112"/>
        <v>309</v>
      </c>
      <c r="CN93" s="70">
        <f t="shared" si="113"/>
        <v>322</v>
      </c>
      <c r="CO93" s="57">
        <f t="shared" si="114"/>
        <v>1</v>
      </c>
    </row>
    <row r="94" spans="1:93" x14ac:dyDescent="0.2">
      <c r="A94" s="3" t="str">
        <f t="shared" si="115"/>
        <v>opsd_human__wt</v>
      </c>
      <c r="B94" s="3" t="s">
        <v>533</v>
      </c>
      <c r="C94" s="3" t="s">
        <v>294</v>
      </c>
      <c r="D94" s="3" t="str">
        <f>IFERROR(MID(VLOOKUP($B94,Seqs!$A:$B,2,FALSE),E94,1),"")</f>
        <v>P</v>
      </c>
      <c r="E94" s="3">
        <v>34</v>
      </c>
      <c r="F94" s="3" t="str">
        <f>IFERROR(MID(VLOOKUP($B94,Seqs!$A:$B,2,FALSE),G94,1),"")</f>
        <v>H</v>
      </c>
      <c r="G94" s="3">
        <v>65</v>
      </c>
      <c r="H94" s="3" t="str">
        <f>IFERROR(MID(VLOOKUP($B94,Seqs!$A:$B,2,FALSE),I94,1),"")</f>
        <v>K</v>
      </c>
      <c r="I94" s="57">
        <v>66</v>
      </c>
      <c r="J94" s="3" t="str">
        <f>IFERROR(MID(VLOOKUP($B94,Seqs!$A:$B,2,FALSE),K94,1),"")</f>
        <v>R</v>
      </c>
      <c r="K94" s="57">
        <v>69</v>
      </c>
      <c r="L94" s="3" t="str">
        <f>IFERROR(MID(VLOOKUP($B94,Seqs!$A:$B,2,FALSE),M94,1),"")</f>
        <v>T</v>
      </c>
      <c r="M94" s="3">
        <v>70</v>
      </c>
      <c r="N94" s="3" t="str">
        <f>IFERROR(MID(VLOOKUP($B94,Seqs!$A:$B,2,FALSE),O94,1),"")</f>
        <v>H</v>
      </c>
      <c r="O94" s="3">
        <v>100</v>
      </c>
      <c r="P94" s="3" t="str">
        <f>IFERROR(MID(VLOOKUP($B94,Seqs!$A:$B,2,FALSE),Q94,1),"")</f>
        <v>Y</v>
      </c>
      <c r="Q94" s="3">
        <v>102</v>
      </c>
      <c r="R94" s="3" t="str">
        <f>IFERROR(MID(VLOOKUP($B94,Seqs!$A:$B,2,FALSE),S94,1),"")</f>
        <v>F</v>
      </c>
      <c r="S94" s="3">
        <v>105</v>
      </c>
      <c r="T94" s="3" t="str">
        <f>IFERROR(MID(VLOOKUP($B94,Seqs!$A:$B,2,FALSE),U94,1),"")</f>
        <v>G</v>
      </c>
      <c r="U94" s="3">
        <v>106</v>
      </c>
      <c r="V94" s="3" t="str">
        <f>IFERROR(MID(VLOOKUP($B94,Seqs!$A:$B,2,FALSE),W94,1),"")</f>
        <v>K</v>
      </c>
      <c r="W94" s="3">
        <v>141</v>
      </c>
      <c r="X94" s="3" t="str">
        <f>IFERROR(MID(VLOOKUP($B94,Seqs!$A:$B,2,FALSE),Y94,1),"")</f>
        <v>P</v>
      </c>
      <c r="Y94" s="3">
        <v>142</v>
      </c>
      <c r="Z94" s="3" t="str">
        <f>IFERROR(MID(VLOOKUP($B94,Seqs!$A:$B,2,FALSE),AA94,1),"")</f>
        <v>G</v>
      </c>
      <c r="AA94" s="3">
        <v>149</v>
      </c>
      <c r="AB94" s="3" t="str">
        <f>IFERROR(MID(VLOOKUP($B94,Seqs!$A:$B,2,FALSE),AC94,1),"")</f>
        <v>E</v>
      </c>
      <c r="AC94" s="3">
        <v>150</v>
      </c>
      <c r="AD94" s="3" t="str">
        <f>IFERROR(MID(VLOOKUP($B94,Seqs!$A:$B,2,FALSE),AE94,1),"")</f>
        <v>A</v>
      </c>
      <c r="AE94" s="3">
        <v>173</v>
      </c>
      <c r="AF94" s="3" t="str">
        <f>IFERROR(MID(VLOOKUP($B94,Seqs!$A:$B,2,FALSE),AG94,1),"")</f>
        <v>C</v>
      </c>
      <c r="AG94" s="3">
        <v>187</v>
      </c>
      <c r="AH94" s="3" t="str">
        <f>IFERROR(MID(VLOOKUP($B94,Seqs!$A:$B,2,FALSE),AI94,1),"")</f>
        <v>I</v>
      </c>
      <c r="AI94" s="3">
        <v>189</v>
      </c>
      <c r="AJ94" s="3" t="str">
        <f>IFERROR(MID(VLOOKUP($B94,Seqs!$A:$B,2,FALSE),AK94,1),"")</f>
        <v>N</v>
      </c>
      <c r="AK94" s="3">
        <v>199</v>
      </c>
      <c r="AL94" s="3" t="str">
        <f>IFERROR(MID(VLOOKUP($B94,Seqs!$A:$B,2,FALSE),AM94,1),"")</f>
        <v>Q</v>
      </c>
      <c r="AM94" s="3">
        <v>237</v>
      </c>
      <c r="AN94" s="3" t="str">
        <f>IFERROR(MID(VLOOKUP($B94,Seqs!$A:$B,2,FALSE),AO94,1),"")</f>
        <v>A</v>
      </c>
      <c r="AO94" s="3">
        <v>241</v>
      </c>
      <c r="AP94" s="3" t="str">
        <f>IFERROR(MID(VLOOKUP($B94,Seqs!$A:$B,2,FALSE),AQ94,1),"")</f>
        <v>H</v>
      </c>
      <c r="AQ94" s="3">
        <v>278</v>
      </c>
      <c r="AR94" s="3" t="str">
        <f>IFERROR(MID(VLOOKUP($B94,Seqs!$A:$B,2,FALSE),AS94,1),"")</f>
        <v>G</v>
      </c>
      <c r="AS94" s="3">
        <v>284</v>
      </c>
      <c r="AT94" s="3" t="str">
        <f>IFERROR(MID(VLOOKUP($B94,Seqs!$A:$B,2,FALSE),AU94,1),"")</f>
        <v>M</v>
      </c>
      <c r="AU94" s="3">
        <v>309</v>
      </c>
      <c r="AV94" s="3" t="str">
        <f>IFERROR(MID(VLOOKUP($B94,Seqs!$A:$B,2,FALSE),AW94,1),"")</f>
        <v>N</v>
      </c>
      <c r="AW94" s="3">
        <v>310</v>
      </c>
      <c r="AX94" s="3" t="str">
        <f>IFERROR(MID(VLOOKUP($B94,Seqs!$A:$B,2,FALSE),AY94,1),"")</f>
        <v>C</v>
      </c>
      <c r="AY94" s="3">
        <v>322</v>
      </c>
      <c r="AZ94" s="83" t="str">
        <f>VLOOKUP(B94,Classification!A:D,2,FALSE)</f>
        <v>A</v>
      </c>
      <c r="BB94" s="82">
        <f>S94-Q94+1</f>
        <v>4</v>
      </c>
      <c r="BC94" s="57">
        <f t="shared" si="116"/>
        <v>258</v>
      </c>
      <c r="BD94" s="63" t="b">
        <f t="shared" si="117"/>
        <v>1</v>
      </c>
      <c r="BE94" s="68" t="s">
        <v>1514</v>
      </c>
      <c r="BF94" s="75" t="s">
        <v>1514</v>
      </c>
      <c r="BG94" s="75" t="s">
        <v>1514</v>
      </c>
      <c r="BH94" s="75" t="s">
        <v>1514</v>
      </c>
      <c r="BI94" s="75" t="s">
        <v>1514</v>
      </c>
      <c r="BJ94" s="75" t="s">
        <v>1514</v>
      </c>
      <c r="BK94" s="75" t="s">
        <v>1514</v>
      </c>
      <c r="BL94" s="75" t="s">
        <v>1514</v>
      </c>
      <c r="BM94" s="75" t="s">
        <v>1514</v>
      </c>
      <c r="BN94" s="75" t="s">
        <v>1514</v>
      </c>
      <c r="BO94" s="75" t="s">
        <v>1514</v>
      </c>
      <c r="BP94" s="75" t="s">
        <v>1514</v>
      </c>
      <c r="BQ94" s="68">
        <f t="shared" si="90"/>
        <v>34</v>
      </c>
      <c r="BR94" s="69">
        <f t="shared" si="91"/>
        <v>66</v>
      </c>
      <c r="BS94" s="70">
        <f t="shared" si="92"/>
        <v>70</v>
      </c>
      <c r="BT94" s="69">
        <f t="shared" si="93"/>
        <v>102</v>
      </c>
      <c r="BU94" s="70">
        <f t="shared" si="94"/>
        <v>106</v>
      </c>
      <c r="BV94" s="69">
        <f t="shared" si="95"/>
        <v>142</v>
      </c>
      <c r="BW94" s="70">
        <f t="shared" si="96"/>
        <v>150</v>
      </c>
      <c r="BX94" s="69">
        <f t="shared" si="97"/>
        <v>187</v>
      </c>
      <c r="BY94" s="70">
        <f t="shared" si="98"/>
        <v>199</v>
      </c>
      <c r="BZ94" s="69">
        <f t="shared" si="99"/>
        <v>241</v>
      </c>
      <c r="CA94" s="70">
        <f t="shared" si="100"/>
        <v>284</v>
      </c>
      <c r="CB94" s="69">
        <f t="shared" si="101"/>
        <v>310</v>
      </c>
      <c r="CC94" s="68">
        <f t="shared" si="102"/>
        <v>65</v>
      </c>
      <c r="CD94" s="69">
        <f t="shared" si="103"/>
        <v>69</v>
      </c>
      <c r="CE94" s="70">
        <f t="shared" si="104"/>
        <v>100</v>
      </c>
      <c r="CF94" s="70">
        <f t="shared" si="105"/>
        <v>105</v>
      </c>
      <c r="CG94" s="70">
        <f t="shared" si="106"/>
        <v>141</v>
      </c>
      <c r="CH94" s="70">
        <f t="shared" si="107"/>
        <v>149</v>
      </c>
      <c r="CI94" s="70">
        <f t="shared" si="108"/>
        <v>173</v>
      </c>
      <c r="CJ94" s="70">
        <f t="shared" si="109"/>
        <v>189</v>
      </c>
      <c r="CK94" s="70">
        <f t="shared" si="110"/>
        <v>237</v>
      </c>
      <c r="CL94" s="70">
        <f t="shared" si="111"/>
        <v>278</v>
      </c>
      <c r="CM94" s="70">
        <f t="shared" si="112"/>
        <v>309</v>
      </c>
      <c r="CN94" s="70">
        <f t="shared" si="113"/>
        <v>322</v>
      </c>
      <c r="CO94" s="57">
        <f t="shared" si="114"/>
        <v>1</v>
      </c>
    </row>
    <row r="95" spans="1:93" x14ac:dyDescent="0.2">
      <c r="A95" s="3" t="str">
        <f t="shared" si="115"/>
        <v>opsd_human_4ZWJ</v>
      </c>
      <c r="B95" s="3" t="s">
        <v>533</v>
      </c>
      <c r="C95" s="3" t="s">
        <v>246</v>
      </c>
      <c r="D95" s="3" t="str">
        <f>IFERROR(MID(VLOOKUP($B95,Seqs!$A:$B,2,FALSE),E95,1),"")</f>
        <v>P</v>
      </c>
      <c r="E95" s="3">
        <v>34</v>
      </c>
      <c r="F95" s="3" t="str">
        <f>IFERROR(MID(VLOOKUP($B95,Seqs!$A:$B,2,FALSE),G95,1),"")</f>
        <v>H</v>
      </c>
      <c r="G95" s="3">
        <v>65</v>
      </c>
      <c r="H95" s="3" t="str">
        <f>IFERROR(MID(VLOOKUP($B95,Seqs!$A:$B,2,FALSE),I95,1),"")</f>
        <v>K</v>
      </c>
      <c r="I95" s="57">
        <v>66</v>
      </c>
      <c r="J95" s="3" t="str">
        <f>IFERROR(MID(VLOOKUP($B95,Seqs!$A:$B,2,FALSE),K95,1),"")</f>
        <v>R</v>
      </c>
      <c r="K95" s="57">
        <v>69</v>
      </c>
      <c r="L95" s="3" t="str">
        <f>IFERROR(MID(VLOOKUP($B95,Seqs!$A:$B,2,FALSE),M95,1),"")</f>
        <v>T</v>
      </c>
      <c r="M95" s="3">
        <v>70</v>
      </c>
      <c r="N95" s="3" t="str">
        <f>IFERROR(MID(VLOOKUP($B95,Seqs!$A:$B,2,FALSE),O95,1),"")</f>
        <v>H</v>
      </c>
      <c r="O95" s="3">
        <v>100</v>
      </c>
      <c r="P95" s="3" t="str">
        <f>IFERROR(MID(VLOOKUP($B95,Seqs!$A:$B,2,FALSE),Q95,1),"")</f>
        <v>Y</v>
      </c>
      <c r="Q95" s="3">
        <v>102</v>
      </c>
      <c r="R95" s="3" t="str">
        <f>IFERROR(MID(VLOOKUP($B95,Seqs!$A:$B,2,FALSE),S95,1),"")</f>
        <v>F</v>
      </c>
      <c r="S95" s="3">
        <v>105</v>
      </c>
      <c r="T95" s="3" t="str">
        <f>IFERROR(MID(VLOOKUP($B95,Seqs!$A:$B,2,FALSE),U95,1),"")</f>
        <v>G</v>
      </c>
      <c r="U95" s="3">
        <v>106</v>
      </c>
      <c r="V95" s="3" t="str">
        <f>IFERROR(MID(VLOOKUP($B95,Seqs!$A:$B,2,FALSE),W95,1),"")</f>
        <v>K</v>
      </c>
      <c r="W95" s="3">
        <v>141</v>
      </c>
      <c r="X95" s="3" t="str">
        <f>IFERROR(MID(VLOOKUP($B95,Seqs!$A:$B,2,FALSE),Y95,1),"")</f>
        <v>P</v>
      </c>
      <c r="Y95" s="3">
        <v>142</v>
      </c>
      <c r="Z95" s="3" t="str">
        <f>IFERROR(MID(VLOOKUP($B95,Seqs!$A:$B,2,FALSE),AA95,1),"")</f>
        <v>G</v>
      </c>
      <c r="AA95" s="3">
        <v>149</v>
      </c>
      <c r="AB95" s="3" t="str">
        <f>IFERROR(MID(VLOOKUP($B95,Seqs!$A:$B,2,FALSE),AC95,1),"")</f>
        <v>E</v>
      </c>
      <c r="AC95" s="3">
        <v>150</v>
      </c>
      <c r="AD95" s="3" t="str">
        <f>IFERROR(MID(VLOOKUP($B95,Seqs!$A:$B,2,FALSE),AE95,1),"")</f>
        <v>A</v>
      </c>
      <c r="AE95" s="3">
        <v>173</v>
      </c>
      <c r="AF95" s="3" t="str">
        <f>IFERROR(MID(VLOOKUP($B95,Seqs!$A:$B,2,FALSE),AG95,1),"")</f>
        <v>C</v>
      </c>
      <c r="AG95" s="3">
        <v>187</v>
      </c>
      <c r="AH95" s="3" t="str">
        <f>IFERROR(MID(VLOOKUP($B95,Seqs!$A:$B,2,FALSE),AI95,1),"")</f>
        <v>I</v>
      </c>
      <c r="AI95" s="3">
        <v>189</v>
      </c>
      <c r="AJ95" s="3" t="str">
        <f>IFERROR(MID(VLOOKUP($B95,Seqs!$A:$B,2,FALSE),AK95,1),"")</f>
        <v>N</v>
      </c>
      <c r="AK95" s="3">
        <v>199</v>
      </c>
      <c r="AL95" s="3" t="str">
        <f>IFERROR(MID(VLOOKUP($B95,Seqs!$A:$B,2,FALSE),AM95,1),"")</f>
        <v>Q</v>
      </c>
      <c r="AM95" s="3">
        <v>237</v>
      </c>
      <c r="AN95" s="3" t="str">
        <f>IFERROR(MID(VLOOKUP($B95,Seqs!$A:$B,2,FALSE),AO95,1),"")</f>
        <v>A</v>
      </c>
      <c r="AO95" s="3">
        <v>241</v>
      </c>
      <c r="AP95" s="3" t="str">
        <f>IFERROR(MID(VLOOKUP($B95,Seqs!$A:$B,2,FALSE),AQ95,1),"")</f>
        <v>H</v>
      </c>
      <c r="AQ95" s="3">
        <v>278</v>
      </c>
      <c r="AR95" s="3" t="str">
        <f>IFERROR(MID(VLOOKUP($B95,Seqs!$A:$B,2,FALSE),AS95,1),"")</f>
        <v>G</v>
      </c>
      <c r="AS95" s="3">
        <v>284</v>
      </c>
      <c r="AT95" s="3" t="str">
        <f>IFERROR(MID(VLOOKUP($B95,Seqs!$A:$B,2,FALSE),AU95,1),"")</f>
        <v>M</v>
      </c>
      <c r="AU95" s="3">
        <v>309</v>
      </c>
      <c r="AV95" s="3" t="str">
        <f>IFERROR(MID(VLOOKUP($B95,Seqs!$A:$B,2,FALSE),AW95,1),"")</f>
        <v>N</v>
      </c>
      <c r="AW95" s="3">
        <v>310</v>
      </c>
      <c r="AX95" s="3" t="str">
        <f>IFERROR(MID(VLOOKUP($B95,Seqs!$A:$B,2,FALSE),AY95,1),"")</f>
        <v>C</v>
      </c>
      <c r="AY95" s="3">
        <v>322</v>
      </c>
      <c r="AZ95" s="83" t="str">
        <f>VLOOKUP(B95,Classification!A:D,2,FALSE)</f>
        <v>A</v>
      </c>
      <c r="BB95" s="35" t="s">
        <v>1330</v>
      </c>
      <c r="BC95" s="57">
        <f t="shared" si="116"/>
        <v>258</v>
      </c>
      <c r="BD95" s="63" t="b">
        <f t="shared" si="117"/>
        <v>1</v>
      </c>
      <c r="BE95" s="68" t="s">
        <v>1514</v>
      </c>
      <c r="BF95" s="75" t="s">
        <v>1514</v>
      </c>
      <c r="BG95" s="75" t="s">
        <v>1514</v>
      </c>
      <c r="BH95" s="75" t="s">
        <v>1514</v>
      </c>
      <c r="BI95" s="75" t="s">
        <v>1514</v>
      </c>
      <c r="BJ95" s="75" t="s">
        <v>1514</v>
      </c>
      <c r="BK95" s="75" t="s">
        <v>1514</v>
      </c>
      <c r="BL95" s="75" t="s">
        <v>1514</v>
      </c>
      <c r="BM95" s="75" t="s">
        <v>1514</v>
      </c>
      <c r="BN95" s="75" t="s">
        <v>1514</v>
      </c>
      <c r="BO95" s="75" t="s">
        <v>1514</v>
      </c>
      <c r="BP95" s="75" t="s">
        <v>1514</v>
      </c>
      <c r="BQ95" s="68">
        <f t="shared" si="90"/>
        <v>34</v>
      </c>
      <c r="BR95" s="69">
        <f t="shared" si="91"/>
        <v>66</v>
      </c>
      <c r="BS95" s="70">
        <f t="shared" si="92"/>
        <v>70</v>
      </c>
      <c r="BT95" s="69">
        <f t="shared" si="93"/>
        <v>102</v>
      </c>
      <c r="BU95" s="70">
        <f t="shared" si="94"/>
        <v>106</v>
      </c>
      <c r="BV95" s="69">
        <f t="shared" si="95"/>
        <v>142</v>
      </c>
      <c r="BW95" s="70">
        <f t="shared" si="96"/>
        <v>150</v>
      </c>
      <c r="BX95" s="69">
        <f t="shared" si="97"/>
        <v>187</v>
      </c>
      <c r="BY95" s="70">
        <f t="shared" si="98"/>
        <v>199</v>
      </c>
      <c r="BZ95" s="69">
        <f t="shared" si="99"/>
        <v>241</v>
      </c>
      <c r="CA95" s="70">
        <f t="shared" si="100"/>
        <v>284</v>
      </c>
      <c r="CB95" s="69">
        <f t="shared" si="101"/>
        <v>310</v>
      </c>
      <c r="CC95" s="68">
        <f t="shared" si="102"/>
        <v>65</v>
      </c>
      <c r="CD95" s="69">
        <f t="shared" si="103"/>
        <v>69</v>
      </c>
      <c r="CE95" s="70">
        <f t="shared" si="104"/>
        <v>100</v>
      </c>
      <c r="CF95" s="70">
        <f t="shared" si="105"/>
        <v>105</v>
      </c>
      <c r="CG95" s="70">
        <f t="shared" si="106"/>
        <v>141</v>
      </c>
      <c r="CH95" s="70">
        <f t="shared" si="107"/>
        <v>149</v>
      </c>
      <c r="CI95" s="70">
        <f t="shared" si="108"/>
        <v>173</v>
      </c>
      <c r="CJ95" s="70">
        <f t="shared" si="109"/>
        <v>189</v>
      </c>
      <c r="CK95" s="70">
        <f t="shared" si="110"/>
        <v>237</v>
      </c>
      <c r="CL95" s="70">
        <f t="shared" si="111"/>
        <v>278</v>
      </c>
      <c r="CM95" s="70">
        <f t="shared" si="112"/>
        <v>309</v>
      </c>
      <c r="CN95" s="70">
        <f t="shared" si="113"/>
        <v>322</v>
      </c>
      <c r="CO95" s="57">
        <f t="shared" si="114"/>
        <v>1</v>
      </c>
    </row>
    <row r="96" spans="1:93" x14ac:dyDescent="0.2">
      <c r="A96" s="3" t="str">
        <f t="shared" si="115"/>
        <v>opsd_todpa__wt</v>
      </c>
      <c r="B96" s="3" t="s">
        <v>1118</v>
      </c>
      <c r="C96" s="3" t="s">
        <v>294</v>
      </c>
      <c r="D96" s="3" t="str">
        <f>IFERROR(MID(VLOOKUP($B96,Seqs!$A:$B,2,FALSE),E96,1),"")</f>
        <v>D</v>
      </c>
      <c r="E96" s="3">
        <v>31</v>
      </c>
      <c r="F96" s="3" t="str">
        <f>IFERROR(MID(VLOOKUP($B96,Seqs!$A:$B,2,FALSE),G96,1),"")</f>
        <v>T</v>
      </c>
      <c r="G96" s="3">
        <v>62</v>
      </c>
      <c r="H96" s="3" t="str">
        <f>IFERROR(MID(VLOOKUP($B96,Seqs!$A:$B,2,FALSE),I96,1),"")</f>
        <v>K</v>
      </c>
      <c r="I96" s="57">
        <v>63</v>
      </c>
      <c r="J96" s="3" t="str">
        <f>IFERROR(MID(VLOOKUP($B96,Seqs!$A:$B,2,FALSE),K96,1),"")</f>
        <v>Q</v>
      </c>
      <c r="K96" s="57">
        <v>66</v>
      </c>
      <c r="L96" s="3" t="str">
        <f>IFERROR(MID(VLOOKUP($B96,Seqs!$A:$B,2,FALSE),M96,1),"")</f>
        <v>T</v>
      </c>
      <c r="M96" s="3">
        <v>67</v>
      </c>
      <c r="N96" s="3" t="str">
        <f>IFERROR(MID(VLOOKUP($B96,Seqs!$A:$B,2,FALSE),O96,1),"")</f>
        <v>K</v>
      </c>
      <c r="O96" s="3">
        <v>99</v>
      </c>
      <c r="P96" s="3" t="str">
        <f>IFERROR(MID(VLOOKUP($B96,Seqs!$A:$B,2,FALSE),Q96,1),"")</f>
        <v>K</v>
      </c>
      <c r="Q96" s="3">
        <v>100</v>
      </c>
      <c r="R96" s="3" t="str">
        <f>IFERROR(MID(VLOOKUP($B96,Seqs!$A:$B,2,FALSE),S96,1),"")</f>
        <v>F</v>
      </c>
      <c r="S96" s="3">
        <v>103</v>
      </c>
      <c r="T96" s="3" t="str">
        <f>IFERROR(MID(VLOOKUP($B96,Seqs!$A:$B,2,FALSE),U96,1),"")</f>
        <v>G</v>
      </c>
      <c r="U96" s="3">
        <v>104</v>
      </c>
      <c r="V96" s="3" t="str">
        <f>IFERROR(MID(VLOOKUP($B96,Seqs!$A:$B,2,FALSE),W96,1),"")</f>
        <v>R</v>
      </c>
      <c r="W96" s="3">
        <v>139</v>
      </c>
      <c r="X96" s="3" t="str">
        <f>IFERROR(MID(VLOOKUP($B96,Seqs!$A:$B,2,FALSE),Y96,1),"")</f>
        <v>P</v>
      </c>
      <c r="Y96" s="3">
        <v>140</v>
      </c>
      <c r="Z96" s="3" t="str">
        <f>IFERROR(MID(VLOOKUP($B96,Seqs!$A:$B,2,FALSE),AA96,1),"")</f>
        <v>M</v>
      </c>
      <c r="AA96" s="3">
        <v>147</v>
      </c>
      <c r="AB96" s="3" t="str">
        <f>IFERROR(MID(VLOOKUP($B96,Seqs!$A:$B,2,FALSE),AC96,1),"")</f>
        <v>H</v>
      </c>
      <c r="AC96" s="3">
        <v>149</v>
      </c>
      <c r="AD96" s="3" t="str">
        <f>IFERROR(MID(VLOOKUP($B96,Seqs!$A:$B,2,FALSE),AE96,1),"")</f>
        <v>F</v>
      </c>
      <c r="AE96" s="3">
        <v>172</v>
      </c>
      <c r="AF96" s="3" t="str">
        <f>IFERROR(MID(VLOOKUP($B96,Seqs!$A:$B,2,FALSE),AG96,1),"")</f>
        <v>C</v>
      </c>
      <c r="AG96" s="3">
        <v>186</v>
      </c>
      <c r="AH96" s="3" t="str">
        <f>IFERROR(MID(VLOOKUP($B96,Seqs!$A:$B,2,FALSE),AI96,1),"")</f>
        <v>F</v>
      </c>
      <c r="AI96" s="3">
        <v>188</v>
      </c>
      <c r="AJ96" s="3" t="str">
        <f>IFERROR(MID(VLOOKUP($B96,Seqs!$A:$B,2,FALSE),AK96,1),"")</f>
        <v>D</v>
      </c>
      <c r="AK96" s="3">
        <v>194</v>
      </c>
      <c r="AL96" s="3" t="str">
        <f>IFERROR(MID(VLOOKUP($B96,Seqs!$A:$B,2,FALSE),AM96,1),"")</f>
        <v>K</v>
      </c>
      <c r="AM96" s="3">
        <v>239</v>
      </c>
      <c r="AN96" s="3" t="str">
        <f>IFERROR(MID(VLOOKUP($B96,Seqs!$A:$B,2,FALSE),AO96,1),"")</f>
        <v>K</v>
      </c>
      <c r="AO96" s="3">
        <v>244</v>
      </c>
      <c r="AP96" s="3" t="str">
        <f>IFERROR(MID(VLOOKUP($B96,Seqs!$A:$B,2,FALSE),AQ96,1),"")</f>
        <v>G</v>
      </c>
      <c r="AQ96" s="3">
        <v>287</v>
      </c>
      <c r="AR96" s="3" t="str">
        <f>IFERROR(MID(VLOOKUP($B96,Seqs!$A:$B,2,FALSE),AS96,1),"")</f>
        <v>T</v>
      </c>
      <c r="AS96" s="3">
        <v>293</v>
      </c>
      <c r="AT96" s="3" t="str">
        <f>IFERROR(MID(VLOOKUP($B96,Seqs!$A:$B,2,FALSE),AU96,1),"")</f>
        <v>S</v>
      </c>
      <c r="AU96" s="3">
        <v>318</v>
      </c>
      <c r="AV96" s="3" t="str">
        <f>IFERROR(MID(VLOOKUP($B96,Seqs!$A:$B,2,FALSE),AW96,1),"")</f>
        <v>H</v>
      </c>
      <c r="AW96" s="3">
        <v>319</v>
      </c>
      <c r="AX96" s="3" t="str">
        <f>IFERROR(MID(VLOOKUP($B96,Seqs!$A:$B,2,FALSE),AY96,1),"")</f>
        <v>F</v>
      </c>
      <c r="AY96" s="3">
        <v>330</v>
      </c>
      <c r="AZ96" s="83" t="str">
        <f>VLOOKUP(B96,Classification!A:D,2,FALSE)</f>
        <v>A</v>
      </c>
      <c r="BB96" s="82">
        <f>S96-Q96+1</f>
        <v>4</v>
      </c>
      <c r="BC96" s="57">
        <f t="shared" si="116"/>
        <v>272</v>
      </c>
      <c r="BD96" s="63" t="b">
        <f t="shared" si="117"/>
        <v>1</v>
      </c>
      <c r="BE96" s="68" t="s">
        <v>1514</v>
      </c>
      <c r="BF96" s="75" t="s">
        <v>1514</v>
      </c>
      <c r="BG96" s="75" t="s">
        <v>1514</v>
      </c>
      <c r="BH96" s="75" t="s">
        <v>1514</v>
      </c>
      <c r="BI96" s="75" t="s">
        <v>1514</v>
      </c>
      <c r="BJ96" s="75" t="s">
        <v>1514</v>
      </c>
      <c r="BK96" s="75" t="s">
        <v>1514</v>
      </c>
      <c r="BL96" s="75" t="s">
        <v>1514</v>
      </c>
      <c r="BM96" s="75" t="s">
        <v>1514</v>
      </c>
      <c r="BN96" s="75" t="s">
        <v>1514</v>
      </c>
      <c r="BO96" s="75" t="s">
        <v>1514</v>
      </c>
      <c r="BP96" s="75" t="s">
        <v>1514</v>
      </c>
      <c r="BQ96" s="68">
        <f t="shared" si="90"/>
        <v>31</v>
      </c>
      <c r="BR96" s="69">
        <f t="shared" si="91"/>
        <v>63</v>
      </c>
      <c r="BS96" s="70">
        <f t="shared" si="92"/>
        <v>67</v>
      </c>
      <c r="BT96" s="69">
        <f t="shared" si="93"/>
        <v>100</v>
      </c>
      <c r="BU96" s="70">
        <f t="shared" si="94"/>
        <v>104</v>
      </c>
      <c r="BV96" s="69">
        <f t="shared" si="95"/>
        <v>140</v>
      </c>
      <c r="BW96" s="70">
        <f t="shared" si="96"/>
        <v>149</v>
      </c>
      <c r="BX96" s="69">
        <f t="shared" si="97"/>
        <v>186</v>
      </c>
      <c r="BY96" s="70">
        <f t="shared" si="98"/>
        <v>194</v>
      </c>
      <c r="BZ96" s="69">
        <f t="shared" si="99"/>
        <v>244</v>
      </c>
      <c r="CA96" s="70">
        <f t="shared" si="100"/>
        <v>293</v>
      </c>
      <c r="CB96" s="69">
        <f t="shared" si="101"/>
        <v>319</v>
      </c>
      <c r="CC96" s="68">
        <f t="shared" si="102"/>
        <v>62</v>
      </c>
      <c r="CD96" s="69">
        <f t="shared" si="103"/>
        <v>66</v>
      </c>
      <c r="CE96" s="70">
        <f t="shared" si="104"/>
        <v>99</v>
      </c>
      <c r="CF96" s="70">
        <f t="shared" si="105"/>
        <v>103</v>
      </c>
      <c r="CG96" s="70">
        <f t="shared" si="106"/>
        <v>139</v>
      </c>
      <c r="CH96" s="70">
        <f t="shared" si="107"/>
        <v>147</v>
      </c>
      <c r="CI96" s="70">
        <f t="shared" si="108"/>
        <v>172</v>
      </c>
      <c r="CJ96" s="70">
        <f t="shared" si="109"/>
        <v>188</v>
      </c>
      <c r="CK96" s="70">
        <f t="shared" si="110"/>
        <v>239</v>
      </c>
      <c r="CL96" s="70">
        <f t="shared" si="111"/>
        <v>287</v>
      </c>
      <c r="CM96" s="70">
        <f t="shared" si="112"/>
        <v>318</v>
      </c>
      <c r="CN96" s="70">
        <f t="shared" si="113"/>
        <v>330</v>
      </c>
      <c r="CO96" s="57">
        <f t="shared" si="114"/>
        <v>1</v>
      </c>
    </row>
    <row r="97" spans="1:93" x14ac:dyDescent="0.2">
      <c r="A97" s="3" t="str">
        <f t="shared" si="115"/>
        <v>opsd_todpa_2Z73</v>
      </c>
      <c r="B97" s="3" t="s">
        <v>1118</v>
      </c>
      <c r="C97" s="3" t="s">
        <v>290</v>
      </c>
      <c r="D97" s="3" t="str">
        <f>IFERROR(MID(VLOOKUP($B97,Seqs!$A:$B,2,FALSE),E97,1),"")</f>
        <v>D</v>
      </c>
      <c r="E97" s="3">
        <v>31</v>
      </c>
      <c r="F97" s="3" t="str">
        <f>IFERROR(MID(VLOOKUP($B97,Seqs!$A:$B,2,FALSE),G97,1),"")</f>
        <v>T</v>
      </c>
      <c r="G97" s="3">
        <v>62</v>
      </c>
      <c r="H97" s="3" t="str">
        <f>IFERROR(MID(VLOOKUP($B97,Seqs!$A:$B,2,FALSE),I97,1),"")</f>
        <v>K</v>
      </c>
      <c r="I97" s="57">
        <v>63</v>
      </c>
      <c r="J97" s="3" t="str">
        <f>IFERROR(MID(VLOOKUP($B97,Seqs!$A:$B,2,FALSE),K97,1),"")</f>
        <v>Q</v>
      </c>
      <c r="K97" s="57">
        <v>66</v>
      </c>
      <c r="L97" s="3" t="str">
        <f>IFERROR(MID(VLOOKUP($B97,Seqs!$A:$B,2,FALSE),M97,1),"")</f>
        <v>T</v>
      </c>
      <c r="M97" s="3">
        <v>67</v>
      </c>
      <c r="N97" s="3" t="str">
        <f>IFERROR(MID(VLOOKUP($B97,Seqs!$A:$B,2,FALSE),O97,1),"")</f>
        <v>K</v>
      </c>
      <c r="O97" s="3">
        <v>99</v>
      </c>
      <c r="P97" s="3" t="str">
        <f>IFERROR(MID(VLOOKUP($B97,Seqs!$A:$B,2,FALSE),Q97,1),"")</f>
        <v>K</v>
      </c>
      <c r="Q97" s="3">
        <v>100</v>
      </c>
      <c r="R97" s="3" t="str">
        <f>IFERROR(MID(VLOOKUP($B97,Seqs!$A:$B,2,FALSE),S97,1),"")</f>
        <v>F</v>
      </c>
      <c r="S97" s="3">
        <v>103</v>
      </c>
      <c r="T97" s="3" t="str">
        <f>IFERROR(MID(VLOOKUP($B97,Seqs!$A:$B,2,FALSE),U97,1),"")</f>
        <v>G</v>
      </c>
      <c r="U97" s="3">
        <v>104</v>
      </c>
      <c r="V97" s="3" t="str">
        <f>IFERROR(MID(VLOOKUP($B97,Seqs!$A:$B,2,FALSE),W97,1),"")</f>
        <v>R</v>
      </c>
      <c r="W97" s="3">
        <v>139</v>
      </c>
      <c r="X97" s="3" t="str">
        <f>IFERROR(MID(VLOOKUP($B97,Seqs!$A:$B,2,FALSE),Y97,1),"")</f>
        <v/>
      </c>
      <c r="Y97" s="3" t="s">
        <v>129</v>
      </c>
      <c r="Z97" s="3" t="str">
        <f>IFERROR(MID(VLOOKUP($B97,Seqs!$A:$B,2,FALSE),AA97,1),"")</f>
        <v/>
      </c>
      <c r="AA97" s="3" t="s">
        <v>129</v>
      </c>
      <c r="AB97" s="3" t="str">
        <f>IFERROR(MID(VLOOKUP($B97,Seqs!$A:$B,2,FALSE),AC97,1),"")</f>
        <v>H</v>
      </c>
      <c r="AC97" s="3">
        <v>149</v>
      </c>
      <c r="AD97" s="3" t="str">
        <f>IFERROR(MID(VLOOKUP($B97,Seqs!$A:$B,2,FALSE),AE97,1),"")</f>
        <v>F</v>
      </c>
      <c r="AE97" s="3">
        <v>172</v>
      </c>
      <c r="AF97" s="3" t="str">
        <f>IFERROR(MID(VLOOKUP($B97,Seqs!$A:$B,2,FALSE),AG97,1),"")</f>
        <v>C</v>
      </c>
      <c r="AG97" s="3">
        <v>186</v>
      </c>
      <c r="AH97" s="3" t="str">
        <f>IFERROR(MID(VLOOKUP($B97,Seqs!$A:$B,2,FALSE),AI97,1),"")</f>
        <v>F</v>
      </c>
      <c r="AI97" s="3">
        <v>188</v>
      </c>
      <c r="AJ97" s="3" t="str">
        <f>IFERROR(MID(VLOOKUP($B97,Seqs!$A:$B,2,FALSE),AK97,1),"")</f>
        <v>D</v>
      </c>
      <c r="AK97" s="3">
        <v>194</v>
      </c>
      <c r="AL97" s="3" t="str">
        <f>IFERROR(MID(VLOOKUP($B97,Seqs!$A:$B,2,FALSE),AM97,1),"")</f>
        <v>K</v>
      </c>
      <c r="AM97" s="3">
        <v>239</v>
      </c>
      <c r="AN97" s="3" t="str">
        <f>IFERROR(MID(VLOOKUP($B97,Seqs!$A:$B,2,FALSE),AO97,1),"")</f>
        <v>K</v>
      </c>
      <c r="AO97" s="3">
        <v>244</v>
      </c>
      <c r="AP97" s="3" t="str">
        <f>IFERROR(MID(VLOOKUP($B97,Seqs!$A:$B,2,FALSE),AQ97,1),"")</f>
        <v>G</v>
      </c>
      <c r="AQ97" s="3">
        <v>287</v>
      </c>
      <c r="AR97" s="3" t="str">
        <f>IFERROR(MID(VLOOKUP($B97,Seqs!$A:$B,2,FALSE),AS97,1),"")</f>
        <v>T</v>
      </c>
      <c r="AS97" s="3">
        <v>293</v>
      </c>
      <c r="AT97" s="3" t="str">
        <f>IFERROR(MID(VLOOKUP($B97,Seqs!$A:$B,2,FALSE),AU97,1),"")</f>
        <v>S</v>
      </c>
      <c r="AU97" s="3">
        <v>318</v>
      </c>
      <c r="AV97" s="3" t="str">
        <f>IFERROR(MID(VLOOKUP($B97,Seqs!$A:$B,2,FALSE),AW97,1),"")</f>
        <v>H</v>
      </c>
      <c r="AW97" s="3">
        <v>319</v>
      </c>
      <c r="AX97" s="3" t="str">
        <f>IFERROR(MID(VLOOKUP($B97,Seqs!$A:$B,2,FALSE),AY97,1),"")</f>
        <v>F</v>
      </c>
      <c r="AY97" s="3">
        <v>330</v>
      </c>
      <c r="AZ97" s="83" t="str">
        <f>VLOOKUP(B97,Classification!A:D,2,FALSE)</f>
        <v>A</v>
      </c>
      <c r="BC97" s="57">
        <f t="shared" si="116"/>
        <v>265</v>
      </c>
      <c r="BD97" s="63" t="b">
        <f t="shared" si="117"/>
        <v>1</v>
      </c>
      <c r="BE97" s="68" t="s">
        <v>1514</v>
      </c>
      <c r="BF97" s="75" t="s">
        <v>1514</v>
      </c>
      <c r="BG97" s="75" t="s">
        <v>1514</v>
      </c>
      <c r="BH97" s="75" t="s">
        <v>1514</v>
      </c>
      <c r="BI97" s="75" t="s">
        <v>1514</v>
      </c>
      <c r="BJ97" s="75" t="s">
        <v>1514</v>
      </c>
      <c r="BK97" s="75" t="s">
        <v>1514</v>
      </c>
      <c r="BL97" s="75" t="s">
        <v>1514</v>
      </c>
      <c r="BM97" s="75" t="s">
        <v>1514</v>
      </c>
      <c r="BN97" s="75" t="s">
        <v>1514</v>
      </c>
      <c r="BO97" s="75" t="s">
        <v>1514</v>
      </c>
      <c r="BP97" s="75" t="s">
        <v>1514</v>
      </c>
      <c r="BQ97" s="68">
        <f t="shared" si="90"/>
        <v>31</v>
      </c>
      <c r="BR97" s="69">
        <f t="shared" si="91"/>
        <v>63</v>
      </c>
      <c r="BS97" s="70">
        <f t="shared" si="92"/>
        <v>67</v>
      </c>
      <c r="BT97" s="69">
        <f t="shared" si="93"/>
        <v>100</v>
      </c>
      <c r="BU97" s="70">
        <f t="shared" si="94"/>
        <v>104</v>
      </c>
      <c r="BV97" s="69" t="str">
        <f t="shared" si="95"/>
        <v>-</v>
      </c>
      <c r="BW97" s="70">
        <f t="shared" si="96"/>
        <v>149</v>
      </c>
      <c r="BX97" s="69">
        <f t="shared" si="97"/>
        <v>186</v>
      </c>
      <c r="BY97" s="70">
        <f t="shared" si="98"/>
        <v>194</v>
      </c>
      <c r="BZ97" s="69">
        <f t="shared" si="99"/>
        <v>244</v>
      </c>
      <c r="CA97" s="70">
        <f t="shared" si="100"/>
        <v>293</v>
      </c>
      <c r="CB97" s="69">
        <f t="shared" si="101"/>
        <v>319</v>
      </c>
      <c r="CC97" s="68">
        <f t="shared" si="102"/>
        <v>62</v>
      </c>
      <c r="CD97" s="69">
        <f t="shared" si="103"/>
        <v>66</v>
      </c>
      <c r="CE97" s="70">
        <f t="shared" si="104"/>
        <v>99</v>
      </c>
      <c r="CF97" s="70">
        <f t="shared" si="105"/>
        <v>103</v>
      </c>
      <c r="CG97" s="70">
        <f t="shared" si="106"/>
        <v>139</v>
      </c>
      <c r="CH97" s="70" t="str">
        <f t="shared" si="107"/>
        <v>-</v>
      </c>
      <c r="CI97" s="70">
        <f t="shared" si="108"/>
        <v>172</v>
      </c>
      <c r="CJ97" s="70">
        <f t="shared" si="109"/>
        <v>188</v>
      </c>
      <c r="CK97" s="70">
        <f t="shared" si="110"/>
        <v>239</v>
      </c>
      <c r="CL97" s="70">
        <f t="shared" si="111"/>
        <v>287</v>
      </c>
      <c r="CM97" s="70">
        <f t="shared" si="112"/>
        <v>318</v>
      </c>
      <c r="CN97" s="70">
        <f t="shared" si="113"/>
        <v>330</v>
      </c>
      <c r="CO97" s="57">
        <f t="shared" si="114"/>
        <v>1</v>
      </c>
    </row>
    <row r="98" spans="1:93" x14ac:dyDescent="0.2">
      <c r="A98" s="3" t="str">
        <f t="shared" si="115"/>
        <v>ox1r_human__wt</v>
      </c>
      <c r="B98" s="3" t="s">
        <v>1394</v>
      </c>
      <c r="C98" s="3" t="s">
        <v>294</v>
      </c>
      <c r="D98" s="3" t="str">
        <f>IFERROR(MID(VLOOKUP($B98,Seqs!$A:$B,2,FALSE),E98,1),"")</f>
        <v>E</v>
      </c>
      <c r="E98" s="3">
        <v>46</v>
      </c>
      <c r="F98" s="3" t="str">
        <f>IFERROR(MID(VLOOKUP($B98,Seqs!$A:$B,2,FALSE),G98,1),"")</f>
        <v>N</v>
      </c>
      <c r="G98" s="3">
        <v>74</v>
      </c>
      <c r="H98" s="3" t="str">
        <f>IFERROR(MID(VLOOKUP($B98,Seqs!$A:$B,2,FALSE),I98,1),"")</f>
        <v>H</v>
      </c>
      <c r="I98" s="57">
        <v>75</v>
      </c>
      <c r="J98" s="3" t="str">
        <f>IFERROR(MID(VLOOKUP($B98,Seqs!$A:$B,2,FALSE),K98,1),"")</f>
        <v>R</v>
      </c>
      <c r="K98" s="57">
        <v>78</v>
      </c>
      <c r="L98" s="3" t="str">
        <f>IFERROR(MID(VLOOKUP($B98,Seqs!$A:$B,2,FALSE),M98,1),"")</f>
        <v>T</v>
      </c>
      <c r="M98" s="3">
        <v>79</v>
      </c>
      <c r="N98" s="3" t="str">
        <f>IFERROR(MID(VLOOKUP($B98,Seqs!$A:$B,2,FALSE),O98,1),"")</f>
        <v>T</v>
      </c>
      <c r="O98" s="3">
        <v>109</v>
      </c>
      <c r="P98" s="3" t="str">
        <f>IFERROR(MID(VLOOKUP($B98,Seqs!$A:$B,2,FALSE),Q98,1),"")</f>
        <v>S</v>
      </c>
      <c r="Q98" s="3">
        <v>111</v>
      </c>
      <c r="R98" s="3" t="str">
        <f>IFERROR(MID(VLOOKUP($B98,Seqs!$A:$B,2,FALSE),S98,1),"")</f>
        <v>F</v>
      </c>
      <c r="S98" s="3">
        <v>114</v>
      </c>
      <c r="T98" s="3" t="str">
        <f>IFERROR(MID(VLOOKUP($B98,Seqs!$A:$B,2,FALSE),U98,1),"")</f>
        <v>G</v>
      </c>
      <c r="U98" s="3">
        <v>115</v>
      </c>
      <c r="V98" s="3" t="str">
        <f>IFERROR(MID(VLOOKUP($B98,Seqs!$A:$B,2,FALSE),W98,1),"")</f>
        <v>H</v>
      </c>
      <c r="W98" s="3">
        <v>150</v>
      </c>
      <c r="X98" s="3" t="str">
        <f>IFERROR(MID(VLOOKUP($B98,Seqs!$A:$B,2,FALSE),Y98,1),"")</f>
        <v>P</v>
      </c>
      <c r="Y98" s="3">
        <v>151</v>
      </c>
      <c r="Z98" s="3" t="str">
        <f>IFERROR(MID(VLOOKUP($B98,Seqs!$A:$B,2,FALSE),AA98,1),"")</f>
        <v>T</v>
      </c>
      <c r="AA98" s="81">
        <v>157</v>
      </c>
      <c r="AB98" s="3" t="str">
        <f>IFERROR(MID(VLOOKUP($B98,Seqs!$A:$B,2,FALSE),AC98,1),"")</f>
        <v>A</v>
      </c>
      <c r="AC98" s="3">
        <v>158</v>
      </c>
      <c r="AD98" s="3" t="str">
        <f>IFERROR(MID(VLOOKUP($B98,Seqs!$A:$B,2,FALSE),AE98,1),"")</f>
        <v>M</v>
      </c>
      <c r="AE98" s="3">
        <v>183</v>
      </c>
      <c r="AF98" s="3" t="str">
        <f>IFERROR(MID(VLOOKUP($B98,Seqs!$A:$B,2,FALSE),AG98,1),"")</f>
        <v>C</v>
      </c>
      <c r="AG98" s="3">
        <v>202</v>
      </c>
      <c r="AH98" s="3" t="str">
        <f>IFERROR(MID(VLOOKUP($B98,Seqs!$A:$B,2,FALSE),AI98,1),"")</f>
        <v>E</v>
      </c>
      <c r="AI98" s="3">
        <v>204</v>
      </c>
      <c r="AJ98" s="3" t="str">
        <f>IFERROR(MID(VLOOKUP($B98,Seqs!$A:$B,2,FALSE),AK98,1),"")</f>
        <v>D</v>
      </c>
      <c r="AK98" s="3">
        <v>209</v>
      </c>
      <c r="AL98" s="3" t="str">
        <f>IFERROR(MID(VLOOKUP($B98,Seqs!$A:$B,2,FALSE),AM98,1),"")</f>
        <v>P</v>
      </c>
      <c r="AM98" s="3">
        <v>248</v>
      </c>
      <c r="AN98" s="3" t="str">
        <f>IFERROR(MID(VLOOKUP($B98,Seqs!$A:$B,2,FALSE),AO98,1),"")</f>
        <v>F</v>
      </c>
      <c r="AO98" s="3">
        <v>283</v>
      </c>
      <c r="AP98" s="3" t="str">
        <f>IFERROR(MID(VLOOKUP($B98,Seqs!$A:$B,2,FALSE),AQ98,1),"")</f>
        <v>F</v>
      </c>
      <c r="AQ98" s="3">
        <v>324</v>
      </c>
      <c r="AR98" s="3" t="str">
        <f>IFERROR(MID(VLOOKUP($B98,Seqs!$A:$B,2,FALSE),AS98,1),"")</f>
        <v>R</v>
      </c>
      <c r="AS98" s="3">
        <v>333</v>
      </c>
      <c r="AT98" s="3" t="str">
        <f>IFERROR(MID(VLOOKUP($B98,Seqs!$A:$B,2,FALSE),AU98,1),"")</f>
        <v>L</v>
      </c>
      <c r="AU98" s="3">
        <v>361</v>
      </c>
      <c r="AV98" s="3" t="str">
        <f>IFERROR(MID(VLOOKUP($B98,Seqs!$A:$B,2,FALSE),AW98,1),"")</f>
        <v>S</v>
      </c>
      <c r="AW98" s="3">
        <v>362</v>
      </c>
      <c r="AX98" s="3" t="str">
        <f>IFERROR(MID(VLOOKUP($B98,Seqs!$A:$B,2,FALSE),AY98,1),"")</f>
        <v>F</v>
      </c>
      <c r="AY98" s="3">
        <v>373</v>
      </c>
      <c r="AZ98" s="83" t="str">
        <f>VLOOKUP(B98,Classification!A:D,2,FALSE)</f>
        <v>A</v>
      </c>
      <c r="BB98" s="82">
        <f>S98-Q98+1</f>
        <v>4</v>
      </c>
      <c r="BC98" s="57">
        <f t="shared" si="116"/>
        <v>263</v>
      </c>
      <c r="BD98" s="63" t="b">
        <f t="shared" si="117"/>
        <v>1</v>
      </c>
      <c r="BE98" s="68" t="s">
        <v>1514</v>
      </c>
      <c r="BF98" s="75" t="s">
        <v>1514</v>
      </c>
      <c r="BG98" s="75" t="s">
        <v>1514</v>
      </c>
      <c r="BH98" s="75" t="s">
        <v>1514</v>
      </c>
      <c r="BI98" s="75" t="s">
        <v>1514</v>
      </c>
      <c r="BJ98" s="75" t="s">
        <v>1514</v>
      </c>
      <c r="BK98" s="75" t="s">
        <v>1514</v>
      </c>
      <c r="BL98" s="75" t="s">
        <v>1514</v>
      </c>
      <c r="BM98" s="75" t="s">
        <v>1514</v>
      </c>
      <c r="BN98" s="75" t="s">
        <v>1514</v>
      </c>
      <c r="BO98" s="75" t="s">
        <v>1514</v>
      </c>
      <c r="BP98" s="75" t="s">
        <v>1514</v>
      </c>
      <c r="BQ98" s="68">
        <f t="shared" si="90"/>
        <v>46</v>
      </c>
      <c r="BR98" s="69">
        <f t="shared" si="91"/>
        <v>75</v>
      </c>
      <c r="BS98" s="70">
        <f t="shared" si="92"/>
        <v>79</v>
      </c>
      <c r="BT98" s="69">
        <f t="shared" si="93"/>
        <v>111</v>
      </c>
      <c r="BU98" s="70">
        <f t="shared" si="94"/>
        <v>115</v>
      </c>
      <c r="BV98" s="69">
        <f t="shared" si="95"/>
        <v>151</v>
      </c>
      <c r="BW98" s="70">
        <f t="shared" si="96"/>
        <v>158</v>
      </c>
      <c r="BX98" s="69">
        <f t="shared" si="97"/>
        <v>202</v>
      </c>
      <c r="BY98" s="70">
        <f t="shared" si="98"/>
        <v>209</v>
      </c>
      <c r="BZ98" s="69">
        <f t="shared" si="99"/>
        <v>283</v>
      </c>
      <c r="CA98" s="70">
        <f t="shared" si="100"/>
        <v>333</v>
      </c>
      <c r="CB98" s="69">
        <f t="shared" si="101"/>
        <v>362</v>
      </c>
      <c r="CC98" s="68">
        <f t="shared" si="102"/>
        <v>74</v>
      </c>
      <c r="CD98" s="69">
        <f t="shared" si="103"/>
        <v>78</v>
      </c>
      <c r="CE98" s="70">
        <f t="shared" si="104"/>
        <v>109</v>
      </c>
      <c r="CF98" s="70">
        <f t="shared" si="105"/>
        <v>114</v>
      </c>
      <c r="CG98" s="70">
        <f t="shared" si="106"/>
        <v>150</v>
      </c>
      <c r="CH98" s="70">
        <f t="shared" si="107"/>
        <v>157</v>
      </c>
      <c r="CI98" s="70">
        <f t="shared" si="108"/>
        <v>183</v>
      </c>
      <c r="CJ98" s="70">
        <f t="shared" si="109"/>
        <v>204</v>
      </c>
      <c r="CK98" s="70">
        <f t="shared" si="110"/>
        <v>248</v>
      </c>
      <c r="CL98" s="70">
        <f t="shared" si="111"/>
        <v>324</v>
      </c>
      <c r="CM98" s="70">
        <f t="shared" si="112"/>
        <v>361</v>
      </c>
      <c r="CN98" s="70">
        <f t="shared" si="113"/>
        <v>373</v>
      </c>
      <c r="CO98" s="57">
        <f t="shared" si="114"/>
        <v>1</v>
      </c>
    </row>
    <row r="99" spans="1:93" x14ac:dyDescent="0.2">
      <c r="A99" s="3" t="str">
        <f t="shared" si="115"/>
        <v>ox1r_human_4ZJ8</v>
      </c>
      <c r="B99" s="3" t="s">
        <v>1394</v>
      </c>
      <c r="C99" s="3" t="s">
        <v>282</v>
      </c>
      <c r="D99" s="3" t="str">
        <f>IFERROR(MID(VLOOKUP($B99,Seqs!$A:$B,2,FALSE),E99,1),"")</f>
        <v>E</v>
      </c>
      <c r="E99" s="3">
        <v>46</v>
      </c>
      <c r="F99" s="3" t="str">
        <f>IFERROR(MID(VLOOKUP($B99,Seqs!$A:$B,2,FALSE),G99,1),"")</f>
        <v>N</v>
      </c>
      <c r="G99" s="3">
        <v>74</v>
      </c>
      <c r="H99" s="3" t="str">
        <f>IFERROR(MID(VLOOKUP($B99,Seqs!$A:$B,2,FALSE),I99,1),"")</f>
        <v>H</v>
      </c>
      <c r="I99" s="57">
        <v>75</v>
      </c>
      <c r="J99" s="3" t="str">
        <f>IFERROR(MID(VLOOKUP($B99,Seqs!$A:$B,2,FALSE),K99,1),"")</f>
        <v>R</v>
      </c>
      <c r="K99" s="57">
        <v>78</v>
      </c>
      <c r="L99" s="3" t="str">
        <f>IFERROR(MID(VLOOKUP($B99,Seqs!$A:$B,2,FALSE),M99,1),"")</f>
        <v>T</v>
      </c>
      <c r="M99" s="3">
        <v>79</v>
      </c>
      <c r="N99" s="3" t="str">
        <f>IFERROR(MID(VLOOKUP($B99,Seqs!$A:$B,2,FALSE),O99,1),"")</f>
        <v>T</v>
      </c>
      <c r="O99" s="3">
        <v>109</v>
      </c>
      <c r="P99" s="3" t="str">
        <f>IFERROR(MID(VLOOKUP($B99,Seqs!$A:$B,2,FALSE),Q99,1),"")</f>
        <v>S</v>
      </c>
      <c r="Q99" s="3">
        <v>111</v>
      </c>
      <c r="R99" s="3" t="str">
        <f>IFERROR(MID(VLOOKUP($B99,Seqs!$A:$B,2,FALSE),S99,1),"")</f>
        <v>F</v>
      </c>
      <c r="S99" s="3">
        <v>114</v>
      </c>
      <c r="T99" s="3" t="str">
        <f>IFERROR(MID(VLOOKUP($B99,Seqs!$A:$B,2,FALSE),U99,1),"")</f>
        <v>G</v>
      </c>
      <c r="U99" s="3">
        <v>115</v>
      </c>
      <c r="V99" s="3" t="str">
        <f>IFERROR(MID(VLOOKUP($B99,Seqs!$A:$B,2,FALSE),W99,1),"")</f>
        <v>H</v>
      </c>
      <c r="W99" s="3">
        <v>150</v>
      </c>
      <c r="X99" s="3" t="str">
        <f>IFERROR(MID(VLOOKUP($B99,Seqs!$A:$B,2,FALSE),Y99,1),"")</f>
        <v/>
      </c>
      <c r="Y99" s="3" t="s">
        <v>129</v>
      </c>
      <c r="Z99" s="3" t="str">
        <f>IFERROR(MID(VLOOKUP($B99,Seqs!$A:$B,2,FALSE),AA99,1),"")</f>
        <v/>
      </c>
      <c r="AA99" s="3" t="s">
        <v>129</v>
      </c>
      <c r="AB99" s="3" t="str">
        <f>IFERROR(MID(VLOOKUP($B99,Seqs!$A:$B,2,FALSE),AC99,1),"")</f>
        <v>A</v>
      </c>
      <c r="AC99" s="3">
        <v>158</v>
      </c>
      <c r="AD99" s="3" t="str">
        <f>IFERROR(MID(VLOOKUP($B99,Seqs!$A:$B,2,FALSE),AE99,1),"")</f>
        <v>M</v>
      </c>
      <c r="AE99" s="3">
        <v>183</v>
      </c>
      <c r="AF99" s="3" t="str">
        <f>IFERROR(MID(VLOOKUP($B99,Seqs!$A:$B,2,FALSE),AG99,1),"")</f>
        <v>C</v>
      </c>
      <c r="AG99" s="3">
        <v>202</v>
      </c>
      <c r="AH99" s="3" t="str">
        <f>IFERROR(MID(VLOOKUP($B99,Seqs!$A:$B,2,FALSE),AI99,1),"")</f>
        <v>E</v>
      </c>
      <c r="AI99" s="3">
        <v>204</v>
      </c>
      <c r="AJ99" s="3" t="str">
        <f>IFERROR(MID(VLOOKUP($B99,Seqs!$A:$B,2,FALSE),AK99,1),"")</f>
        <v>D</v>
      </c>
      <c r="AK99" s="3">
        <v>209</v>
      </c>
      <c r="AL99" s="3" t="str">
        <f>IFERROR(MID(VLOOKUP($B99,Seqs!$A:$B,2,FALSE),AM99,1),"")</f>
        <v>L</v>
      </c>
      <c r="AM99" s="3">
        <v>242</v>
      </c>
      <c r="AN99" s="3" t="str">
        <f>IFERROR(MID(VLOOKUP($B99,Seqs!$A:$B,2,FALSE),AO99,1),"")</f>
        <v>K</v>
      </c>
      <c r="AO99" s="3">
        <v>288</v>
      </c>
      <c r="AP99" s="3" t="str">
        <f>IFERROR(MID(VLOOKUP($B99,Seqs!$A:$B,2,FALSE),AQ99,1),"")</f>
        <v>F</v>
      </c>
      <c r="AQ99" s="3">
        <v>324</v>
      </c>
      <c r="AR99" s="3" t="str">
        <f>IFERROR(MID(VLOOKUP($B99,Seqs!$A:$B,2,FALSE),AS99,1),"")</f>
        <v>R</v>
      </c>
      <c r="AS99" s="3">
        <v>333</v>
      </c>
      <c r="AT99" s="3" t="str">
        <f>IFERROR(MID(VLOOKUP($B99,Seqs!$A:$B,2,FALSE),AU99,1),"")</f>
        <v>L</v>
      </c>
      <c r="AU99" s="3">
        <v>361</v>
      </c>
      <c r="AV99" s="3" t="str">
        <f>IFERROR(MID(VLOOKUP($B99,Seqs!$A:$B,2,FALSE),AW99,1),"")</f>
        <v>S</v>
      </c>
      <c r="AW99" s="3">
        <v>362</v>
      </c>
      <c r="AX99" s="3" t="str">
        <f>IFERROR(MID(VLOOKUP($B99,Seqs!$A:$B,2,FALSE),AY99,1),"")</f>
        <v>F</v>
      </c>
      <c r="AY99" s="3">
        <v>373</v>
      </c>
      <c r="AZ99" s="83" t="str">
        <f>VLOOKUP(B99,Classification!A:D,2,FALSE)</f>
        <v>A</v>
      </c>
      <c r="BC99" s="57">
        <f t="shared" si="116"/>
        <v>246</v>
      </c>
      <c r="BD99" s="63" t="b">
        <f t="shared" si="117"/>
        <v>1</v>
      </c>
      <c r="BE99" s="68" t="s">
        <v>1514</v>
      </c>
      <c r="BF99" s="75" t="s">
        <v>1514</v>
      </c>
      <c r="BG99" s="75" t="s">
        <v>1514</v>
      </c>
      <c r="BH99" s="75" t="s">
        <v>1514</v>
      </c>
      <c r="BI99" s="75" t="s">
        <v>1514</v>
      </c>
      <c r="BJ99" s="75" t="s">
        <v>1514</v>
      </c>
      <c r="BK99" s="75" t="s">
        <v>1514</v>
      </c>
      <c r="BL99" s="75" t="s">
        <v>1514</v>
      </c>
      <c r="BM99" s="75" t="s">
        <v>1514</v>
      </c>
      <c r="BN99" s="75" t="s">
        <v>1514</v>
      </c>
      <c r="BO99" s="75" t="s">
        <v>1514</v>
      </c>
      <c r="BP99" s="75" t="s">
        <v>1514</v>
      </c>
      <c r="BQ99" s="68">
        <f t="shared" si="90"/>
        <v>46</v>
      </c>
      <c r="BR99" s="69">
        <f t="shared" si="91"/>
        <v>75</v>
      </c>
      <c r="BS99" s="70">
        <f t="shared" si="92"/>
        <v>79</v>
      </c>
      <c r="BT99" s="69">
        <f t="shared" si="93"/>
        <v>111</v>
      </c>
      <c r="BU99" s="70">
        <f t="shared" si="94"/>
        <v>115</v>
      </c>
      <c r="BV99" s="69" t="str">
        <f t="shared" si="95"/>
        <v>-</v>
      </c>
      <c r="BW99" s="70">
        <f t="shared" si="96"/>
        <v>158</v>
      </c>
      <c r="BX99" s="69">
        <f t="shared" si="97"/>
        <v>202</v>
      </c>
      <c r="BY99" s="70">
        <f t="shared" si="98"/>
        <v>209</v>
      </c>
      <c r="BZ99" s="69">
        <f t="shared" si="99"/>
        <v>288</v>
      </c>
      <c r="CA99" s="70">
        <f t="shared" si="100"/>
        <v>333</v>
      </c>
      <c r="CB99" s="69">
        <f t="shared" si="101"/>
        <v>362</v>
      </c>
      <c r="CC99" s="68">
        <f t="shared" si="102"/>
        <v>74</v>
      </c>
      <c r="CD99" s="69">
        <f t="shared" si="103"/>
        <v>78</v>
      </c>
      <c r="CE99" s="70">
        <f t="shared" si="104"/>
        <v>109</v>
      </c>
      <c r="CF99" s="70">
        <f t="shared" si="105"/>
        <v>114</v>
      </c>
      <c r="CG99" s="70">
        <f t="shared" si="106"/>
        <v>150</v>
      </c>
      <c r="CH99" s="70" t="str">
        <f t="shared" si="107"/>
        <v>-</v>
      </c>
      <c r="CI99" s="70">
        <f t="shared" si="108"/>
        <v>183</v>
      </c>
      <c r="CJ99" s="70">
        <f t="shared" si="109"/>
        <v>204</v>
      </c>
      <c r="CK99" s="70">
        <f t="shared" si="110"/>
        <v>242</v>
      </c>
      <c r="CL99" s="70">
        <f t="shared" si="111"/>
        <v>324</v>
      </c>
      <c r="CM99" s="70">
        <f t="shared" si="112"/>
        <v>361</v>
      </c>
      <c r="CN99" s="70">
        <f t="shared" si="113"/>
        <v>373</v>
      </c>
      <c r="CO99" s="57">
        <f t="shared" ref="CO99:CO136" si="118">M99-K99</f>
        <v>1</v>
      </c>
    </row>
    <row r="100" spans="1:93" x14ac:dyDescent="0.2">
      <c r="A100" s="3" t="str">
        <f t="shared" si="115"/>
        <v>ox1r_human_4ZJC</v>
      </c>
      <c r="B100" s="3" t="s">
        <v>1394</v>
      </c>
      <c r="C100" s="3" t="s">
        <v>283</v>
      </c>
      <c r="D100" s="3" t="str">
        <f>IFERROR(MID(VLOOKUP($B100,Seqs!$A:$B,2,FALSE),E100,1),"")</f>
        <v>E</v>
      </c>
      <c r="E100" s="3">
        <v>46</v>
      </c>
      <c r="F100" s="3" t="str">
        <f>IFERROR(MID(VLOOKUP($B100,Seqs!$A:$B,2,FALSE),G100,1),"")</f>
        <v>N</v>
      </c>
      <c r="G100" s="3">
        <v>74</v>
      </c>
      <c r="H100" s="3" t="str">
        <f>IFERROR(MID(VLOOKUP($B100,Seqs!$A:$B,2,FALSE),I100,1),"")</f>
        <v>H</v>
      </c>
      <c r="I100" s="57">
        <v>75</v>
      </c>
      <c r="J100" s="3" t="str">
        <f>IFERROR(MID(VLOOKUP($B100,Seqs!$A:$B,2,FALSE),K100,1),"")</f>
        <v>R</v>
      </c>
      <c r="K100" s="57">
        <v>78</v>
      </c>
      <c r="L100" s="3" t="str">
        <f>IFERROR(MID(VLOOKUP($B100,Seqs!$A:$B,2,FALSE),M100,1),"")</f>
        <v>T</v>
      </c>
      <c r="M100" s="3">
        <v>79</v>
      </c>
      <c r="N100" s="3" t="str">
        <f>IFERROR(MID(VLOOKUP($B100,Seqs!$A:$B,2,FALSE),O100,1),"")</f>
        <v>T</v>
      </c>
      <c r="O100" s="3">
        <v>109</v>
      </c>
      <c r="P100" s="3" t="str">
        <f>IFERROR(MID(VLOOKUP($B100,Seqs!$A:$B,2,FALSE),Q100,1),"")</f>
        <v>S</v>
      </c>
      <c r="Q100" s="3">
        <v>111</v>
      </c>
      <c r="R100" s="3" t="str">
        <f>IFERROR(MID(VLOOKUP($B100,Seqs!$A:$B,2,FALSE),S100,1),"")</f>
        <v>F</v>
      </c>
      <c r="S100" s="3">
        <v>114</v>
      </c>
      <c r="T100" s="3" t="str">
        <f>IFERROR(MID(VLOOKUP($B100,Seqs!$A:$B,2,FALSE),U100,1),"")</f>
        <v>G</v>
      </c>
      <c r="U100" s="3">
        <v>115</v>
      </c>
      <c r="V100" s="3" t="str">
        <f>IFERROR(MID(VLOOKUP($B100,Seqs!$A:$B,2,FALSE),W100,1),"")</f>
        <v>H</v>
      </c>
      <c r="W100" s="3">
        <v>150</v>
      </c>
      <c r="X100" s="3" t="str">
        <f>IFERROR(MID(VLOOKUP($B100,Seqs!$A:$B,2,FALSE),Y100,1),"")</f>
        <v/>
      </c>
      <c r="Y100" s="3" t="s">
        <v>129</v>
      </c>
      <c r="Z100" s="3" t="str">
        <f>IFERROR(MID(VLOOKUP($B100,Seqs!$A:$B,2,FALSE),AA100,1),"")</f>
        <v/>
      </c>
      <c r="AA100" s="3" t="s">
        <v>129</v>
      </c>
      <c r="AB100" s="3" t="str">
        <f>IFERROR(MID(VLOOKUP($B100,Seqs!$A:$B,2,FALSE),AC100,1),"")</f>
        <v>A</v>
      </c>
      <c r="AC100" s="3">
        <v>158</v>
      </c>
      <c r="AD100" s="3" t="str">
        <f>IFERROR(MID(VLOOKUP($B100,Seqs!$A:$B,2,FALSE),AE100,1),"")</f>
        <v>M</v>
      </c>
      <c r="AE100" s="3">
        <v>183</v>
      </c>
      <c r="AF100" s="3" t="str">
        <f>IFERROR(MID(VLOOKUP($B100,Seqs!$A:$B,2,FALSE),AG100,1),"")</f>
        <v>C</v>
      </c>
      <c r="AG100" s="3">
        <v>202</v>
      </c>
      <c r="AH100" s="3" t="str">
        <f>IFERROR(MID(VLOOKUP($B100,Seqs!$A:$B,2,FALSE),AI100,1),"")</f>
        <v>E</v>
      </c>
      <c r="AI100" s="3">
        <v>204</v>
      </c>
      <c r="AJ100" s="3" t="str">
        <f>IFERROR(MID(VLOOKUP($B100,Seqs!$A:$B,2,FALSE),AK100,1),"")</f>
        <v>D</v>
      </c>
      <c r="AK100" s="3">
        <v>209</v>
      </c>
      <c r="AL100" s="3" t="str">
        <f>IFERROR(MID(VLOOKUP($B100,Seqs!$A:$B,2,FALSE),AM100,1),"")</f>
        <v>L</v>
      </c>
      <c r="AM100" s="3">
        <v>242</v>
      </c>
      <c r="AN100" s="3" t="str">
        <f>IFERROR(MID(VLOOKUP($B100,Seqs!$A:$B,2,FALSE),AO100,1),"")</f>
        <v>K</v>
      </c>
      <c r="AO100" s="3">
        <v>288</v>
      </c>
      <c r="AP100" s="3" t="str">
        <f>IFERROR(MID(VLOOKUP($B100,Seqs!$A:$B,2,FALSE),AQ100,1),"")</f>
        <v>F</v>
      </c>
      <c r="AQ100" s="3">
        <v>324</v>
      </c>
      <c r="AR100" s="3" t="str">
        <f>IFERROR(MID(VLOOKUP($B100,Seqs!$A:$B,2,FALSE),AS100,1),"")</f>
        <v>R</v>
      </c>
      <c r="AS100" s="3">
        <v>333</v>
      </c>
      <c r="AT100" s="3" t="str">
        <f>IFERROR(MID(VLOOKUP($B100,Seqs!$A:$B,2,FALSE),AU100,1),"")</f>
        <v>L</v>
      </c>
      <c r="AU100" s="3">
        <v>361</v>
      </c>
      <c r="AV100" s="3" t="str">
        <f>IFERROR(MID(VLOOKUP($B100,Seqs!$A:$B,2,FALSE),AW100,1),"")</f>
        <v>S</v>
      </c>
      <c r="AW100" s="3">
        <v>362</v>
      </c>
      <c r="AX100" s="3" t="str">
        <f>IFERROR(MID(VLOOKUP($B100,Seqs!$A:$B,2,FALSE),AY100,1),"")</f>
        <v>F</v>
      </c>
      <c r="AY100" s="3">
        <v>373</v>
      </c>
      <c r="AZ100" s="83" t="str">
        <f>VLOOKUP(B100,Classification!A:D,2,FALSE)</f>
        <v>A</v>
      </c>
      <c r="BC100" s="57">
        <f t="shared" si="116"/>
        <v>246</v>
      </c>
      <c r="BD100" s="63" t="b">
        <f t="shared" si="117"/>
        <v>1</v>
      </c>
      <c r="BE100" s="68" t="s">
        <v>1514</v>
      </c>
      <c r="BF100" s="75" t="s">
        <v>1514</v>
      </c>
      <c r="BG100" s="75" t="s">
        <v>1514</v>
      </c>
      <c r="BH100" s="75" t="s">
        <v>1514</v>
      </c>
      <c r="BI100" s="75" t="s">
        <v>1514</v>
      </c>
      <c r="BJ100" s="75" t="s">
        <v>1514</v>
      </c>
      <c r="BK100" s="75" t="s">
        <v>1514</v>
      </c>
      <c r="BL100" s="75" t="s">
        <v>1514</v>
      </c>
      <c r="BM100" s="75" t="s">
        <v>1514</v>
      </c>
      <c r="BN100" s="75" t="s">
        <v>1514</v>
      </c>
      <c r="BO100" s="75" t="s">
        <v>1514</v>
      </c>
      <c r="BP100" s="75" t="s">
        <v>1514</v>
      </c>
      <c r="BQ100" s="68">
        <f t="shared" si="90"/>
        <v>46</v>
      </c>
      <c r="BR100" s="69">
        <f t="shared" si="91"/>
        <v>75</v>
      </c>
      <c r="BS100" s="70">
        <f t="shared" si="92"/>
        <v>79</v>
      </c>
      <c r="BT100" s="69">
        <f t="shared" si="93"/>
        <v>111</v>
      </c>
      <c r="BU100" s="70">
        <f t="shared" si="94"/>
        <v>115</v>
      </c>
      <c r="BV100" s="69" t="str">
        <f t="shared" si="95"/>
        <v>-</v>
      </c>
      <c r="BW100" s="70">
        <f t="shared" si="96"/>
        <v>158</v>
      </c>
      <c r="BX100" s="69">
        <f t="shared" si="97"/>
        <v>202</v>
      </c>
      <c r="BY100" s="70">
        <f t="shared" si="98"/>
        <v>209</v>
      </c>
      <c r="BZ100" s="69">
        <f t="shared" si="99"/>
        <v>288</v>
      </c>
      <c r="CA100" s="70">
        <f t="shared" si="100"/>
        <v>333</v>
      </c>
      <c r="CB100" s="69">
        <f t="shared" si="101"/>
        <v>362</v>
      </c>
      <c r="CC100" s="68">
        <f t="shared" si="102"/>
        <v>74</v>
      </c>
      <c r="CD100" s="69">
        <f t="shared" si="103"/>
        <v>78</v>
      </c>
      <c r="CE100" s="70">
        <f t="shared" si="104"/>
        <v>109</v>
      </c>
      <c r="CF100" s="70">
        <f t="shared" si="105"/>
        <v>114</v>
      </c>
      <c r="CG100" s="70">
        <f t="shared" si="106"/>
        <v>150</v>
      </c>
      <c r="CH100" s="70" t="str">
        <f t="shared" si="107"/>
        <v>-</v>
      </c>
      <c r="CI100" s="70">
        <f t="shared" si="108"/>
        <v>183</v>
      </c>
      <c r="CJ100" s="70">
        <f t="shared" si="109"/>
        <v>204</v>
      </c>
      <c r="CK100" s="70">
        <f t="shared" si="110"/>
        <v>242</v>
      </c>
      <c r="CL100" s="70">
        <f t="shared" si="111"/>
        <v>324</v>
      </c>
      <c r="CM100" s="70">
        <f t="shared" si="112"/>
        <v>361</v>
      </c>
      <c r="CN100" s="70">
        <f t="shared" si="113"/>
        <v>373</v>
      </c>
      <c r="CO100" s="57">
        <f t="shared" si="118"/>
        <v>1</v>
      </c>
    </row>
    <row r="101" spans="1:93" x14ac:dyDescent="0.2">
      <c r="A101" s="3" t="str">
        <f t="shared" ref="A101:A135" si="119">CONCATENATE(B101,"_",C101)</f>
        <v>ox2r_human__wt</v>
      </c>
      <c r="B101" s="3" t="s">
        <v>1395</v>
      </c>
      <c r="C101" s="3" t="s">
        <v>294</v>
      </c>
      <c r="D101" s="3" t="str">
        <f>IFERROR(MID(VLOOKUP($B101,Seqs!$A:$B,2,FALSE),E101,1),"")</f>
        <v>Y</v>
      </c>
      <c r="E101" s="3">
        <v>53</v>
      </c>
      <c r="F101" s="3" t="str">
        <f>IFERROR(MID(VLOOKUP($B101,Seqs!$A:$B,2,FALSE),G101,1),"")</f>
        <v>N</v>
      </c>
      <c r="G101" s="3">
        <v>82</v>
      </c>
      <c r="H101" s="3" t="str">
        <f>IFERROR(MID(VLOOKUP($B101,Seqs!$A:$B,2,FALSE),I101,1),"")</f>
        <v>H</v>
      </c>
      <c r="I101" s="57">
        <v>83</v>
      </c>
      <c r="J101" s="3" t="str">
        <f>IFERROR(MID(VLOOKUP($B101,Seqs!$A:$B,2,FALSE),K101,1),"")</f>
        <v>R</v>
      </c>
      <c r="K101" s="57">
        <v>86</v>
      </c>
      <c r="L101" s="3" t="str">
        <f>IFERROR(MID(VLOOKUP($B101,Seqs!$A:$B,2,FALSE),M101,1),"")</f>
        <v>T</v>
      </c>
      <c r="M101" s="3">
        <v>87</v>
      </c>
      <c r="N101" s="3" t="str">
        <f>IFERROR(MID(VLOOKUP($B101,Seqs!$A:$B,2,FALSE),O101,1),"")</f>
        <v>T</v>
      </c>
      <c r="O101" s="3">
        <v>117</v>
      </c>
      <c r="P101" s="3" t="str">
        <f>IFERROR(MID(VLOOKUP($B101,Seqs!$A:$B,2,FALSE),Q101,1),"")</f>
        <v>T</v>
      </c>
      <c r="Q101" s="3">
        <v>119</v>
      </c>
      <c r="R101" s="3" t="str">
        <f>IFERROR(MID(VLOOKUP($B101,Seqs!$A:$B,2,FALSE),S101,1),"")</f>
        <v>F</v>
      </c>
      <c r="S101" s="3">
        <v>122</v>
      </c>
      <c r="T101" s="3" t="str">
        <f>IFERROR(MID(VLOOKUP($B101,Seqs!$A:$B,2,FALSE),U101,1),"")</f>
        <v>G</v>
      </c>
      <c r="U101" s="3">
        <v>123</v>
      </c>
      <c r="V101" s="3" t="str">
        <f>IFERROR(MID(VLOOKUP($B101,Seqs!$A:$B,2,FALSE),W101,1),"")</f>
        <v>H</v>
      </c>
      <c r="W101" s="3">
        <v>158</v>
      </c>
      <c r="X101" s="3" t="str">
        <f>IFERROR(MID(VLOOKUP($B101,Seqs!$A:$B,2,FALSE),Y101,1),"")</f>
        <v>P</v>
      </c>
      <c r="Y101" s="3">
        <v>159</v>
      </c>
      <c r="Z101" s="3" t="str">
        <f>IFERROR(MID(VLOOKUP($B101,Seqs!$A:$B,2,FALSE),AA101,1),"")</f>
        <v>T</v>
      </c>
      <c r="AA101" s="81">
        <v>165</v>
      </c>
      <c r="AB101" s="3" t="str">
        <f>IFERROR(MID(VLOOKUP($B101,Seqs!$A:$B,2,FALSE),AC101,1),"")</f>
        <v>A</v>
      </c>
      <c r="AC101" s="3">
        <v>166</v>
      </c>
      <c r="AD101" s="3" t="str">
        <f>IFERROR(MID(VLOOKUP($B101,Seqs!$A:$B,2,FALSE),AE101,1),"")</f>
        <v>M</v>
      </c>
      <c r="AE101" s="3">
        <v>191</v>
      </c>
      <c r="AF101" s="3" t="str">
        <f>IFERROR(MID(VLOOKUP($B101,Seqs!$A:$B,2,FALSE),AG101,1),"")</f>
        <v>C</v>
      </c>
      <c r="AG101" s="3">
        <v>210</v>
      </c>
      <c r="AH101" s="3" t="str">
        <f>IFERROR(MID(VLOOKUP($B101,Seqs!$A:$B,2,FALSE),AI101,1),"")</f>
        <v>E</v>
      </c>
      <c r="AI101" s="3">
        <v>212</v>
      </c>
      <c r="AJ101" s="3" t="str">
        <f>IFERROR(MID(VLOOKUP($B101,Seqs!$A:$B,2,FALSE),AK101,1),"")</f>
        <v>E</v>
      </c>
      <c r="AK101" s="3">
        <v>217</v>
      </c>
      <c r="AL101" s="3" t="str">
        <f>IFERROR(MID(VLOOKUP($B101,Seqs!$A:$B,2,FALSE),AM101,1),"")</f>
        <v>P</v>
      </c>
      <c r="AM101" s="3">
        <v>256</v>
      </c>
      <c r="AN101" s="3" t="str">
        <f>IFERROR(MID(VLOOKUP($B101,Seqs!$A:$B,2,FALSE),AO101,1),"")</f>
        <v>V</v>
      </c>
      <c r="AO101" s="3">
        <v>289</v>
      </c>
      <c r="AP101" s="3" t="str">
        <f>IFERROR(MID(VLOOKUP($B101,Seqs!$A:$B,2,FALSE),AQ101,1),"")</f>
        <v>F</v>
      </c>
      <c r="AQ101" s="3">
        <v>330</v>
      </c>
      <c r="AR101" s="3" t="str">
        <f>IFERROR(MID(VLOOKUP($B101,Seqs!$A:$B,2,FALSE),AS101,1),"")</f>
        <v>R</v>
      </c>
      <c r="AS101" s="3">
        <v>339</v>
      </c>
      <c r="AT101" s="3" t="str">
        <f>IFERROR(MID(VLOOKUP($B101,Seqs!$A:$B,2,FALSE),AU101,1),"")</f>
        <v>L</v>
      </c>
      <c r="AU101" s="3">
        <v>367</v>
      </c>
      <c r="AV101" s="3" t="str">
        <f>IFERROR(MID(VLOOKUP($B101,Seqs!$A:$B,2,FALSE),AW101,1),"")</f>
        <v>S</v>
      </c>
      <c r="AW101" s="3">
        <v>368</v>
      </c>
      <c r="AX101" s="3" t="str">
        <f>IFERROR(MID(VLOOKUP($B101,Seqs!$A:$B,2,FALSE),AY101,1),"")</f>
        <v>F</v>
      </c>
      <c r="AY101" s="3">
        <v>379</v>
      </c>
      <c r="AZ101" s="83" t="str">
        <f>VLOOKUP(B101,Classification!A:D,2,FALSE)</f>
        <v>A</v>
      </c>
      <c r="BB101" s="82">
        <f>S101-Q101+1</f>
        <v>4</v>
      </c>
      <c r="BC101" s="57">
        <f t="shared" ref="BC101:BC139" si="120">_xlfn.AGGREGATE(9,6,CC101:CN101)-_xlfn.AGGREGATE(9,6,BQ101:CB101)+12</f>
        <v>264</v>
      </c>
      <c r="BD101" s="63" t="b">
        <f t="shared" ref="BD101:BD139" si="121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E101" s="68" t="s">
        <v>1514</v>
      </c>
      <c r="BF101" s="75" t="s">
        <v>1514</v>
      </c>
      <c r="BG101" s="75" t="s">
        <v>1514</v>
      </c>
      <c r="BH101" s="75" t="s">
        <v>1514</v>
      </c>
      <c r="BI101" s="75" t="s">
        <v>1514</v>
      </c>
      <c r="BJ101" s="75" t="s">
        <v>1514</v>
      </c>
      <c r="BK101" s="75" t="s">
        <v>1514</v>
      </c>
      <c r="BL101" s="75" t="s">
        <v>1514</v>
      </c>
      <c r="BM101" s="75" t="s">
        <v>1514</v>
      </c>
      <c r="BN101" s="75" t="s">
        <v>1514</v>
      </c>
      <c r="BO101" s="75" t="s">
        <v>1514</v>
      </c>
      <c r="BP101" s="75" t="s">
        <v>1514</v>
      </c>
      <c r="BQ101" s="68">
        <f t="shared" ref="BQ101:BQ139" si="122">E101</f>
        <v>53</v>
      </c>
      <c r="BR101" s="69">
        <f t="shared" ref="BR101:BR139" si="123">I101</f>
        <v>83</v>
      </c>
      <c r="BS101" s="70">
        <f t="shared" ref="BS101:BS139" si="124">M101</f>
        <v>87</v>
      </c>
      <c r="BT101" s="69">
        <f t="shared" ref="BT101:BT139" si="125">Q101</f>
        <v>119</v>
      </c>
      <c r="BU101" s="70">
        <f t="shared" ref="BU101:BU139" si="126">U101</f>
        <v>123</v>
      </c>
      <c r="BV101" s="69">
        <f t="shared" ref="BV101:BV139" si="127">Y101</f>
        <v>159</v>
      </c>
      <c r="BW101" s="70">
        <f t="shared" ref="BW101:BW139" si="128">AC101</f>
        <v>166</v>
      </c>
      <c r="BX101" s="69">
        <f t="shared" ref="BX101:BX139" si="129">AG101</f>
        <v>210</v>
      </c>
      <c r="BY101" s="70">
        <f t="shared" ref="BY101:BY139" si="130">AK101</f>
        <v>217</v>
      </c>
      <c r="BZ101" s="69">
        <f t="shared" ref="BZ101:BZ139" si="131">AO101</f>
        <v>289</v>
      </c>
      <c r="CA101" s="70">
        <f t="shared" ref="CA101:CA139" si="132">AS101</f>
        <v>339</v>
      </c>
      <c r="CB101" s="69">
        <f t="shared" ref="CB101:CB139" si="133">AW101</f>
        <v>368</v>
      </c>
      <c r="CC101" s="68">
        <f t="shared" ref="CC101:CC139" si="134">G101</f>
        <v>82</v>
      </c>
      <c r="CD101" s="69">
        <f t="shared" ref="CD101:CD139" si="135">K101</f>
        <v>86</v>
      </c>
      <c r="CE101" s="70">
        <f t="shared" ref="CE101:CE139" si="136">O101</f>
        <v>117</v>
      </c>
      <c r="CF101" s="70">
        <f t="shared" ref="CF101:CF139" si="137">S101</f>
        <v>122</v>
      </c>
      <c r="CG101" s="70">
        <f t="shared" ref="CG101:CG139" si="138">W101</f>
        <v>158</v>
      </c>
      <c r="CH101" s="70">
        <f t="shared" ref="CH101:CH139" si="139">AA101</f>
        <v>165</v>
      </c>
      <c r="CI101" s="70">
        <f t="shared" ref="CI101:CI139" si="140">AE101</f>
        <v>191</v>
      </c>
      <c r="CJ101" s="70">
        <f t="shared" ref="CJ101:CJ139" si="141">AI101</f>
        <v>212</v>
      </c>
      <c r="CK101" s="70">
        <f t="shared" ref="CK101:CK139" si="142">AM101</f>
        <v>256</v>
      </c>
      <c r="CL101" s="70">
        <f t="shared" ref="CL101:CL139" si="143">AQ101</f>
        <v>330</v>
      </c>
      <c r="CM101" s="70">
        <f t="shared" ref="CM101:CM139" si="144">AU101</f>
        <v>367</v>
      </c>
      <c r="CN101" s="70">
        <f t="shared" ref="CN101:CN139" si="145">AY101</f>
        <v>379</v>
      </c>
      <c r="CO101" s="57">
        <f t="shared" si="118"/>
        <v>1</v>
      </c>
    </row>
    <row r="102" spans="1:93" x14ac:dyDescent="0.2">
      <c r="A102" s="3" t="str">
        <f t="shared" si="119"/>
        <v>ox2r_human_4S0V</v>
      </c>
      <c r="B102" s="3" t="s">
        <v>1395</v>
      </c>
      <c r="C102" s="3" t="s">
        <v>284</v>
      </c>
      <c r="D102" s="3" t="str">
        <f>IFERROR(MID(VLOOKUP($B102,Seqs!$A:$B,2,FALSE),E102,1),"")</f>
        <v>Y</v>
      </c>
      <c r="E102" s="3">
        <v>53</v>
      </c>
      <c r="F102" s="3" t="str">
        <f>IFERROR(MID(VLOOKUP($B102,Seqs!$A:$B,2,FALSE),G102,1),"")</f>
        <v>N</v>
      </c>
      <c r="G102" s="3">
        <v>82</v>
      </c>
      <c r="H102" s="3" t="str">
        <f>IFERROR(MID(VLOOKUP($B102,Seqs!$A:$B,2,FALSE),I102,1),"")</f>
        <v>H</v>
      </c>
      <c r="I102" s="57">
        <v>83</v>
      </c>
      <c r="J102" s="3" t="str">
        <f>IFERROR(MID(VLOOKUP($B102,Seqs!$A:$B,2,FALSE),K102,1),"")</f>
        <v>R</v>
      </c>
      <c r="K102" s="57">
        <v>86</v>
      </c>
      <c r="L102" s="3" t="str">
        <f>IFERROR(MID(VLOOKUP($B102,Seqs!$A:$B,2,FALSE),M102,1),"")</f>
        <v>T</v>
      </c>
      <c r="M102" s="3">
        <v>87</v>
      </c>
      <c r="N102" s="3" t="str">
        <f>IFERROR(MID(VLOOKUP($B102,Seqs!$A:$B,2,FALSE),O102,1),"")</f>
        <v>T</v>
      </c>
      <c r="O102" s="3">
        <v>117</v>
      </c>
      <c r="P102" s="3" t="str">
        <f>IFERROR(MID(VLOOKUP($B102,Seqs!$A:$B,2,FALSE),Q102,1),"")</f>
        <v>T</v>
      </c>
      <c r="Q102" s="3">
        <v>119</v>
      </c>
      <c r="R102" s="3" t="str">
        <f>IFERROR(MID(VLOOKUP($B102,Seqs!$A:$B,2,FALSE),S102,1),"")</f>
        <v>F</v>
      </c>
      <c r="S102" s="3">
        <v>122</v>
      </c>
      <c r="T102" s="3" t="str">
        <f>IFERROR(MID(VLOOKUP($B102,Seqs!$A:$B,2,FALSE),U102,1),"")</f>
        <v>G</v>
      </c>
      <c r="U102" s="3">
        <v>123</v>
      </c>
      <c r="V102" s="3" t="str">
        <f>IFERROR(MID(VLOOKUP($B102,Seqs!$A:$B,2,FALSE),W102,1),"")</f>
        <v>H</v>
      </c>
      <c r="W102" s="3">
        <v>158</v>
      </c>
      <c r="X102" s="3" t="str">
        <f>IFERROR(MID(VLOOKUP($B102,Seqs!$A:$B,2,FALSE),Y102,1),"")</f>
        <v/>
      </c>
      <c r="Y102" s="3" t="s">
        <v>129</v>
      </c>
      <c r="Z102" s="3" t="str">
        <f>IFERROR(MID(VLOOKUP($B102,Seqs!$A:$B,2,FALSE),AA102,1),"")</f>
        <v/>
      </c>
      <c r="AA102" s="3" t="s">
        <v>129</v>
      </c>
      <c r="AB102" s="3" t="str">
        <f>IFERROR(MID(VLOOKUP($B102,Seqs!$A:$B,2,FALSE),AC102,1),"")</f>
        <v>A</v>
      </c>
      <c r="AC102" s="3">
        <v>166</v>
      </c>
      <c r="AD102" s="3" t="str">
        <f>IFERROR(MID(VLOOKUP($B102,Seqs!$A:$B,2,FALSE),AE102,1),"")</f>
        <v>M</v>
      </c>
      <c r="AE102" s="3">
        <v>191</v>
      </c>
      <c r="AF102" s="3" t="str">
        <f>IFERROR(MID(VLOOKUP($B102,Seqs!$A:$B,2,FALSE),AG102,1),"")</f>
        <v>C</v>
      </c>
      <c r="AG102" s="3">
        <v>210</v>
      </c>
      <c r="AH102" s="3" t="str">
        <f>IFERROR(MID(VLOOKUP($B102,Seqs!$A:$B,2,FALSE),AI102,1),"")</f>
        <v>E</v>
      </c>
      <c r="AI102" s="3">
        <v>212</v>
      </c>
      <c r="AJ102" s="3" t="str">
        <f>IFERROR(MID(VLOOKUP($B102,Seqs!$A:$B,2,FALSE),AK102,1),"")</f>
        <v>E</v>
      </c>
      <c r="AK102" s="3">
        <v>217</v>
      </c>
      <c r="AL102" s="3" t="str">
        <f>IFERROR(MID(VLOOKUP($B102,Seqs!$A:$B,2,FALSE),AM102,1),"")</f>
        <v>Q</v>
      </c>
      <c r="AM102" s="3">
        <v>254</v>
      </c>
      <c r="AN102" s="3" t="str">
        <f>IFERROR(MID(VLOOKUP($B102,Seqs!$A:$B,2,FALSE),AO102,1),"")</f>
        <v>K</v>
      </c>
      <c r="AO102" s="3">
        <v>294</v>
      </c>
      <c r="AP102" s="3" t="str">
        <f>IFERROR(MID(VLOOKUP($B102,Seqs!$A:$B,2,FALSE),AQ102,1),"")</f>
        <v>F</v>
      </c>
      <c r="AQ102" s="3">
        <v>330</v>
      </c>
      <c r="AR102" s="3" t="str">
        <f>IFERROR(MID(VLOOKUP($B102,Seqs!$A:$B,2,FALSE),AS102,1),"")</f>
        <v>R</v>
      </c>
      <c r="AS102" s="3">
        <v>339</v>
      </c>
      <c r="AT102" s="3" t="str">
        <f>IFERROR(MID(VLOOKUP($B102,Seqs!$A:$B,2,FALSE),AU102,1),"")</f>
        <v>L</v>
      </c>
      <c r="AU102" s="3">
        <v>367</v>
      </c>
      <c r="AV102" s="3" t="str">
        <f>IFERROR(MID(VLOOKUP($B102,Seqs!$A:$B,2,FALSE),AW102,1),"")</f>
        <v>S</v>
      </c>
      <c r="AW102" s="3">
        <v>368</v>
      </c>
      <c r="AX102" s="3" t="str">
        <f>IFERROR(MID(VLOOKUP($B102,Seqs!$A:$B,2,FALSE),AY102,1),"")</f>
        <v>F</v>
      </c>
      <c r="AY102" s="3">
        <v>379</v>
      </c>
      <c r="AZ102" s="83" t="str">
        <f>VLOOKUP(B102,Classification!A:D,2,FALSE)</f>
        <v>A</v>
      </c>
      <c r="BC102" s="57">
        <f t="shared" si="120"/>
        <v>251</v>
      </c>
      <c r="BD102" s="63" t="b">
        <f t="shared" si="121"/>
        <v>1</v>
      </c>
      <c r="BE102" s="68" t="s">
        <v>1514</v>
      </c>
      <c r="BF102" s="75" t="s">
        <v>1514</v>
      </c>
      <c r="BG102" s="75" t="s">
        <v>1514</v>
      </c>
      <c r="BH102" s="75" t="s">
        <v>1514</v>
      </c>
      <c r="BI102" s="75" t="s">
        <v>1514</v>
      </c>
      <c r="BJ102" s="75" t="s">
        <v>1514</v>
      </c>
      <c r="BK102" s="75" t="s">
        <v>1514</v>
      </c>
      <c r="BL102" s="75" t="s">
        <v>1514</v>
      </c>
      <c r="BM102" s="75" t="s">
        <v>1514</v>
      </c>
      <c r="BN102" s="75" t="s">
        <v>1514</v>
      </c>
      <c r="BO102" s="75" t="s">
        <v>1514</v>
      </c>
      <c r="BP102" s="75" t="s">
        <v>1514</v>
      </c>
      <c r="BQ102" s="68">
        <f t="shared" si="122"/>
        <v>53</v>
      </c>
      <c r="BR102" s="69">
        <f t="shared" si="123"/>
        <v>83</v>
      </c>
      <c r="BS102" s="70">
        <f t="shared" si="124"/>
        <v>87</v>
      </c>
      <c r="BT102" s="69">
        <f t="shared" si="125"/>
        <v>119</v>
      </c>
      <c r="BU102" s="70">
        <f t="shared" si="126"/>
        <v>123</v>
      </c>
      <c r="BV102" s="69" t="str">
        <f t="shared" si="127"/>
        <v>-</v>
      </c>
      <c r="BW102" s="70">
        <f t="shared" si="128"/>
        <v>166</v>
      </c>
      <c r="BX102" s="69">
        <f t="shared" si="129"/>
        <v>210</v>
      </c>
      <c r="BY102" s="70">
        <f t="shared" si="130"/>
        <v>217</v>
      </c>
      <c r="BZ102" s="69">
        <f t="shared" si="131"/>
        <v>294</v>
      </c>
      <c r="CA102" s="70">
        <f t="shared" si="132"/>
        <v>339</v>
      </c>
      <c r="CB102" s="69">
        <f t="shared" si="133"/>
        <v>368</v>
      </c>
      <c r="CC102" s="68">
        <f t="shared" si="134"/>
        <v>82</v>
      </c>
      <c r="CD102" s="69">
        <f t="shared" si="135"/>
        <v>86</v>
      </c>
      <c r="CE102" s="70">
        <f t="shared" si="136"/>
        <v>117</v>
      </c>
      <c r="CF102" s="70">
        <f t="shared" si="137"/>
        <v>122</v>
      </c>
      <c r="CG102" s="70">
        <f t="shared" si="138"/>
        <v>158</v>
      </c>
      <c r="CH102" s="70" t="str">
        <f t="shared" si="139"/>
        <v>-</v>
      </c>
      <c r="CI102" s="70">
        <f t="shared" si="140"/>
        <v>191</v>
      </c>
      <c r="CJ102" s="70">
        <f t="shared" si="141"/>
        <v>212</v>
      </c>
      <c r="CK102" s="70">
        <f t="shared" si="142"/>
        <v>254</v>
      </c>
      <c r="CL102" s="70">
        <f t="shared" si="143"/>
        <v>330</v>
      </c>
      <c r="CM102" s="70">
        <f t="shared" si="144"/>
        <v>367</v>
      </c>
      <c r="CN102" s="70">
        <f t="shared" si="145"/>
        <v>379</v>
      </c>
      <c r="CO102" s="57">
        <f t="shared" si="118"/>
        <v>1</v>
      </c>
    </row>
    <row r="103" spans="1:93" s="2" customFormat="1" x14ac:dyDescent="0.2">
      <c r="A103" s="2" t="s">
        <v>1562</v>
      </c>
      <c r="B103" s="2" t="s">
        <v>390</v>
      </c>
      <c r="C103" s="2" t="s">
        <v>294</v>
      </c>
      <c r="D103" s="3" t="str">
        <f>IFERROR(MID(VLOOKUP($B103,Seqs!$A:$B,2,FALSE),E103,1),"")</f>
        <v>Q</v>
      </c>
      <c r="E103" s="2">
        <v>91</v>
      </c>
      <c r="F103" s="3" t="str">
        <f>IFERROR(MID(VLOOKUP($B103,Seqs!$A:$B,2,FALSE),G103,1),"")</f>
        <v>N</v>
      </c>
      <c r="G103" s="2">
        <v>129</v>
      </c>
      <c r="H103" s="3" t="str">
        <f>IFERROR(MID(VLOOKUP($B103,Seqs!$A:$B,2,FALSE),I103,1),"")</f>
        <v>K</v>
      </c>
      <c r="I103" s="113">
        <v>130</v>
      </c>
      <c r="J103" s="3" t="str">
        <f>IFERROR(MID(VLOOKUP($B103,Seqs!$A:$B,2,FALSE),K103,1),"")</f>
        <v>N</v>
      </c>
      <c r="K103" s="113">
        <v>134</v>
      </c>
      <c r="L103" s="3" t="str">
        <f>IFERROR(MID(VLOOKUP($B103,Seqs!$A:$B,2,FALSE),M103,1),"")</f>
        <v>G</v>
      </c>
      <c r="M103" s="2">
        <v>135</v>
      </c>
      <c r="N103" s="3" t="str">
        <f>IFERROR(MID(VLOOKUP($B103,Seqs!$A:$B,2,FALSE),O103,1),"")</f>
        <v>A</v>
      </c>
      <c r="O103" s="2">
        <v>164</v>
      </c>
      <c r="P103" s="3" t="str">
        <f>IFERROR(MID(VLOOKUP($B103,Seqs!$A:$B,2,FALSE),Q103,1),"")</f>
        <v>D</v>
      </c>
      <c r="Q103" s="2">
        <v>166</v>
      </c>
      <c r="R103" s="3" t="str">
        <f>IFERROR(MID(VLOOKUP($B103,Seqs!$A:$B,2,FALSE),S103,1),"")</f>
        <v>F</v>
      </c>
      <c r="S103" s="2">
        <v>169</v>
      </c>
      <c r="T103" s="3" t="str">
        <f>IFERROR(MID(VLOOKUP($B103,Seqs!$A:$B,2,FALSE),U103,1),"")</f>
        <v>G</v>
      </c>
      <c r="U103" s="4">
        <v>170</v>
      </c>
      <c r="V103" s="3" t="str">
        <f>IFERROR(MID(VLOOKUP($B103,Seqs!$A:$B,2,FALSE),W103,1),"")</f>
        <v>S</v>
      </c>
      <c r="W103" s="2">
        <v>205</v>
      </c>
      <c r="X103" s="3" t="str">
        <f>IFERROR(MID(VLOOKUP($B103,Seqs!$A:$B,2,FALSE),Y103,1),"")</f>
        <v>W</v>
      </c>
      <c r="Y103" s="2">
        <v>206</v>
      </c>
      <c r="Z103" s="3" t="str">
        <f>IFERROR(MID(VLOOKUP($B103,Seqs!$A:$B,2,FALSE),AA103,1),"")</f>
        <v>G</v>
      </c>
      <c r="AA103" s="2">
        <v>213</v>
      </c>
      <c r="AB103" s="3" t="str">
        <f>IFERROR(MID(VLOOKUP($B103,Seqs!$A:$B,2,FALSE),AC103,1),"")</f>
        <v>P</v>
      </c>
      <c r="AC103" s="2">
        <v>215</v>
      </c>
      <c r="AD103" s="3" t="str">
        <f>IFERROR(MID(VLOOKUP($B103,Seqs!$A:$B,2,FALSE),AE103,1),"")</f>
        <v>F</v>
      </c>
      <c r="AE103" s="2">
        <v>240</v>
      </c>
      <c r="AF103" s="3" t="str">
        <f>IFERROR(MID(VLOOKUP($B103,Seqs!$A:$B,2,FALSE),AG103,1),"")</f>
        <v>C</v>
      </c>
      <c r="AG103" s="2">
        <v>255</v>
      </c>
      <c r="AH103" s="3" t="str">
        <f>IFERROR(MID(VLOOKUP($B103,Seqs!$A:$B,2,FALSE),AI103,1),"")</f>
        <v>L</v>
      </c>
      <c r="AI103" s="2">
        <v>257</v>
      </c>
      <c r="AJ103" s="3" t="str">
        <f>IFERROR(MID(VLOOKUP($B103,Seqs!$A:$B,2,FALSE),AK103,1),"")</f>
        <v>A</v>
      </c>
      <c r="AK103" s="2">
        <v>264</v>
      </c>
      <c r="AL103" s="3" t="str">
        <f>IFERROR(MID(VLOOKUP($B103,Seqs!$A:$B,2,FALSE),AM103,1),"")</f>
        <v>M</v>
      </c>
      <c r="AM103" s="2">
        <v>307</v>
      </c>
      <c r="AN103" s="3" t="str">
        <f>IFERROR(MID(VLOOKUP($B103,Seqs!$A:$B,2,FALSE),AO103,1),"")</f>
        <v>N</v>
      </c>
      <c r="AO103" s="2">
        <v>312</v>
      </c>
      <c r="AP103" s="3" t="str">
        <f>IFERROR(MID(VLOOKUP($B103,Seqs!$A:$B,2,FALSE),AQ103,1),"")</f>
        <v>Y</v>
      </c>
      <c r="AQ103" s="2">
        <v>350</v>
      </c>
      <c r="AR103" s="3" t="str">
        <f>IFERROR(MID(VLOOKUP($B103,Seqs!$A:$B,2,FALSE),AS103,1),"")</f>
        <v>R</v>
      </c>
      <c r="AS103" s="2">
        <v>357</v>
      </c>
      <c r="AT103" s="3" t="str">
        <f>IFERROR(MID(VLOOKUP($B103,Seqs!$A:$B,2,FALSE),AU103,1),"")</f>
        <v>V</v>
      </c>
      <c r="AU103" s="2">
        <v>389</v>
      </c>
      <c r="AV103" s="3" t="str">
        <f>IFERROR(MID(VLOOKUP($B103,Seqs!$A:$B,2,FALSE),AW103,1),"")</f>
        <v>S</v>
      </c>
      <c r="AW103" s="2">
        <v>390</v>
      </c>
      <c r="AX103" s="3" t="str">
        <f>IFERROR(MID(VLOOKUP($B103,Seqs!$A:$B,2,FALSE),AY103,1),"")</f>
        <v>C</v>
      </c>
      <c r="AY103" s="2">
        <v>403</v>
      </c>
      <c r="AZ103" s="83" t="str">
        <f>VLOOKUP(B103,Classification!A:D,2,FALSE)</f>
        <v>A</v>
      </c>
      <c r="BD103" s="103"/>
      <c r="BE103" s="114"/>
      <c r="BF103" s="114"/>
      <c r="BG103" s="114"/>
      <c r="BH103" s="114"/>
      <c r="BI103" s="114"/>
      <c r="BJ103" s="114"/>
      <c r="BK103" s="114"/>
      <c r="BL103" s="114"/>
      <c r="BM103" s="114"/>
      <c r="BN103" s="114"/>
      <c r="BO103" s="114"/>
      <c r="BP103" s="114"/>
      <c r="BQ103" s="114"/>
      <c r="BR103" s="114"/>
      <c r="BS103" s="114"/>
      <c r="BT103" s="114"/>
      <c r="BU103" s="114"/>
      <c r="BV103" s="114"/>
      <c r="BW103" s="114"/>
      <c r="BX103" s="114"/>
      <c r="BY103" s="114"/>
      <c r="BZ103" s="114"/>
      <c r="CA103" s="114"/>
      <c r="CB103" s="114"/>
      <c r="CC103" s="114"/>
      <c r="CD103" s="114"/>
      <c r="CE103" s="114"/>
      <c r="CF103" s="114"/>
      <c r="CG103" s="114"/>
      <c r="CH103" s="114"/>
      <c r="CI103" s="114"/>
      <c r="CJ103" s="114"/>
      <c r="CK103" s="114"/>
      <c r="CL103" s="114"/>
      <c r="CM103" s="114"/>
      <c r="CN103" s="114"/>
    </row>
    <row r="104" spans="1:93" s="2" customFormat="1" x14ac:dyDescent="0.2">
      <c r="A104" s="2" t="s">
        <v>1559</v>
      </c>
      <c r="B104" s="2" t="s">
        <v>390</v>
      </c>
      <c r="C104" s="2" t="s">
        <v>1560</v>
      </c>
      <c r="D104" s="3" t="str">
        <f>IFERROR(MID(VLOOKUP($B104,Seqs!$A:$B,2,FALSE),E104,1),"")</f>
        <v>Q</v>
      </c>
      <c r="E104" s="2">
        <v>91</v>
      </c>
      <c r="F104" s="3" t="str">
        <f>IFERROR(MID(VLOOKUP($B104,Seqs!$A:$B,2,FALSE),G104,1),"")</f>
        <v>N</v>
      </c>
      <c r="G104" s="2">
        <v>129</v>
      </c>
      <c r="H104" s="3" t="str">
        <f>IFERROR(MID(VLOOKUP($B104,Seqs!$A:$B,2,FALSE),I104,1),"")</f>
        <v>K</v>
      </c>
      <c r="I104" s="113">
        <v>130</v>
      </c>
      <c r="J104" s="3" t="str">
        <f>IFERROR(MID(VLOOKUP($B104,Seqs!$A:$B,2,FALSE),K104,1),"")</f>
        <v>N</v>
      </c>
      <c r="K104" s="113">
        <v>134</v>
      </c>
      <c r="L104" s="3" t="str">
        <f>IFERROR(MID(VLOOKUP($B104,Seqs!$A:$B,2,FALSE),M104,1),"")</f>
        <v>G</v>
      </c>
      <c r="M104" s="2">
        <v>135</v>
      </c>
      <c r="N104" s="3" t="str">
        <f>IFERROR(MID(VLOOKUP($B104,Seqs!$A:$B,2,FALSE),O104,1),"")</f>
        <v>A</v>
      </c>
      <c r="O104" s="2">
        <v>164</v>
      </c>
      <c r="P104" s="3" t="str">
        <f>IFERROR(MID(VLOOKUP($B104,Seqs!$A:$B,2,FALSE),Q104,1),"")</f>
        <v>D</v>
      </c>
      <c r="Q104" s="2">
        <v>166</v>
      </c>
      <c r="R104" s="3" t="str">
        <f>IFERROR(MID(VLOOKUP($B104,Seqs!$A:$B,2,FALSE),S104,1),"")</f>
        <v>F</v>
      </c>
      <c r="S104" s="2">
        <v>169</v>
      </c>
      <c r="T104" s="3" t="str">
        <f>IFERROR(MID(VLOOKUP($B104,Seqs!$A:$B,2,FALSE),U104,1),"")</f>
        <v>G</v>
      </c>
      <c r="U104" s="4">
        <v>170</v>
      </c>
      <c r="V104" s="3" t="str">
        <f>IFERROR(MID(VLOOKUP($B104,Seqs!$A:$B,2,FALSE),W104,1),"")</f>
        <v>S</v>
      </c>
      <c r="W104" s="2">
        <v>205</v>
      </c>
      <c r="X104" s="3" t="str">
        <f>IFERROR(MID(VLOOKUP($B104,Seqs!$A:$B,2,FALSE),Y104,1),"")</f>
        <v/>
      </c>
      <c r="Y104" s="2" t="s">
        <v>129</v>
      </c>
      <c r="Z104" s="3" t="str">
        <f>IFERROR(MID(VLOOKUP($B104,Seqs!$A:$B,2,FALSE),AA104,1),"")</f>
        <v/>
      </c>
      <c r="AA104" s="2" t="s">
        <v>129</v>
      </c>
      <c r="AB104" s="3" t="str">
        <f>IFERROR(MID(VLOOKUP($B104,Seqs!$A:$B,2,FALSE),AC104,1),"")</f>
        <v>P</v>
      </c>
      <c r="AC104" s="2">
        <v>215</v>
      </c>
      <c r="AD104" s="3" t="str">
        <f>IFERROR(MID(VLOOKUP($B104,Seqs!$A:$B,2,FALSE),AE104,1),"")</f>
        <v>F</v>
      </c>
      <c r="AE104" s="2">
        <v>240</v>
      </c>
      <c r="AF104" s="3" t="str">
        <f>IFERROR(MID(VLOOKUP($B104,Seqs!$A:$B,2,FALSE),AG104,1),"")</f>
        <v>C</v>
      </c>
      <c r="AG104" s="2">
        <v>255</v>
      </c>
      <c r="AH104" s="3" t="str">
        <f>IFERROR(MID(VLOOKUP($B104,Seqs!$A:$B,2,FALSE),AI104,1),"")</f>
        <v>L</v>
      </c>
      <c r="AI104" s="2">
        <v>257</v>
      </c>
      <c r="AJ104" s="3" t="str">
        <f>IFERROR(MID(VLOOKUP($B104,Seqs!$A:$B,2,FALSE),AK104,1),"")</f>
        <v>A</v>
      </c>
      <c r="AK104" s="2">
        <v>264</v>
      </c>
      <c r="AL104" s="3" t="str">
        <f>IFERROR(MID(VLOOKUP($B104,Seqs!$A:$B,2,FALSE),AM104,1),"")</f>
        <v>K</v>
      </c>
      <c r="AM104" s="2">
        <v>303</v>
      </c>
      <c r="AN104" s="3" t="str">
        <f>IFERROR(MID(VLOOKUP($B104,Seqs!$A:$B,2,FALSE),AO104,1),"")</f>
        <v>N</v>
      </c>
      <c r="AO104" s="2">
        <v>312</v>
      </c>
      <c r="AP104" s="3" t="str">
        <f>IFERROR(MID(VLOOKUP($B104,Seqs!$A:$B,2,FALSE),AQ104,1),"")</f>
        <v>Y</v>
      </c>
      <c r="AQ104" s="2">
        <v>350</v>
      </c>
      <c r="AR104" s="3" t="str">
        <f>IFERROR(MID(VLOOKUP($B104,Seqs!$A:$B,2,FALSE),AS104,1),"")</f>
        <v>R</v>
      </c>
      <c r="AS104" s="2">
        <v>357</v>
      </c>
      <c r="AT104" s="3" t="str">
        <f>IFERROR(MID(VLOOKUP($B104,Seqs!$A:$B,2,FALSE),AU104,1),"")</f>
        <v>V</v>
      </c>
      <c r="AU104" s="2">
        <v>389</v>
      </c>
      <c r="AV104" s="3" t="str">
        <f>IFERROR(MID(VLOOKUP($B104,Seqs!$A:$B,2,FALSE),AW104,1),"")</f>
        <v>S</v>
      </c>
      <c r="AW104" s="2">
        <v>390</v>
      </c>
      <c r="AX104" s="3" t="str">
        <f>IFERROR(MID(VLOOKUP($B104,Seqs!$A:$B,2,FALSE),AY104,1),"")</f>
        <v>C</v>
      </c>
      <c r="AY104" s="2">
        <v>403</v>
      </c>
      <c r="AZ104" s="83" t="str">
        <f>VLOOKUP(B104,Classification!A:D,2,FALSE)</f>
        <v>A</v>
      </c>
      <c r="BD104" s="103"/>
      <c r="BE104" s="114"/>
      <c r="BF104" s="114"/>
      <c r="BG104" s="114"/>
      <c r="BH104" s="114"/>
      <c r="BI104" s="114"/>
      <c r="BJ104" s="114"/>
      <c r="BK104" s="114"/>
      <c r="BL104" s="114"/>
      <c r="BM104" s="114"/>
      <c r="BN104" s="114"/>
      <c r="BO104" s="114"/>
      <c r="BP104" s="114"/>
      <c r="BQ104" s="114"/>
      <c r="BR104" s="114"/>
      <c r="BS104" s="114"/>
      <c r="BT104" s="114"/>
      <c r="BU104" s="114"/>
      <c r="BV104" s="114"/>
      <c r="BW104" s="114"/>
      <c r="BX104" s="114"/>
      <c r="BY104" s="114"/>
      <c r="BZ104" s="114"/>
      <c r="CA104" s="114"/>
      <c r="CB104" s="114"/>
      <c r="CC104" s="114"/>
      <c r="CD104" s="114"/>
      <c r="CE104" s="114"/>
      <c r="CF104" s="114"/>
      <c r="CG104" s="114"/>
      <c r="CH104" s="114"/>
      <c r="CI104" s="114"/>
      <c r="CJ104" s="114"/>
      <c r="CK104" s="114"/>
      <c r="CL104" s="114"/>
      <c r="CM104" s="114"/>
      <c r="CN104" s="114"/>
    </row>
    <row r="105" spans="1:93" s="2" customFormat="1" x14ac:dyDescent="0.2">
      <c r="A105" s="2" t="s">
        <v>1566</v>
      </c>
      <c r="B105" s="2" t="s">
        <v>390</v>
      </c>
      <c r="C105" s="2" t="s">
        <v>1561</v>
      </c>
      <c r="D105" s="3" t="str">
        <f>IFERROR(MID(VLOOKUP($B105,Seqs!$A:$B,2,FALSE),E105,1),"")</f>
        <v>K</v>
      </c>
      <c r="E105" s="2">
        <v>97</v>
      </c>
      <c r="F105" s="3" t="str">
        <f>IFERROR(MID(VLOOKUP($B105,Seqs!$A:$B,2,FALSE),G105,1),"")</f>
        <v>N</v>
      </c>
      <c r="G105" s="2">
        <v>129</v>
      </c>
      <c r="H105" s="3" t="str">
        <f>IFERROR(MID(VLOOKUP($B105,Seqs!$A:$B,2,FALSE),I105,1),"")</f>
        <v/>
      </c>
      <c r="I105" s="113" t="s">
        <v>129</v>
      </c>
      <c r="J105" s="3" t="str">
        <f>IFERROR(MID(VLOOKUP($B105,Seqs!$A:$B,2,FALSE),K105,1),"")</f>
        <v/>
      </c>
      <c r="K105" s="113" t="s">
        <v>129</v>
      </c>
      <c r="L105" s="3" t="str">
        <f>IFERROR(MID(VLOOKUP($B105,Seqs!$A:$B,2,FALSE),M105,1),"")</f>
        <v>P</v>
      </c>
      <c r="M105" s="2">
        <v>136</v>
      </c>
      <c r="N105" s="3" t="str">
        <f>IFERROR(MID(VLOOKUP($B105,Seqs!$A:$B,2,FALSE),O105,1),"")</f>
        <v>A</v>
      </c>
      <c r="O105" s="2">
        <v>164</v>
      </c>
      <c r="P105" s="3" t="str">
        <f>IFERROR(MID(VLOOKUP($B105,Seqs!$A:$B,2,FALSE),Q105,1),"")</f>
        <v>D</v>
      </c>
      <c r="Q105" s="2">
        <v>166</v>
      </c>
      <c r="R105" s="3" t="str">
        <f>IFERROR(MID(VLOOKUP($B105,Seqs!$A:$B,2,FALSE),S105,1),"")</f>
        <v>F</v>
      </c>
      <c r="S105" s="2">
        <v>169</v>
      </c>
      <c r="T105" s="3" t="str">
        <f>IFERROR(MID(VLOOKUP($B105,Seqs!$A:$B,2,FALSE),U105,1),"")</f>
        <v>G</v>
      </c>
      <c r="U105" s="4">
        <v>170</v>
      </c>
      <c r="V105" s="3" t="str">
        <f>IFERROR(MID(VLOOKUP($B105,Seqs!$A:$B,2,FALSE),W105,1),"")</f>
        <v>S</v>
      </c>
      <c r="W105" s="2">
        <v>205</v>
      </c>
      <c r="X105" s="3" t="str">
        <f>IFERROR(MID(VLOOKUP($B105,Seqs!$A:$B,2,FALSE),Y105,1),"")</f>
        <v/>
      </c>
      <c r="Y105" s="2" t="s">
        <v>129</v>
      </c>
      <c r="Z105" s="3" t="str">
        <f>IFERROR(MID(VLOOKUP($B105,Seqs!$A:$B,2,FALSE),AA105,1),"")</f>
        <v/>
      </c>
      <c r="AA105" s="2" t="s">
        <v>129</v>
      </c>
      <c r="AB105" s="3" t="str">
        <f>IFERROR(MID(VLOOKUP($B105,Seqs!$A:$B,2,FALSE),AC105,1),"")</f>
        <v>T</v>
      </c>
      <c r="AC105" s="2">
        <v>218</v>
      </c>
      <c r="AD105" s="3" t="str">
        <f>IFERROR(MID(VLOOKUP($B105,Seqs!$A:$B,2,FALSE),AE105,1),"")</f>
        <v>F</v>
      </c>
      <c r="AE105" s="2">
        <v>240</v>
      </c>
      <c r="AF105" s="3" t="str">
        <f>IFERROR(MID(VLOOKUP($B105,Seqs!$A:$B,2,FALSE),AG105,1),"")</f>
        <v>C</v>
      </c>
      <c r="AG105" s="2">
        <v>255</v>
      </c>
      <c r="AH105" s="3" t="str">
        <f>IFERROR(MID(VLOOKUP($B105,Seqs!$A:$B,2,FALSE),AI105,1),"")</f>
        <v>L</v>
      </c>
      <c r="AI105" s="2">
        <v>257</v>
      </c>
      <c r="AJ105" s="3" t="str">
        <f>IFERROR(MID(VLOOKUP($B105,Seqs!$A:$B,2,FALSE),AK105,1),"")</f>
        <v>A</v>
      </c>
      <c r="AK105" s="2">
        <v>264</v>
      </c>
      <c r="AL105" s="3" t="str">
        <f>IFERROR(MID(VLOOKUP($B105,Seqs!$A:$B,2,FALSE),AM105,1),"")</f>
        <v>K</v>
      </c>
      <c r="AM105" s="2">
        <v>303</v>
      </c>
      <c r="AN105" s="3" t="str">
        <f>IFERROR(MID(VLOOKUP($B105,Seqs!$A:$B,2,FALSE),AO105,1),"")</f>
        <v>N</v>
      </c>
      <c r="AO105" s="2">
        <v>312</v>
      </c>
      <c r="AP105" s="3" t="str">
        <f>IFERROR(MID(VLOOKUP($B105,Seqs!$A:$B,2,FALSE),AQ105,1),"")</f>
        <v>Y</v>
      </c>
      <c r="AQ105" s="2">
        <v>350</v>
      </c>
      <c r="AR105" s="3" t="str">
        <f>IFERROR(MID(VLOOKUP($B105,Seqs!$A:$B,2,FALSE),AS105,1),"")</f>
        <v>R</v>
      </c>
      <c r="AS105" s="2">
        <v>357</v>
      </c>
      <c r="AT105" s="3" t="str">
        <f>IFERROR(MID(VLOOKUP($B105,Seqs!$A:$B,2,FALSE),AU105,1),"")</f>
        <v>V</v>
      </c>
      <c r="AU105" s="2">
        <v>389</v>
      </c>
      <c r="AV105" s="3" t="str">
        <f>IFERROR(MID(VLOOKUP($B105,Seqs!$A:$B,2,FALSE),AW105,1),"")</f>
        <v>S</v>
      </c>
      <c r="AW105" s="2">
        <v>390</v>
      </c>
      <c r="AX105" s="3" t="str">
        <f>IFERROR(MID(VLOOKUP($B105,Seqs!$A:$B,2,FALSE),AY105,1),"")</f>
        <v>L</v>
      </c>
      <c r="AY105" s="2">
        <v>401</v>
      </c>
      <c r="AZ105" s="83" t="str">
        <f>VLOOKUP(B105,Classification!A:D,2,FALSE)</f>
        <v>A</v>
      </c>
      <c r="BD105" s="103"/>
      <c r="BE105" s="114"/>
      <c r="BF105" s="114"/>
      <c r="BG105" s="114"/>
      <c r="BH105" s="114"/>
      <c r="BI105" s="114"/>
      <c r="BJ105" s="114"/>
      <c r="BK105" s="114"/>
      <c r="BL105" s="114"/>
      <c r="BM105" s="114"/>
      <c r="BN105" s="114"/>
      <c r="BO105" s="114"/>
      <c r="BP105" s="114"/>
      <c r="BQ105" s="114"/>
      <c r="BR105" s="114"/>
      <c r="BS105" s="114"/>
      <c r="BT105" s="114"/>
      <c r="BU105" s="114"/>
      <c r="BV105" s="114"/>
      <c r="BW105" s="114"/>
      <c r="BX105" s="114"/>
      <c r="BY105" s="114"/>
      <c r="BZ105" s="114"/>
      <c r="CA105" s="114"/>
      <c r="CB105" s="114"/>
      <c r="CC105" s="114"/>
      <c r="CD105" s="114"/>
      <c r="CE105" s="114"/>
      <c r="CF105" s="114"/>
      <c r="CG105" s="114"/>
      <c r="CH105" s="114"/>
      <c r="CI105" s="114"/>
      <c r="CJ105" s="114"/>
      <c r="CK105" s="114"/>
      <c r="CL105" s="114"/>
      <c r="CM105" s="114"/>
      <c r="CN105" s="114"/>
    </row>
    <row r="106" spans="1:93" x14ac:dyDescent="0.2">
      <c r="A106" s="3" t="str">
        <f t="shared" si="119"/>
        <v>p2ry1_human__wt</v>
      </c>
      <c r="B106" s="3" t="s">
        <v>539</v>
      </c>
      <c r="C106" s="3" t="s">
        <v>294</v>
      </c>
      <c r="D106" s="3" t="str">
        <f>IFERROR(MID(VLOOKUP($B106,Seqs!$A:$B,2,FALSE),E106,1),"")</f>
        <v>F</v>
      </c>
      <c r="E106" s="3">
        <v>49</v>
      </c>
      <c r="F106" s="3" t="str">
        <f>IFERROR(MID(VLOOKUP($B106,Seqs!$A:$B,2,FALSE),G106,1),"")</f>
        <v>H</v>
      </c>
      <c r="G106" s="3">
        <v>79</v>
      </c>
      <c r="H106" s="3" t="str">
        <f>IFERROR(MID(VLOOKUP($B106,Seqs!$A:$B,2,FALSE),I106,1),"")</f>
        <v/>
      </c>
      <c r="I106" s="57" t="s">
        <v>129</v>
      </c>
      <c r="J106" s="3" t="str">
        <f>IFERROR(MID(VLOOKUP($B106,Seqs!$A:$B,2,FALSE),K106,1),"")</f>
        <v/>
      </c>
      <c r="K106" s="57" t="s">
        <v>129</v>
      </c>
      <c r="L106" s="3" t="str">
        <f>IFERROR(MID(VLOOKUP($B106,Seqs!$A:$B,2,FALSE),M106,1),"")</f>
        <v>S</v>
      </c>
      <c r="M106" s="3">
        <v>84</v>
      </c>
      <c r="N106" s="3" t="str">
        <f>IFERROR(MID(VLOOKUP($B106,Seqs!$A:$B,2,FALSE),O106,1),"")</f>
        <v>N</v>
      </c>
      <c r="O106" s="3">
        <v>113</v>
      </c>
      <c r="P106" s="3" t="str">
        <f>IFERROR(MID(VLOOKUP($B106,Seqs!$A:$B,2,FALSE),Q106,1),"")</f>
        <v>D</v>
      </c>
      <c r="Q106" s="3">
        <v>116</v>
      </c>
      <c r="R106" s="3" t="str">
        <f>IFERROR(MID(VLOOKUP($B106,Seqs!$A:$B,2,FALSE),S106,1),"")</f>
        <v>F</v>
      </c>
      <c r="S106" s="3">
        <v>119</v>
      </c>
      <c r="T106" s="3" t="str">
        <f>IFERROR(MID(VLOOKUP($B106,Seqs!$A:$B,2,FALSE),U106,1),"")</f>
        <v>G</v>
      </c>
      <c r="U106" s="3">
        <v>120</v>
      </c>
      <c r="V106" s="3" t="str">
        <f>IFERROR(MID(VLOOKUP($B106,Seqs!$A:$B,2,FALSE),W106,1),"")</f>
        <v>Y</v>
      </c>
      <c r="W106" s="3">
        <v>155</v>
      </c>
      <c r="X106" s="3" t="str">
        <f>IFERROR(MID(VLOOKUP($B106,Seqs!$A:$B,2,FALSE),Y106,1),"")</f>
        <v>P</v>
      </c>
      <c r="Y106" s="3">
        <v>156</v>
      </c>
      <c r="Z106" s="3" t="str">
        <f>IFERROR(MID(VLOOKUP($B106,Seqs!$A:$B,2,FALSE),AA106,1),"")</f>
        <v>L</v>
      </c>
      <c r="AA106" s="3">
        <v>163</v>
      </c>
      <c r="AB106" s="3" t="str">
        <f>IFERROR(MID(VLOOKUP($B106,Seqs!$A:$B,2,FALSE),AC106,1),"")</f>
        <v>K</v>
      </c>
      <c r="AC106" s="3">
        <v>165</v>
      </c>
      <c r="AD106" s="3" t="str">
        <f>IFERROR(MID(VLOOKUP($B106,Seqs!$A:$B,2,FALSE),AE106,1),"")</f>
        <v>S</v>
      </c>
      <c r="AE106" s="3">
        <v>190</v>
      </c>
      <c r="AF106" s="3" t="str">
        <f>IFERROR(MID(VLOOKUP($B106,Seqs!$A:$B,2,FALSE),AG106,1),"")</f>
        <v>C</v>
      </c>
      <c r="AG106" s="3">
        <v>202</v>
      </c>
      <c r="AH106" s="3" t="str">
        <f>IFERROR(MID(VLOOKUP($B106,Seqs!$A:$B,2,FALSE),AI106,1),"")</f>
        <v>D</v>
      </c>
      <c r="AI106" s="3">
        <v>204</v>
      </c>
      <c r="AJ106" s="3" t="str">
        <f>IFERROR(MID(VLOOKUP($B106,Seqs!$A:$B,2,FALSE),AK106,1),"")</f>
        <v>L</v>
      </c>
      <c r="AK106" s="3">
        <v>211</v>
      </c>
      <c r="AL106" s="3" t="str">
        <f>IFERROR(MID(VLOOKUP($B106,Seqs!$A:$B,2,FALSE),AM106,1),"")</f>
        <v>K</v>
      </c>
      <c r="AM106" s="3">
        <v>247</v>
      </c>
      <c r="AN106" s="3" t="str">
        <f>IFERROR(MID(VLOOKUP($B106,Seqs!$A:$B,2,FALSE),AO106,1),"")</f>
        <v>P</v>
      </c>
      <c r="AO106" s="3">
        <v>253</v>
      </c>
      <c r="AP106" s="3" t="str">
        <f>IFERROR(MID(VLOOKUP($B106,Seqs!$A:$B,2,FALSE),AQ106,1),"")</f>
        <v>D</v>
      </c>
      <c r="AQ106" s="3">
        <v>289</v>
      </c>
      <c r="AR106" s="3" t="str">
        <f>IFERROR(MID(VLOOKUP($B106,Seqs!$A:$B,2,FALSE),AS106,1),"")</f>
        <v>M</v>
      </c>
      <c r="AS106" s="3">
        <v>295</v>
      </c>
      <c r="AT106" s="3" t="str">
        <f>IFERROR(MID(VLOOKUP($B106,Seqs!$A:$B,2,FALSE),AU106,1),"")</f>
        <v>A</v>
      </c>
      <c r="AU106" s="3">
        <v>327</v>
      </c>
      <c r="AV106" s="3" t="str">
        <f>IFERROR(MID(VLOOKUP($B106,Seqs!$A:$B,2,FALSE),AW106,1),"")</f>
        <v>G</v>
      </c>
      <c r="AW106" s="3">
        <v>328</v>
      </c>
      <c r="AX106" s="3" t="str">
        <f>IFERROR(MID(VLOOKUP($B106,Seqs!$A:$B,2,FALSE),AY106,1),"")</f>
        <v>R</v>
      </c>
      <c r="AY106" s="3">
        <v>340</v>
      </c>
      <c r="AZ106" s="83" t="str">
        <f>VLOOKUP(B106,Classification!A:D,2,FALSE)</f>
        <v>A</v>
      </c>
      <c r="BB106" s="82">
        <f>S106-Q106+1</f>
        <v>4</v>
      </c>
      <c r="BC106" s="57">
        <f t="shared" si="120"/>
        <v>259</v>
      </c>
      <c r="BD106" s="63" t="b">
        <f t="shared" si="121"/>
        <v>1</v>
      </c>
      <c r="BE106" s="68" t="s">
        <v>1514</v>
      </c>
      <c r="BF106" s="75" t="s">
        <v>1514</v>
      </c>
      <c r="BG106" s="75" t="s">
        <v>1514</v>
      </c>
      <c r="BH106" s="75" t="s">
        <v>1514</v>
      </c>
      <c r="BI106" s="75" t="s">
        <v>1514</v>
      </c>
      <c r="BJ106" s="75" t="s">
        <v>1514</v>
      </c>
      <c r="BK106" s="75" t="s">
        <v>1514</v>
      </c>
      <c r="BL106" s="75" t="s">
        <v>1514</v>
      </c>
      <c r="BM106" s="75" t="s">
        <v>1514</v>
      </c>
      <c r="BN106" s="75" t="s">
        <v>1514</v>
      </c>
      <c r="BO106" s="75" t="s">
        <v>1514</v>
      </c>
      <c r="BP106" s="75" t="s">
        <v>1514</v>
      </c>
      <c r="BQ106" s="68">
        <f t="shared" si="122"/>
        <v>49</v>
      </c>
      <c r="BR106" s="69" t="str">
        <f t="shared" si="123"/>
        <v>-</v>
      </c>
      <c r="BS106" s="70">
        <f t="shared" si="124"/>
        <v>84</v>
      </c>
      <c r="BT106" s="69">
        <f t="shared" si="125"/>
        <v>116</v>
      </c>
      <c r="BU106" s="70">
        <f t="shared" si="126"/>
        <v>120</v>
      </c>
      <c r="BV106" s="69">
        <f t="shared" si="127"/>
        <v>156</v>
      </c>
      <c r="BW106" s="70">
        <f t="shared" si="128"/>
        <v>165</v>
      </c>
      <c r="BX106" s="69">
        <f t="shared" si="129"/>
        <v>202</v>
      </c>
      <c r="BY106" s="70">
        <f t="shared" si="130"/>
        <v>211</v>
      </c>
      <c r="BZ106" s="69">
        <f t="shared" si="131"/>
        <v>253</v>
      </c>
      <c r="CA106" s="70">
        <f t="shared" si="132"/>
        <v>295</v>
      </c>
      <c r="CB106" s="69">
        <f t="shared" si="133"/>
        <v>328</v>
      </c>
      <c r="CC106" s="68">
        <f t="shared" si="134"/>
        <v>79</v>
      </c>
      <c r="CD106" s="69" t="str">
        <f t="shared" si="135"/>
        <v>-</v>
      </c>
      <c r="CE106" s="70">
        <f t="shared" si="136"/>
        <v>113</v>
      </c>
      <c r="CF106" s="70">
        <f t="shared" si="137"/>
        <v>119</v>
      </c>
      <c r="CG106" s="70">
        <f t="shared" si="138"/>
        <v>155</v>
      </c>
      <c r="CH106" s="70">
        <f t="shared" si="139"/>
        <v>163</v>
      </c>
      <c r="CI106" s="70">
        <f t="shared" si="140"/>
        <v>190</v>
      </c>
      <c r="CJ106" s="70">
        <f t="shared" si="141"/>
        <v>204</v>
      </c>
      <c r="CK106" s="70">
        <f t="shared" si="142"/>
        <v>247</v>
      </c>
      <c r="CL106" s="70">
        <f t="shared" si="143"/>
        <v>289</v>
      </c>
      <c r="CM106" s="70">
        <f t="shared" si="144"/>
        <v>327</v>
      </c>
      <c r="CN106" s="70">
        <f t="shared" si="145"/>
        <v>340</v>
      </c>
      <c r="CO106" s="57" t="e">
        <f t="shared" si="118"/>
        <v>#VALUE!</v>
      </c>
    </row>
    <row r="107" spans="1:93" x14ac:dyDescent="0.2">
      <c r="A107" s="3" t="str">
        <f t="shared" si="119"/>
        <v>p2ry1_human_4XNV</v>
      </c>
      <c r="B107" s="3" t="s">
        <v>539</v>
      </c>
      <c r="C107" s="3" t="s">
        <v>1371</v>
      </c>
      <c r="D107" s="3" t="str">
        <f>IFERROR(MID(VLOOKUP($B107,Seqs!$A:$B,2,FALSE),E107,1),"")</f>
        <v>F</v>
      </c>
      <c r="E107" s="3">
        <v>49</v>
      </c>
      <c r="F107" s="3" t="str">
        <f>IFERROR(MID(VLOOKUP($B107,Seqs!$A:$B,2,FALSE),G107,1),"")</f>
        <v>H</v>
      </c>
      <c r="G107" s="3">
        <v>79</v>
      </c>
      <c r="H107" s="3" t="str">
        <f>IFERROR(MID(VLOOKUP($B107,Seqs!$A:$B,2,FALSE),I107,1),"")</f>
        <v/>
      </c>
      <c r="I107" s="57" t="s">
        <v>129</v>
      </c>
      <c r="J107" s="3" t="str">
        <f>IFERROR(MID(VLOOKUP($B107,Seqs!$A:$B,2,FALSE),K107,1),"")</f>
        <v/>
      </c>
      <c r="K107" s="57" t="s">
        <v>129</v>
      </c>
      <c r="L107" s="3" t="str">
        <f>IFERROR(MID(VLOOKUP($B107,Seqs!$A:$B,2,FALSE),M107,1),"")</f>
        <v>S</v>
      </c>
      <c r="M107" s="3">
        <v>84</v>
      </c>
      <c r="N107" s="3" t="str">
        <f>IFERROR(MID(VLOOKUP($B107,Seqs!$A:$B,2,FALSE),O107,1),"")</f>
        <v>N</v>
      </c>
      <c r="O107" s="3">
        <v>113</v>
      </c>
      <c r="P107" s="3" t="str">
        <f>IFERROR(MID(VLOOKUP($B107,Seqs!$A:$B,2,FALSE),Q107,1),"")</f>
        <v>D</v>
      </c>
      <c r="Q107" s="3">
        <v>116</v>
      </c>
      <c r="R107" s="3" t="str">
        <f>IFERROR(MID(VLOOKUP($B107,Seqs!$A:$B,2,FALSE),S107,1),"")</f>
        <v>F</v>
      </c>
      <c r="S107" s="3">
        <v>119</v>
      </c>
      <c r="T107" s="3" t="str">
        <f>IFERROR(MID(VLOOKUP($B107,Seqs!$A:$B,2,FALSE),U107,1),"")</f>
        <v>G</v>
      </c>
      <c r="U107" s="3">
        <v>120</v>
      </c>
      <c r="V107" s="3" t="str">
        <f>IFERROR(MID(VLOOKUP($B107,Seqs!$A:$B,2,FALSE),W107,1),"")</f>
        <v>Y</v>
      </c>
      <c r="W107" s="3">
        <v>155</v>
      </c>
      <c r="X107" s="3" t="str">
        <f>IFERROR(MID(VLOOKUP($B107,Seqs!$A:$B,2,FALSE),Y107,1),"")</f>
        <v/>
      </c>
      <c r="Y107" s="3" t="s">
        <v>129</v>
      </c>
      <c r="Z107" s="3" t="str">
        <f>IFERROR(MID(VLOOKUP($B107,Seqs!$A:$B,2,FALSE),AA107,1),"")</f>
        <v/>
      </c>
      <c r="AA107" s="3" t="s">
        <v>129</v>
      </c>
      <c r="AB107" s="3" t="str">
        <f>IFERROR(MID(VLOOKUP($B107,Seqs!$A:$B,2,FALSE),AC107,1),"")</f>
        <v>G</v>
      </c>
      <c r="AC107" s="3">
        <v>161</v>
      </c>
      <c r="AD107" s="3" t="str">
        <f>IFERROR(MID(VLOOKUP($B107,Seqs!$A:$B,2,FALSE),AE107,1),"")</f>
        <v>S</v>
      </c>
      <c r="AE107" s="3">
        <v>190</v>
      </c>
      <c r="AF107" s="3" t="str">
        <f>IFERROR(MID(VLOOKUP($B107,Seqs!$A:$B,2,FALSE),AG107,1),"")</f>
        <v>C</v>
      </c>
      <c r="AG107" s="3">
        <v>202</v>
      </c>
      <c r="AH107" s="3" t="str">
        <f>IFERROR(MID(VLOOKUP($B107,Seqs!$A:$B,2,FALSE),AI107,1),"")</f>
        <v>D</v>
      </c>
      <c r="AI107" s="3">
        <v>204</v>
      </c>
      <c r="AJ107" s="3" t="str">
        <f>IFERROR(MID(VLOOKUP($B107,Seqs!$A:$B,2,FALSE),AK107,1),"")</f>
        <v>L</v>
      </c>
      <c r="AK107" s="3">
        <v>211</v>
      </c>
      <c r="AL107" s="3" t="str">
        <f>IFERROR(MID(VLOOKUP($B107,Seqs!$A:$B,2,FALSE),AM107,1),"")</f>
        <v>K</v>
      </c>
      <c r="AM107" s="3">
        <v>247</v>
      </c>
      <c r="AN107" s="3" t="str">
        <f>IFERROR(MID(VLOOKUP($B107,Seqs!$A:$B,2,FALSE),AO107,1),"")</f>
        <v>P</v>
      </c>
      <c r="AO107" s="3">
        <v>253</v>
      </c>
      <c r="AP107" s="3" t="str">
        <f>IFERROR(MID(VLOOKUP($B107,Seqs!$A:$B,2,FALSE),AQ107,1),"")</f>
        <v>D</v>
      </c>
      <c r="AQ107" s="3">
        <v>289</v>
      </c>
      <c r="AR107" s="3" t="str">
        <f>IFERROR(MID(VLOOKUP($B107,Seqs!$A:$B,2,FALSE),AS107,1),"")</f>
        <v>M</v>
      </c>
      <c r="AS107" s="3">
        <v>295</v>
      </c>
      <c r="AT107" s="3" t="str">
        <f>IFERROR(MID(VLOOKUP($B107,Seqs!$A:$B,2,FALSE),AU107,1),"")</f>
        <v>L</v>
      </c>
      <c r="AU107" s="3">
        <v>326</v>
      </c>
      <c r="AV107" s="3" t="str">
        <f>IFERROR(MID(VLOOKUP($B107,Seqs!$A:$B,2,FALSE),AW107,1),"")</f>
        <v/>
      </c>
      <c r="AW107" s="3" t="s">
        <v>129</v>
      </c>
      <c r="AX107" s="3" t="str">
        <f>IFERROR(MID(VLOOKUP($B107,Seqs!$A:$B,2,FALSE),AY107,1),"")</f>
        <v/>
      </c>
      <c r="AY107" s="3" t="s">
        <v>129</v>
      </c>
      <c r="AZ107" s="83" t="str">
        <f>VLOOKUP(B107,Classification!A:D,2,FALSE)</f>
        <v>A</v>
      </c>
      <c r="BA107" s="3" t="s">
        <v>1388</v>
      </c>
      <c r="BC107" s="57">
        <f t="shared" si="120"/>
        <v>243</v>
      </c>
      <c r="BD107" s="63" t="b">
        <f t="shared" si="121"/>
        <v>1</v>
      </c>
      <c r="BE107" s="68" t="s">
        <v>1514</v>
      </c>
      <c r="BF107" s="75" t="s">
        <v>1514</v>
      </c>
      <c r="BG107" s="75" t="s">
        <v>1514</v>
      </c>
      <c r="BH107" s="75" t="s">
        <v>1514</v>
      </c>
      <c r="BI107" s="75" t="s">
        <v>1514</v>
      </c>
      <c r="BJ107" s="75" t="s">
        <v>1514</v>
      </c>
      <c r="BK107" s="75" t="s">
        <v>1514</v>
      </c>
      <c r="BL107" s="75" t="s">
        <v>1514</v>
      </c>
      <c r="BM107" s="75" t="s">
        <v>1514</v>
      </c>
      <c r="BN107" s="75" t="s">
        <v>1514</v>
      </c>
      <c r="BO107" s="75" t="s">
        <v>1514</v>
      </c>
      <c r="BP107" s="75" t="s">
        <v>1514</v>
      </c>
      <c r="BQ107" s="68">
        <f t="shared" si="122"/>
        <v>49</v>
      </c>
      <c r="BR107" s="69" t="str">
        <f t="shared" si="123"/>
        <v>-</v>
      </c>
      <c r="BS107" s="70">
        <f t="shared" si="124"/>
        <v>84</v>
      </c>
      <c r="BT107" s="69">
        <f t="shared" si="125"/>
        <v>116</v>
      </c>
      <c r="BU107" s="70">
        <f t="shared" si="126"/>
        <v>120</v>
      </c>
      <c r="BV107" s="69" t="str">
        <f t="shared" si="127"/>
        <v>-</v>
      </c>
      <c r="BW107" s="70">
        <f t="shared" si="128"/>
        <v>161</v>
      </c>
      <c r="BX107" s="69">
        <f t="shared" si="129"/>
        <v>202</v>
      </c>
      <c r="BY107" s="70">
        <f t="shared" si="130"/>
        <v>211</v>
      </c>
      <c r="BZ107" s="69">
        <f t="shared" si="131"/>
        <v>253</v>
      </c>
      <c r="CA107" s="70">
        <f t="shared" si="132"/>
        <v>295</v>
      </c>
      <c r="CB107" s="69" t="str">
        <f t="shared" si="133"/>
        <v>-</v>
      </c>
      <c r="CC107" s="68">
        <f t="shared" si="134"/>
        <v>79</v>
      </c>
      <c r="CD107" s="69" t="str">
        <f t="shared" si="135"/>
        <v>-</v>
      </c>
      <c r="CE107" s="70">
        <f t="shared" si="136"/>
        <v>113</v>
      </c>
      <c r="CF107" s="70">
        <f t="shared" si="137"/>
        <v>119</v>
      </c>
      <c r="CG107" s="70">
        <f t="shared" si="138"/>
        <v>155</v>
      </c>
      <c r="CH107" s="70" t="str">
        <f t="shared" si="139"/>
        <v>-</v>
      </c>
      <c r="CI107" s="70">
        <f t="shared" si="140"/>
        <v>190</v>
      </c>
      <c r="CJ107" s="70">
        <f t="shared" si="141"/>
        <v>204</v>
      </c>
      <c r="CK107" s="70">
        <f t="shared" si="142"/>
        <v>247</v>
      </c>
      <c r="CL107" s="70">
        <f t="shared" si="143"/>
        <v>289</v>
      </c>
      <c r="CM107" s="70">
        <f t="shared" si="144"/>
        <v>326</v>
      </c>
      <c r="CN107" s="70" t="str">
        <f t="shared" si="145"/>
        <v>-</v>
      </c>
      <c r="CO107" s="57" t="e">
        <f t="shared" si="118"/>
        <v>#VALUE!</v>
      </c>
    </row>
    <row r="108" spans="1:93" x14ac:dyDescent="0.2">
      <c r="A108" s="3" t="str">
        <f t="shared" si="119"/>
        <v>p2ry1_human_4XNW</v>
      </c>
      <c r="B108" s="3" t="s">
        <v>539</v>
      </c>
      <c r="C108" s="3" t="s">
        <v>1262</v>
      </c>
      <c r="D108" s="3" t="str">
        <f>IFERROR(MID(VLOOKUP($B108,Seqs!$A:$B,2,FALSE),E108,1),"")</f>
        <v>F</v>
      </c>
      <c r="E108" s="3">
        <v>49</v>
      </c>
      <c r="F108" s="3" t="str">
        <f>IFERROR(MID(VLOOKUP($B108,Seqs!$A:$B,2,FALSE),G108,1),"")</f>
        <v>H</v>
      </c>
      <c r="G108" s="3">
        <v>79</v>
      </c>
      <c r="H108" s="3" t="str">
        <f>IFERROR(MID(VLOOKUP($B108,Seqs!$A:$B,2,FALSE),I108,1),"")</f>
        <v/>
      </c>
      <c r="I108" s="57" t="s">
        <v>129</v>
      </c>
      <c r="J108" s="3" t="str">
        <f>IFERROR(MID(VLOOKUP($B108,Seqs!$A:$B,2,FALSE),K108,1),"")</f>
        <v/>
      </c>
      <c r="K108" s="57" t="s">
        <v>129</v>
      </c>
      <c r="L108" s="3" t="str">
        <f>IFERROR(MID(VLOOKUP($B108,Seqs!$A:$B,2,FALSE),M108,1),"")</f>
        <v>S</v>
      </c>
      <c r="M108" s="3">
        <v>84</v>
      </c>
      <c r="N108" s="3" t="str">
        <f>IFERROR(MID(VLOOKUP($B108,Seqs!$A:$B,2,FALSE),O108,1),"")</f>
        <v>N</v>
      </c>
      <c r="O108" s="3">
        <v>113</v>
      </c>
      <c r="P108" s="3" t="str">
        <f>IFERROR(MID(VLOOKUP($B108,Seqs!$A:$B,2,FALSE),Q108,1),"")</f>
        <v>D</v>
      </c>
      <c r="Q108" s="3">
        <v>116</v>
      </c>
      <c r="R108" s="3" t="str">
        <f>IFERROR(MID(VLOOKUP($B108,Seqs!$A:$B,2,FALSE),S108,1),"")</f>
        <v>F</v>
      </c>
      <c r="S108" s="3">
        <v>119</v>
      </c>
      <c r="T108" s="3" t="str">
        <f>IFERROR(MID(VLOOKUP($B108,Seqs!$A:$B,2,FALSE),U108,1),"")</f>
        <v>G</v>
      </c>
      <c r="U108" s="3">
        <v>120</v>
      </c>
      <c r="V108" s="3" t="str">
        <f>IFERROR(MID(VLOOKUP($B108,Seqs!$A:$B,2,FALSE),W108,1),"")</f>
        <v>Y</v>
      </c>
      <c r="W108" s="3">
        <v>155</v>
      </c>
      <c r="X108" s="3" t="str">
        <f>IFERROR(MID(VLOOKUP($B108,Seqs!$A:$B,2,FALSE),Y108,1),"")</f>
        <v>P</v>
      </c>
      <c r="Y108" s="3">
        <v>156</v>
      </c>
      <c r="Z108" s="3" t="str">
        <f>IFERROR(MID(VLOOKUP($B108,Seqs!$A:$B,2,FALSE),AA108,1),"")</f>
        <v>L</v>
      </c>
      <c r="AA108" s="3">
        <v>163</v>
      </c>
      <c r="AB108" s="3" t="str">
        <f>IFERROR(MID(VLOOKUP($B108,Seqs!$A:$B,2,FALSE),AC108,1),"")</f>
        <v>K</v>
      </c>
      <c r="AC108" s="3">
        <v>165</v>
      </c>
      <c r="AD108" s="3" t="str">
        <f>IFERROR(MID(VLOOKUP($B108,Seqs!$A:$B,2,FALSE),AE108,1),"")</f>
        <v>S</v>
      </c>
      <c r="AE108" s="3">
        <v>190</v>
      </c>
      <c r="AF108" s="3" t="str">
        <f>IFERROR(MID(VLOOKUP($B108,Seqs!$A:$B,2,FALSE),AG108,1),"")</f>
        <v>C</v>
      </c>
      <c r="AG108" s="3">
        <v>202</v>
      </c>
      <c r="AH108" s="3" t="str">
        <f>IFERROR(MID(VLOOKUP($B108,Seqs!$A:$B,2,FALSE),AI108,1),"")</f>
        <v>D</v>
      </c>
      <c r="AI108" s="3">
        <v>204</v>
      </c>
      <c r="AJ108" s="3" t="str">
        <f>IFERROR(MID(VLOOKUP($B108,Seqs!$A:$B,2,FALSE),AK108,1),"")</f>
        <v>L</v>
      </c>
      <c r="AK108" s="3">
        <v>211</v>
      </c>
      <c r="AL108" s="3" t="str">
        <f>IFERROR(MID(VLOOKUP($B108,Seqs!$A:$B,2,FALSE),AM108,1),"")</f>
        <v>K</v>
      </c>
      <c r="AM108" s="3">
        <v>247</v>
      </c>
      <c r="AN108" s="3" t="str">
        <f>IFERROR(MID(VLOOKUP($B108,Seqs!$A:$B,2,FALSE),AO108,1),"")</f>
        <v>P</v>
      </c>
      <c r="AO108" s="3">
        <v>253</v>
      </c>
      <c r="AP108" s="3" t="str">
        <f>IFERROR(MID(VLOOKUP($B108,Seqs!$A:$B,2,FALSE),AQ108,1),"")</f>
        <v>D</v>
      </c>
      <c r="AQ108" s="3">
        <v>289</v>
      </c>
      <c r="AR108" s="3" t="str">
        <f>IFERROR(MID(VLOOKUP($B108,Seqs!$A:$B,2,FALSE),AS108,1),"")</f>
        <v>M</v>
      </c>
      <c r="AS108" s="3">
        <v>295</v>
      </c>
      <c r="AT108" s="3" t="str">
        <f>IFERROR(MID(VLOOKUP($B108,Seqs!$A:$B,2,FALSE),AU108,1),"")</f>
        <v>L</v>
      </c>
      <c r="AU108" s="3">
        <v>326</v>
      </c>
      <c r="AV108" s="3" t="str">
        <f>IFERROR(MID(VLOOKUP($B108,Seqs!$A:$B,2,FALSE),AW108,1),"")</f>
        <v/>
      </c>
      <c r="AW108" s="3" t="s">
        <v>129</v>
      </c>
      <c r="AX108" s="3" t="str">
        <f>IFERROR(MID(VLOOKUP($B108,Seqs!$A:$B,2,FALSE),AY108,1),"")</f>
        <v/>
      </c>
      <c r="AY108" s="3" t="s">
        <v>129</v>
      </c>
      <c r="AZ108" s="83" t="str">
        <f>VLOOKUP(B108,Classification!A:D,2,FALSE)</f>
        <v>A</v>
      </c>
      <c r="BB108" s="35" t="s">
        <v>1330</v>
      </c>
      <c r="BC108" s="57">
        <f t="shared" si="120"/>
        <v>246</v>
      </c>
      <c r="BD108" s="63" t="b">
        <f t="shared" si="121"/>
        <v>1</v>
      </c>
      <c r="BE108" s="68" t="s">
        <v>1514</v>
      </c>
      <c r="BF108" s="75" t="s">
        <v>1514</v>
      </c>
      <c r="BG108" s="75" t="s">
        <v>1514</v>
      </c>
      <c r="BH108" s="75" t="s">
        <v>1514</v>
      </c>
      <c r="BI108" s="75" t="s">
        <v>1514</v>
      </c>
      <c r="BJ108" s="75" t="s">
        <v>1514</v>
      </c>
      <c r="BK108" s="75" t="s">
        <v>1514</v>
      </c>
      <c r="BL108" s="75" t="s">
        <v>1514</v>
      </c>
      <c r="BM108" s="75" t="s">
        <v>1514</v>
      </c>
      <c r="BN108" s="75" t="s">
        <v>1514</v>
      </c>
      <c r="BO108" s="75" t="s">
        <v>1514</v>
      </c>
      <c r="BP108" s="75" t="s">
        <v>1514</v>
      </c>
      <c r="BQ108" s="68">
        <f t="shared" si="122"/>
        <v>49</v>
      </c>
      <c r="BR108" s="69" t="str">
        <f t="shared" si="123"/>
        <v>-</v>
      </c>
      <c r="BS108" s="70">
        <f t="shared" si="124"/>
        <v>84</v>
      </c>
      <c r="BT108" s="69">
        <f t="shared" si="125"/>
        <v>116</v>
      </c>
      <c r="BU108" s="70">
        <f t="shared" si="126"/>
        <v>120</v>
      </c>
      <c r="BV108" s="69">
        <f t="shared" si="127"/>
        <v>156</v>
      </c>
      <c r="BW108" s="70">
        <f t="shared" si="128"/>
        <v>165</v>
      </c>
      <c r="BX108" s="69">
        <f t="shared" si="129"/>
        <v>202</v>
      </c>
      <c r="BY108" s="70">
        <f t="shared" si="130"/>
        <v>211</v>
      </c>
      <c r="BZ108" s="69">
        <f t="shared" si="131"/>
        <v>253</v>
      </c>
      <c r="CA108" s="70">
        <f t="shared" si="132"/>
        <v>295</v>
      </c>
      <c r="CB108" s="69" t="str">
        <f t="shared" si="133"/>
        <v>-</v>
      </c>
      <c r="CC108" s="68">
        <f t="shared" si="134"/>
        <v>79</v>
      </c>
      <c r="CD108" s="69" t="str">
        <f t="shared" si="135"/>
        <v>-</v>
      </c>
      <c r="CE108" s="70">
        <f t="shared" si="136"/>
        <v>113</v>
      </c>
      <c r="CF108" s="70">
        <f t="shared" si="137"/>
        <v>119</v>
      </c>
      <c r="CG108" s="70">
        <f t="shared" si="138"/>
        <v>155</v>
      </c>
      <c r="CH108" s="70">
        <f t="shared" si="139"/>
        <v>163</v>
      </c>
      <c r="CI108" s="70">
        <f t="shared" si="140"/>
        <v>190</v>
      </c>
      <c r="CJ108" s="70">
        <f t="shared" si="141"/>
        <v>204</v>
      </c>
      <c r="CK108" s="70">
        <f t="shared" si="142"/>
        <v>247</v>
      </c>
      <c r="CL108" s="70">
        <f t="shared" si="143"/>
        <v>289</v>
      </c>
      <c r="CM108" s="70">
        <f t="shared" si="144"/>
        <v>326</v>
      </c>
      <c r="CN108" s="70" t="str">
        <f t="shared" si="145"/>
        <v>-</v>
      </c>
      <c r="CO108" s="57" t="e">
        <f t="shared" si="118"/>
        <v>#VALUE!</v>
      </c>
    </row>
    <row r="109" spans="1:93" x14ac:dyDescent="0.2">
      <c r="A109" s="3" t="str">
        <f t="shared" si="119"/>
        <v>p2y12_human__wt</v>
      </c>
      <c r="B109" s="3" t="s">
        <v>546</v>
      </c>
      <c r="C109" s="3" t="s">
        <v>294</v>
      </c>
      <c r="D109" s="3" t="str">
        <f>IFERROR(MID(VLOOKUP($B109,Seqs!$A:$B,2,FALSE),E109,1),"")</f>
        <v>Y</v>
      </c>
      <c r="E109" s="3">
        <v>21</v>
      </c>
      <c r="F109" s="3" t="str">
        <f>IFERROR(MID(VLOOKUP($B109,Seqs!$A:$B,2,FALSE),G109,1),"")</f>
        <v>I</v>
      </c>
      <c r="G109" s="3">
        <v>53</v>
      </c>
      <c r="H109" s="3" t="str">
        <f>IFERROR(MID(VLOOKUP($B109,Seqs!$A:$B,2,FALSE),I109,1),"")</f>
        <v/>
      </c>
      <c r="I109" s="57" t="s">
        <v>129</v>
      </c>
      <c r="J109" s="3" t="str">
        <f>IFERROR(MID(VLOOKUP($B109,Seqs!$A:$B,2,FALSE),K109,1),"")</f>
        <v/>
      </c>
      <c r="K109" s="57" t="s">
        <v>129</v>
      </c>
      <c r="L109" s="3" t="str">
        <f>IFERROR(MID(VLOOKUP($B109,Seqs!$A:$B,2,FALSE),M109,1),"")</f>
        <v>S</v>
      </c>
      <c r="M109" s="3">
        <v>57</v>
      </c>
      <c r="N109" s="3" t="str">
        <f>IFERROR(MID(VLOOKUP($B109,Seqs!$A:$B,2,FALSE),O109,1),"")</f>
        <v>K</v>
      </c>
      <c r="O109" s="3">
        <v>86</v>
      </c>
      <c r="P109" s="3" t="str">
        <f>IFERROR(MID(VLOOKUP($B109,Seqs!$A:$B,2,FALSE),Q109,1),"")</f>
        <v/>
      </c>
      <c r="Q109" s="3" t="s">
        <v>129</v>
      </c>
      <c r="R109" s="3" t="str">
        <f>IFERROR(MID(VLOOKUP($B109,Seqs!$A:$B,2,FALSE),S109,1),"")</f>
        <v/>
      </c>
      <c r="S109" s="3" t="s">
        <v>129</v>
      </c>
      <c r="T109" s="3" t="str">
        <f>IFERROR(MID(VLOOKUP($B109,Seqs!$A:$B,2,FALSE),U109,1),"")</f>
        <v>G</v>
      </c>
      <c r="U109" s="3">
        <v>90</v>
      </c>
      <c r="V109" s="3" t="str">
        <f>IFERROR(MID(VLOOKUP($B109,Seqs!$A:$B,2,FALSE),W109,1),"")</f>
        <v>R</v>
      </c>
      <c r="W109" s="3">
        <v>128</v>
      </c>
      <c r="X109" s="3" t="str">
        <f>IFERROR(MID(VLOOKUP($B109,Seqs!$A:$B,2,FALSE),Y109,1),"")</f>
        <v>P</v>
      </c>
      <c r="Y109" s="3">
        <v>129</v>
      </c>
      <c r="Z109" s="3" t="str">
        <f>IFERROR(MID(VLOOKUP($B109,Seqs!$A:$B,2,FALSE),AA109,1),"")</f>
        <v>K</v>
      </c>
      <c r="AA109" s="81">
        <v>136</v>
      </c>
      <c r="AB109" s="3" t="str">
        <f>IFERROR(MID(VLOOKUP($B109,Seqs!$A:$B,2,FALSE),AC109,1),"")</f>
        <v>L</v>
      </c>
      <c r="AC109" s="3">
        <v>138</v>
      </c>
      <c r="AD109" s="3" t="str">
        <f>IFERROR(MID(VLOOKUP($B109,Seqs!$A:$B,2,FALSE),AE109,1),"")</f>
        <v>T</v>
      </c>
      <c r="AE109" s="3">
        <v>163</v>
      </c>
      <c r="AF109" s="3" t="str">
        <f>IFERROR(MID(VLOOKUP($B109,Seqs!$A:$B,2,FALSE),AG109,1),"")</f>
        <v>C</v>
      </c>
      <c r="AG109" s="3">
        <v>175</v>
      </c>
      <c r="AH109" s="3" t="str">
        <f>IFERROR(MID(VLOOKUP($B109,Seqs!$A:$B,2,FALSE),AI109,1),"")</f>
        <v>F</v>
      </c>
      <c r="AI109" s="3">
        <v>177</v>
      </c>
      <c r="AJ109" s="3" t="str">
        <f>IFERROR(MID(VLOOKUP($B109,Seqs!$A:$B,2,FALSE),AK109,1),"")</f>
        <v>E</v>
      </c>
      <c r="AK109" s="3">
        <v>181</v>
      </c>
      <c r="AL109" s="3" t="str">
        <f>IFERROR(MID(VLOOKUP($B109,Seqs!$A:$B,2,FALSE),AM109,1),"")</f>
        <v>T</v>
      </c>
      <c r="AM109" s="3">
        <v>223</v>
      </c>
      <c r="AN109" s="3" t="str">
        <f>IFERROR(MID(VLOOKUP($B109,Seqs!$A:$B,2,FALSE),AO109,1),"")</f>
        <v>P</v>
      </c>
      <c r="AO109" s="3">
        <v>230</v>
      </c>
      <c r="AP109" s="3" t="str">
        <f>IFERROR(MID(VLOOKUP($B109,Seqs!$A:$B,2,FALSE),AQ109,1),"")</f>
        <v>R</v>
      </c>
      <c r="AQ109" s="3">
        <v>265</v>
      </c>
      <c r="AR109" s="3" t="str">
        <f>IFERROR(MID(VLOOKUP($B109,Seqs!$A:$B,2,FALSE),AS109,1),"")</f>
        <v>D</v>
      </c>
      <c r="AS109" s="3">
        <v>269</v>
      </c>
      <c r="AT109" s="3" t="str">
        <f>IFERROR(MID(VLOOKUP($B109,Seqs!$A:$B,2,FALSE),AU109,1),"")</f>
        <v>L</v>
      </c>
      <c r="AU109" s="3">
        <v>301</v>
      </c>
      <c r="AV109" s="3" t="str">
        <f>IFERROR(MID(VLOOKUP($B109,Seqs!$A:$B,2,FALSE),AW109,1),"")</f>
        <v>C</v>
      </c>
      <c r="AW109" s="3">
        <v>302</v>
      </c>
      <c r="AX109" s="3" t="str">
        <f>IFERROR(MID(VLOOKUP($B109,Seqs!$A:$B,2,FALSE),AY109,1),"")</f>
        <v>M</v>
      </c>
      <c r="AY109" s="3">
        <v>312</v>
      </c>
      <c r="AZ109" s="83" t="str">
        <f>VLOOKUP(B109,Classification!A:D,2,FALSE)</f>
        <v>A</v>
      </c>
      <c r="BB109" s="82" t="e">
        <f>S109-Q109+1</f>
        <v>#VALUE!</v>
      </c>
      <c r="BC109" s="57">
        <f t="shared" si="120"/>
        <v>264</v>
      </c>
      <c r="BD109" s="63" t="b">
        <f t="shared" si="121"/>
        <v>1</v>
      </c>
      <c r="BE109" s="68" t="s">
        <v>1514</v>
      </c>
      <c r="BF109" s="75" t="s">
        <v>1514</v>
      </c>
      <c r="BG109" s="75" t="s">
        <v>1514</v>
      </c>
      <c r="BH109" s="75" t="s">
        <v>1514</v>
      </c>
      <c r="BI109" s="75" t="s">
        <v>1514</v>
      </c>
      <c r="BJ109" s="75" t="s">
        <v>1514</v>
      </c>
      <c r="BK109" s="75" t="s">
        <v>1514</v>
      </c>
      <c r="BL109" s="75" t="s">
        <v>1514</v>
      </c>
      <c r="BM109" s="75" t="s">
        <v>1514</v>
      </c>
      <c r="BN109" s="75" t="s">
        <v>1514</v>
      </c>
      <c r="BO109" s="75" t="s">
        <v>1514</v>
      </c>
      <c r="BP109" s="75" t="s">
        <v>1514</v>
      </c>
      <c r="BQ109" s="68">
        <f t="shared" si="122"/>
        <v>21</v>
      </c>
      <c r="BR109" s="69" t="str">
        <f t="shared" si="123"/>
        <v>-</v>
      </c>
      <c r="BS109" s="70">
        <f t="shared" si="124"/>
        <v>57</v>
      </c>
      <c r="BT109" s="69" t="str">
        <f t="shared" si="125"/>
        <v>-</v>
      </c>
      <c r="BU109" s="70">
        <f t="shared" si="126"/>
        <v>90</v>
      </c>
      <c r="BV109" s="69">
        <f t="shared" si="127"/>
        <v>129</v>
      </c>
      <c r="BW109" s="70">
        <f t="shared" si="128"/>
        <v>138</v>
      </c>
      <c r="BX109" s="69">
        <f t="shared" si="129"/>
        <v>175</v>
      </c>
      <c r="BY109" s="70">
        <f t="shared" si="130"/>
        <v>181</v>
      </c>
      <c r="BZ109" s="69">
        <f t="shared" si="131"/>
        <v>230</v>
      </c>
      <c r="CA109" s="70">
        <f t="shared" si="132"/>
        <v>269</v>
      </c>
      <c r="CB109" s="69">
        <f t="shared" si="133"/>
        <v>302</v>
      </c>
      <c r="CC109" s="68">
        <f t="shared" si="134"/>
        <v>53</v>
      </c>
      <c r="CD109" s="69" t="str">
        <f t="shared" si="135"/>
        <v>-</v>
      </c>
      <c r="CE109" s="70">
        <f t="shared" si="136"/>
        <v>86</v>
      </c>
      <c r="CF109" s="70" t="str">
        <f t="shared" si="137"/>
        <v>-</v>
      </c>
      <c r="CG109" s="70">
        <f t="shared" si="138"/>
        <v>128</v>
      </c>
      <c r="CH109" s="70">
        <f t="shared" si="139"/>
        <v>136</v>
      </c>
      <c r="CI109" s="70">
        <f t="shared" si="140"/>
        <v>163</v>
      </c>
      <c r="CJ109" s="70">
        <f t="shared" si="141"/>
        <v>177</v>
      </c>
      <c r="CK109" s="70">
        <f t="shared" si="142"/>
        <v>223</v>
      </c>
      <c r="CL109" s="70">
        <f t="shared" si="143"/>
        <v>265</v>
      </c>
      <c r="CM109" s="70">
        <f t="shared" si="144"/>
        <v>301</v>
      </c>
      <c r="CN109" s="70">
        <f t="shared" si="145"/>
        <v>312</v>
      </c>
      <c r="CO109" s="57" t="e">
        <f t="shared" si="118"/>
        <v>#VALUE!</v>
      </c>
    </row>
    <row r="110" spans="1:93" x14ac:dyDescent="0.2">
      <c r="A110" s="3" t="str">
        <f t="shared" si="119"/>
        <v>p2y12_human_4NTJ</v>
      </c>
      <c r="B110" s="3" t="s">
        <v>546</v>
      </c>
      <c r="C110" s="3" t="s">
        <v>1255</v>
      </c>
      <c r="D110" s="3" t="str">
        <f>IFERROR(MID(VLOOKUP($B110,Seqs!$A:$B,2,FALSE),E110,1),"")</f>
        <v>Y</v>
      </c>
      <c r="E110" s="3">
        <v>21</v>
      </c>
      <c r="F110" s="3" t="str">
        <f>IFERROR(MID(VLOOKUP($B110,Seqs!$A:$B,2,FALSE),G110,1),"")</f>
        <v>I</v>
      </c>
      <c r="G110" s="3">
        <v>53</v>
      </c>
      <c r="H110" s="3" t="str">
        <f>IFERROR(MID(VLOOKUP($B110,Seqs!$A:$B,2,FALSE),I110,1),"")</f>
        <v/>
      </c>
      <c r="I110" s="57" t="s">
        <v>129</v>
      </c>
      <c r="J110" s="3" t="str">
        <f>IFERROR(MID(VLOOKUP($B110,Seqs!$A:$B,2,FALSE),K110,1),"")</f>
        <v/>
      </c>
      <c r="K110" s="57" t="s">
        <v>129</v>
      </c>
      <c r="L110" s="3" t="str">
        <f>IFERROR(MID(VLOOKUP($B110,Seqs!$A:$B,2,FALSE),M110,1),"")</f>
        <v>S</v>
      </c>
      <c r="M110" s="3">
        <v>57</v>
      </c>
      <c r="N110" s="3" t="str">
        <f>IFERROR(MID(VLOOKUP($B110,Seqs!$A:$B,2,FALSE),O110,1),"")</f>
        <v>K</v>
      </c>
      <c r="O110" s="3">
        <v>86</v>
      </c>
      <c r="P110" s="3" t="str">
        <f>IFERROR(MID(VLOOKUP($B110,Seqs!$A:$B,2,FALSE),Q110,1),"")</f>
        <v/>
      </c>
      <c r="Q110" s="3" t="s">
        <v>129</v>
      </c>
      <c r="R110" s="3" t="str">
        <f>IFERROR(MID(VLOOKUP($B110,Seqs!$A:$B,2,FALSE),S110,1),"")</f>
        <v/>
      </c>
      <c r="S110" s="3" t="s">
        <v>129</v>
      </c>
      <c r="T110" s="3" t="str">
        <f>IFERROR(MID(VLOOKUP($B110,Seqs!$A:$B,2,FALSE),U110,1),"")</f>
        <v>L</v>
      </c>
      <c r="U110" s="3">
        <v>92</v>
      </c>
      <c r="V110" s="3" t="str">
        <f>IFERROR(MID(VLOOKUP($B110,Seqs!$A:$B,2,FALSE),W110,1),"")</f>
        <v>R</v>
      </c>
      <c r="W110" s="3">
        <v>128</v>
      </c>
      <c r="X110" s="3" t="str">
        <f>IFERROR(MID(VLOOKUP($B110,Seqs!$A:$B,2,FALSE),Y110,1),"")</f>
        <v/>
      </c>
      <c r="Y110" s="3" t="s">
        <v>129</v>
      </c>
      <c r="Z110" s="3" t="str">
        <f>IFERROR(MID(VLOOKUP($B110,Seqs!$A:$B,2,FALSE),AA110,1),"")</f>
        <v/>
      </c>
      <c r="AA110" s="3" t="s">
        <v>129</v>
      </c>
      <c r="AB110" s="3" t="str">
        <f>IFERROR(MID(VLOOKUP($B110,Seqs!$A:$B,2,FALSE),AC110,1),"")</f>
        <v>N</v>
      </c>
      <c r="AC110" s="3">
        <v>137</v>
      </c>
      <c r="AD110" s="3" t="str">
        <f>IFERROR(MID(VLOOKUP($B110,Seqs!$A:$B,2,FALSE),AE110,1),"")</f>
        <v>L</v>
      </c>
      <c r="AE110" s="3">
        <v>162</v>
      </c>
      <c r="AF110" s="3" t="str">
        <f>IFERROR(MID(VLOOKUP($B110,Seqs!$A:$B,2,FALSE),AG110,1),"")</f>
        <v>C</v>
      </c>
      <c r="AG110" s="3">
        <v>175</v>
      </c>
      <c r="AH110" s="3" t="str">
        <f>IFERROR(MID(VLOOKUP($B110,Seqs!$A:$B,2,FALSE),AI110,1),"")</f>
        <v>F</v>
      </c>
      <c r="AI110" s="3">
        <v>177</v>
      </c>
      <c r="AJ110" s="3" t="str">
        <f>IFERROR(MID(VLOOKUP($B110,Seqs!$A:$B,2,FALSE),AK110,1),"")</f>
        <v>E</v>
      </c>
      <c r="AK110" s="3">
        <v>181</v>
      </c>
      <c r="AL110" s="3" t="str">
        <f>IFERROR(MID(VLOOKUP($B110,Seqs!$A:$B,2,FALSE),AM110,1),"")</f>
        <v>T</v>
      </c>
      <c r="AM110" s="3">
        <v>223</v>
      </c>
      <c r="AN110" s="3" t="str">
        <f>IFERROR(MID(VLOOKUP($B110,Seqs!$A:$B,2,FALSE),AO110,1),"")</f>
        <v>I</v>
      </c>
      <c r="AO110" s="3">
        <v>240</v>
      </c>
      <c r="AP110" s="3" t="str">
        <f>IFERROR(MID(VLOOKUP($B110,Seqs!$A:$B,2,FALSE),AQ110,1),"")</f>
        <v>L</v>
      </c>
      <c r="AQ110" s="3">
        <v>261</v>
      </c>
      <c r="AR110" s="3" t="str">
        <f>IFERROR(MID(VLOOKUP($B110,Seqs!$A:$B,2,FALSE),AS110,1),"")</f>
        <v>D</v>
      </c>
      <c r="AS110" s="3">
        <v>269</v>
      </c>
      <c r="AT110" s="3" t="str">
        <f>IFERROR(MID(VLOOKUP($B110,Seqs!$A:$B,2,FALSE),AU110,1),"")</f>
        <v>L</v>
      </c>
      <c r="AU110" s="3">
        <v>301</v>
      </c>
      <c r="AV110" s="3" t="str">
        <f>IFERROR(MID(VLOOKUP($B110,Seqs!$A:$B,2,FALSE),AW110,1),"")</f>
        <v>C</v>
      </c>
      <c r="AW110" s="3">
        <v>302</v>
      </c>
      <c r="AX110" s="3" t="str">
        <f>IFERROR(MID(VLOOKUP($B110,Seqs!$A:$B,2,FALSE),AY110,1),"")</f>
        <v>M</v>
      </c>
      <c r="AY110" s="3">
        <v>312</v>
      </c>
      <c r="AZ110" s="83" t="str">
        <f>VLOOKUP(B110,Classification!A:D,2,FALSE)</f>
        <v>A</v>
      </c>
      <c r="BA110" s="3" t="s">
        <v>1390</v>
      </c>
      <c r="BB110" s="35" t="s">
        <v>1330</v>
      </c>
      <c r="BC110" s="57">
        <f t="shared" si="120"/>
        <v>241</v>
      </c>
      <c r="BD110" s="63" t="b">
        <f t="shared" si="121"/>
        <v>1</v>
      </c>
      <c r="BE110" s="68" t="s">
        <v>1514</v>
      </c>
      <c r="BF110" s="75" t="s">
        <v>1514</v>
      </c>
      <c r="BG110" s="75" t="s">
        <v>1514</v>
      </c>
      <c r="BH110" s="75" t="s">
        <v>1514</v>
      </c>
      <c r="BI110" s="75" t="s">
        <v>1514</v>
      </c>
      <c r="BJ110" s="75" t="s">
        <v>1514</v>
      </c>
      <c r="BK110" s="75" t="s">
        <v>1514</v>
      </c>
      <c r="BL110" s="75" t="s">
        <v>1514</v>
      </c>
      <c r="BM110" s="75" t="s">
        <v>1514</v>
      </c>
      <c r="BN110" s="75" t="s">
        <v>1514</v>
      </c>
      <c r="BO110" s="75" t="s">
        <v>1514</v>
      </c>
      <c r="BP110" s="75" t="s">
        <v>1514</v>
      </c>
      <c r="BQ110" s="68">
        <f t="shared" si="122"/>
        <v>21</v>
      </c>
      <c r="BR110" s="69" t="str">
        <f t="shared" si="123"/>
        <v>-</v>
      </c>
      <c r="BS110" s="70">
        <f t="shared" si="124"/>
        <v>57</v>
      </c>
      <c r="BT110" s="69" t="str">
        <f t="shared" si="125"/>
        <v>-</v>
      </c>
      <c r="BU110" s="70">
        <f t="shared" si="126"/>
        <v>92</v>
      </c>
      <c r="BV110" s="69" t="str">
        <f t="shared" si="127"/>
        <v>-</v>
      </c>
      <c r="BW110" s="70">
        <f t="shared" si="128"/>
        <v>137</v>
      </c>
      <c r="BX110" s="69">
        <f t="shared" si="129"/>
        <v>175</v>
      </c>
      <c r="BY110" s="70">
        <f t="shared" si="130"/>
        <v>181</v>
      </c>
      <c r="BZ110" s="69">
        <f t="shared" si="131"/>
        <v>240</v>
      </c>
      <c r="CA110" s="70">
        <f t="shared" si="132"/>
        <v>269</v>
      </c>
      <c r="CB110" s="69">
        <f t="shared" si="133"/>
        <v>302</v>
      </c>
      <c r="CC110" s="68">
        <f t="shared" si="134"/>
        <v>53</v>
      </c>
      <c r="CD110" s="69" t="str">
        <f t="shared" si="135"/>
        <v>-</v>
      </c>
      <c r="CE110" s="70">
        <f t="shared" si="136"/>
        <v>86</v>
      </c>
      <c r="CF110" s="70" t="str">
        <f t="shared" si="137"/>
        <v>-</v>
      </c>
      <c r="CG110" s="70">
        <f t="shared" si="138"/>
        <v>128</v>
      </c>
      <c r="CH110" s="70" t="str">
        <f t="shared" si="139"/>
        <v>-</v>
      </c>
      <c r="CI110" s="70">
        <f t="shared" si="140"/>
        <v>162</v>
      </c>
      <c r="CJ110" s="70">
        <f t="shared" si="141"/>
        <v>177</v>
      </c>
      <c r="CK110" s="70">
        <f t="shared" si="142"/>
        <v>223</v>
      </c>
      <c r="CL110" s="70">
        <f t="shared" si="143"/>
        <v>261</v>
      </c>
      <c r="CM110" s="70">
        <f t="shared" si="144"/>
        <v>301</v>
      </c>
      <c r="CN110" s="70">
        <f t="shared" si="145"/>
        <v>312</v>
      </c>
      <c r="CO110" s="57" t="e">
        <f t="shared" si="118"/>
        <v>#VALUE!</v>
      </c>
    </row>
    <row r="111" spans="1:93" x14ac:dyDescent="0.2">
      <c r="A111" s="3" t="str">
        <f t="shared" si="119"/>
        <v>p2y12_human_4PXZ</v>
      </c>
      <c r="B111" s="3" t="s">
        <v>546</v>
      </c>
      <c r="C111" s="3" t="s">
        <v>1372</v>
      </c>
      <c r="D111" s="3" t="str">
        <f>IFERROR(MID(VLOOKUP($B111,Seqs!$A:$B,2,FALSE),E111,1),"")</f>
        <v>I</v>
      </c>
      <c r="E111" s="3">
        <v>23</v>
      </c>
      <c r="F111" s="3" t="str">
        <f>IFERROR(MID(VLOOKUP($B111,Seqs!$A:$B,2,FALSE),G111,1),"")</f>
        <v>I</v>
      </c>
      <c r="G111" s="3">
        <v>53</v>
      </c>
      <c r="H111" s="3" t="str">
        <f>IFERROR(MID(VLOOKUP($B111,Seqs!$A:$B,2,FALSE),I111,1),"")</f>
        <v/>
      </c>
      <c r="I111" s="57" t="s">
        <v>129</v>
      </c>
      <c r="J111" s="3" t="str">
        <f>IFERROR(MID(VLOOKUP($B111,Seqs!$A:$B,2,FALSE),K111,1),"")</f>
        <v/>
      </c>
      <c r="K111" s="57" t="s">
        <v>129</v>
      </c>
      <c r="L111" s="3" t="str">
        <f>IFERROR(MID(VLOOKUP($B111,Seqs!$A:$B,2,FALSE),M111,1),"")</f>
        <v>S</v>
      </c>
      <c r="M111" s="3">
        <v>57</v>
      </c>
      <c r="N111" s="3" t="str">
        <f>IFERROR(MID(VLOOKUP($B111,Seqs!$A:$B,2,FALSE),O111,1),"")</f>
        <v>K</v>
      </c>
      <c r="O111" s="3">
        <v>86</v>
      </c>
      <c r="P111" s="3" t="str">
        <f>IFERROR(MID(VLOOKUP($B111,Seqs!$A:$B,2,FALSE),Q111,1),"")</f>
        <v/>
      </c>
      <c r="Q111" s="3" t="s">
        <v>129</v>
      </c>
      <c r="R111" s="3" t="str">
        <f>IFERROR(MID(VLOOKUP($B111,Seqs!$A:$B,2,FALSE),S111,1),"")</f>
        <v/>
      </c>
      <c r="S111" s="3" t="s">
        <v>129</v>
      </c>
      <c r="T111" s="3" t="str">
        <f>IFERROR(MID(VLOOKUP($B111,Seqs!$A:$B,2,FALSE),U111,1),"")</f>
        <v>G</v>
      </c>
      <c r="U111" s="3">
        <v>90</v>
      </c>
      <c r="V111" s="3" t="str">
        <f>IFERROR(MID(VLOOKUP($B111,Seqs!$A:$B,2,FALSE),W111,1),"")</f>
        <v>R</v>
      </c>
      <c r="W111" s="3">
        <v>128</v>
      </c>
      <c r="X111" s="3" t="str">
        <f>IFERROR(MID(VLOOKUP($B111,Seqs!$A:$B,2,FALSE),Y111,1),"")</f>
        <v/>
      </c>
      <c r="Y111" s="3" t="s">
        <v>129</v>
      </c>
      <c r="Z111" s="3" t="str">
        <f>IFERROR(MID(VLOOKUP($B111,Seqs!$A:$B,2,FALSE),AA111,1),"")</f>
        <v/>
      </c>
      <c r="AA111" s="3" t="s">
        <v>129</v>
      </c>
      <c r="AB111" s="3" t="str">
        <f>IFERROR(MID(VLOOKUP($B111,Seqs!$A:$B,2,FALSE),AC111,1),"")</f>
        <v>N</v>
      </c>
      <c r="AC111" s="3">
        <v>137</v>
      </c>
      <c r="AD111" s="3" t="str">
        <f>IFERROR(MID(VLOOKUP($B111,Seqs!$A:$B,2,FALSE),AE111,1),"")</f>
        <v>T</v>
      </c>
      <c r="AE111" s="3">
        <v>163</v>
      </c>
      <c r="AF111" s="3" t="str">
        <f>IFERROR(MID(VLOOKUP($B111,Seqs!$A:$B,2,FALSE),AG111,1),"")</f>
        <v>C</v>
      </c>
      <c r="AG111" s="3">
        <v>175</v>
      </c>
      <c r="AH111" s="3" t="str">
        <f>IFERROR(MID(VLOOKUP($B111,Seqs!$A:$B,2,FALSE),AI111,1),"")</f>
        <v>F</v>
      </c>
      <c r="AI111" s="3">
        <v>177</v>
      </c>
      <c r="AJ111" s="3" t="str">
        <f>IFERROR(MID(VLOOKUP($B111,Seqs!$A:$B,2,FALSE),AK111,1),"")</f>
        <v>E</v>
      </c>
      <c r="AK111" s="3">
        <v>181</v>
      </c>
      <c r="AL111" s="3" t="str">
        <f>IFERROR(MID(VLOOKUP($B111,Seqs!$A:$B,2,FALSE),AM111,1),"")</f>
        <v>S</v>
      </c>
      <c r="AM111" s="3">
        <v>219</v>
      </c>
      <c r="AN111" s="3" t="str">
        <f>IFERROR(MID(VLOOKUP($B111,Seqs!$A:$B,2,FALSE),AO111,1),"")</f>
        <v>V</v>
      </c>
      <c r="AO111" s="3">
        <v>236</v>
      </c>
      <c r="AP111" s="3" t="str">
        <f>IFERROR(MID(VLOOKUP($B111,Seqs!$A:$B,2,FALSE),AQ111,1),"")</f>
        <v>R</v>
      </c>
      <c r="AQ111" s="3">
        <v>265</v>
      </c>
      <c r="AR111" s="3" t="str">
        <f>IFERROR(MID(VLOOKUP($B111,Seqs!$A:$B,2,FALSE),AS111,1),"")</f>
        <v>D</v>
      </c>
      <c r="AS111" s="3">
        <v>269</v>
      </c>
      <c r="AT111" s="3" t="str">
        <f>IFERROR(MID(VLOOKUP($B111,Seqs!$A:$B,2,FALSE),AU111,1),"")</f>
        <v>C</v>
      </c>
      <c r="AU111" s="3">
        <v>292</v>
      </c>
      <c r="AV111" s="3" t="str">
        <f>IFERROR(MID(VLOOKUP($B111,Seqs!$A:$B,2,FALSE),AW111,1),"")</f>
        <v/>
      </c>
      <c r="AW111" s="3" t="s">
        <v>129</v>
      </c>
      <c r="AX111" s="3" t="str">
        <f>IFERROR(MID(VLOOKUP($B111,Seqs!$A:$B,2,FALSE),AY111,1),"")</f>
        <v/>
      </c>
      <c r="AY111" s="3" t="s">
        <v>129</v>
      </c>
      <c r="AZ111" s="83" t="str">
        <f>VLOOKUP(B111,Classification!A:D,2,FALSE)</f>
        <v>A</v>
      </c>
      <c r="BC111" s="57">
        <f t="shared" si="120"/>
        <v>227</v>
      </c>
      <c r="BD111" s="63" t="b">
        <f t="shared" si="121"/>
        <v>1</v>
      </c>
      <c r="BE111" s="68" t="s">
        <v>1514</v>
      </c>
      <c r="BF111" s="75" t="s">
        <v>1514</v>
      </c>
      <c r="BG111" s="75" t="s">
        <v>1514</v>
      </c>
      <c r="BH111" s="75" t="s">
        <v>1514</v>
      </c>
      <c r="BI111" s="75" t="s">
        <v>1514</v>
      </c>
      <c r="BJ111" s="75" t="s">
        <v>1514</v>
      </c>
      <c r="BK111" s="75" t="s">
        <v>1514</v>
      </c>
      <c r="BL111" s="75" t="s">
        <v>1514</v>
      </c>
      <c r="BM111" s="75" t="s">
        <v>1514</v>
      </c>
      <c r="BN111" s="75" t="s">
        <v>1514</v>
      </c>
      <c r="BO111" s="75" t="s">
        <v>1514</v>
      </c>
      <c r="BP111" s="75" t="s">
        <v>1514</v>
      </c>
      <c r="BQ111" s="68">
        <f t="shared" si="122"/>
        <v>23</v>
      </c>
      <c r="BR111" s="69" t="str">
        <f t="shared" si="123"/>
        <v>-</v>
      </c>
      <c r="BS111" s="70">
        <f t="shared" si="124"/>
        <v>57</v>
      </c>
      <c r="BT111" s="69" t="str">
        <f t="shared" si="125"/>
        <v>-</v>
      </c>
      <c r="BU111" s="70">
        <f t="shared" si="126"/>
        <v>90</v>
      </c>
      <c r="BV111" s="69" t="str">
        <f t="shared" si="127"/>
        <v>-</v>
      </c>
      <c r="BW111" s="70">
        <f t="shared" si="128"/>
        <v>137</v>
      </c>
      <c r="BX111" s="69">
        <f t="shared" si="129"/>
        <v>175</v>
      </c>
      <c r="BY111" s="70">
        <f t="shared" si="130"/>
        <v>181</v>
      </c>
      <c r="BZ111" s="69">
        <f t="shared" si="131"/>
        <v>236</v>
      </c>
      <c r="CA111" s="70">
        <f t="shared" si="132"/>
        <v>269</v>
      </c>
      <c r="CB111" s="69" t="str">
        <f t="shared" si="133"/>
        <v>-</v>
      </c>
      <c r="CC111" s="68">
        <f t="shared" si="134"/>
        <v>53</v>
      </c>
      <c r="CD111" s="69" t="str">
        <f t="shared" si="135"/>
        <v>-</v>
      </c>
      <c r="CE111" s="70">
        <f t="shared" si="136"/>
        <v>86</v>
      </c>
      <c r="CF111" s="70" t="str">
        <f t="shared" si="137"/>
        <v>-</v>
      </c>
      <c r="CG111" s="70">
        <f t="shared" si="138"/>
        <v>128</v>
      </c>
      <c r="CH111" s="70" t="str">
        <f t="shared" si="139"/>
        <v>-</v>
      </c>
      <c r="CI111" s="70">
        <f t="shared" si="140"/>
        <v>163</v>
      </c>
      <c r="CJ111" s="70">
        <f t="shared" si="141"/>
        <v>177</v>
      </c>
      <c r="CK111" s="70">
        <f t="shared" si="142"/>
        <v>219</v>
      </c>
      <c r="CL111" s="70">
        <f t="shared" si="143"/>
        <v>265</v>
      </c>
      <c r="CM111" s="70">
        <f t="shared" si="144"/>
        <v>292</v>
      </c>
      <c r="CN111" s="70" t="str">
        <f t="shared" si="145"/>
        <v>-</v>
      </c>
      <c r="CO111" s="57" t="e">
        <f t="shared" si="118"/>
        <v>#VALUE!</v>
      </c>
    </row>
    <row r="112" spans="1:93" x14ac:dyDescent="0.2">
      <c r="A112" s="3" t="str">
        <f t="shared" si="119"/>
        <v>p2y12_human_4PY0</v>
      </c>
      <c r="B112" s="3" t="s">
        <v>546</v>
      </c>
      <c r="C112" s="3" t="s">
        <v>1257</v>
      </c>
      <c r="D112" s="3" t="str">
        <f>IFERROR(MID(VLOOKUP($B112,Seqs!$A:$B,2,FALSE),E112,1),"")</f>
        <v>I</v>
      </c>
      <c r="E112" s="3">
        <v>23</v>
      </c>
      <c r="F112" s="3" t="str">
        <f>IFERROR(MID(VLOOKUP($B112,Seqs!$A:$B,2,FALSE),G112,1),"")</f>
        <v>I</v>
      </c>
      <c r="G112" s="3">
        <v>53</v>
      </c>
      <c r="H112" s="3" t="str">
        <f>IFERROR(MID(VLOOKUP($B112,Seqs!$A:$B,2,FALSE),I112,1),"")</f>
        <v/>
      </c>
      <c r="I112" s="57" t="s">
        <v>129</v>
      </c>
      <c r="J112" s="3" t="str">
        <f>IFERROR(MID(VLOOKUP($B112,Seqs!$A:$B,2,FALSE),K112,1),"")</f>
        <v/>
      </c>
      <c r="K112" s="57" t="s">
        <v>129</v>
      </c>
      <c r="L112" s="3" t="str">
        <f>IFERROR(MID(VLOOKUP($B112,Seqs!$A:$B,2,FALSE),M112,1),"")</f>
        <v>S</v>
      </c>
      <c r="M112" s="3">
        <v>57</v>
      </c>
      <c r="N112" s="3" t="str">
        <f>IFERROR(MID(VLOOKUP($B112,Seqs!$A:$B,2,FALSE),O112,1),"")</f>
        <v>K</v>
      </c>
      <c r="O112" s="3">
        <v>86</v>
      </c>
      <c r="P112" s="3" t="str">
        <f>IFERROR(MID(VLOOKUP($B112,Seqs!$A:$B,2,FALSE),Q112,1),"")</f>
        <v/>
      </c>
      <c r="Q112" s="3" t="s">
        <v>129</v>
      </c>
      <c r="R112" s="3" t="str">
        <f>IFERROR(MID(VLOOKUP($B112,Seqs!$A:$B,2,FALSE),S112,1),"")</f>
        <v/>
      </c>
      <c r="S112" s="3" t="s">
        <v>129</v>
      </c>
      <c r="T112" s="3" t="str">
        <f>IFERROR(MID(VLOOKUP($B112,Seqs!$A:$B,2,FALSE),U112,1),"")</f>
        <v>G</v>
      </c>
      <c r="U112" s="3">
        <v>90</v>
      </c>
      <c r="V112" s="3" t="str">
        <f>IFERROR(MID(VLOOKUP($B112,Seqs!$A:$B,2,FALSE),W112,1),"")</f>
        <v>R</v>
      </c>
      <c r="W112" s="3">
        <v>128</v>
      </c>
      <c r="X112" s="3" t="str">
        <f>IFERROR(MID(VLOOKUP($B112,Seqs!$A:$B,2,FALSE),Y112,1),"")</f>
        <v/>
      </c>
      <c r="Y112" s="3" t="s">
        <v>129</v>
      </c>
      <c r="Z112" s="3" t="str">
        <f>IFERROR(MID(VLOOKUP($B112,Seqs!$A:$B,2,FALSE),AA112,1),"")</f>
        <v/>
      </c>
      <c r="AA112" s="3" t="s">
        <v>129</v>
      </c>
      <c r="AB112" s="3" t="str">
        <f>IFERROR(MID(VLOOKUP($B112,Seqs!$A:$B,2,FALSE),AC112,1),"")</f>
        <v>N</v>
      </c>
      <c r="AC112" s="3">
        <v>137</v>
      </c>
      <c r="AD112" s="3" t="str">
        <f>IFERROR(MID(VLOOKUP($B112,Seqs!$A:$B,2,FALSE),AE112,1),"")</f>
        <v>T</v>
      </c>
      <c r="AE112" s="3">
        <v>163</v>
      </c>
      <c r="AF112" s="3" t="str">
        <f>IFERROR(MID(VLOOKUP($B112,Seqs!$A:$B,2,FALSE),AG112,1),"")</f>
        <v>C</v>
      </c>
      <c r="AG112" s="3">
        <v>175</v>
      </c>
      <c r="AH112" s="3" t="str">
        <f>IFERROR(MID(VLOOKUP($B112,Seqs!$A:$B,2,FALSE),AI112,1),"")</f>
        <v>F</v>
      </c>
      <c r="AI112" s="3">
        <v>177</v>
      </c>
      <c r="AJ112" s="3" t="str">
        <f>IFERROR(MID(VLOOKUP($B112,Seqs!$A:$B,2,FALSE),AK112,1),"")</f>
        <v>E</v>
      </c>
      <c r="AK112" s="3">
        <v>181</v>
      </c>
      <c r="AL112" s="3" t="str">
        <f>IFERROR(MID(VLOOKUP($B112,Seqs!$A:$B,2,FALSE),AM112,1),"")</f>
        <v>S</v>
      </c>
      <c r="AM112" s="3">
        <v>219</v>
      </c>
      <c r="AN112" s="3" t="str">
        <f>IFERROR(MID(VLOOKUP($B112,Seqs!$A:$B,2,FALSE),AO112,1),"")</f>
        <v>V</v>
      </c>
      <c r="AO112" s="3">
        <v>236</v>
      </c>
      <c r="AP112" s="3" t="str">
        <f>IFERROR(MID(VLOOKUP($B112,Seqs!$A:$B,2,FALSE),AQ112,1),"")</f>
        <v>R</v>
      </c>
      <c r="AQ112" s="3">
        <v>265</v>
      </c>
      <c r="AR112" s="3" t="str">
        <f>IFERROR(MID(VLOOKUP($B112,Seqs!$A:$B,2,FALSE),AS112,1),"")</f>
        <v>D</v>
      </c>
      <c r="AS112" s="3">
        <v>269</v>
      </c>
      <c r="AT112" s="3" t="str">
        <f>IFERROR(MID(VLOOKUP($B112,Seqs!$A:$B,2,FALSE),AU112,1),"")</f>
        <v>C</v>
      </c>
      <c r="AU112" s="3">
        <v>292</v>
      </c>
      <c r="AV112" s="3" t="str">
        <f>IFERROR(MID(VLOOKUP($B112,Seqs!$A:$B,2,FALSE),AW112,1),"")</f>
        <v/>
      </c>
      <c r="AW112" s="3" t="s">
        <v>129</v>
      </c>
      <c r="AX112" s="3" t="str">
        <f>IFERROR(MID(VLOOKUP($B112,Seqs!$A:$B,2,FALSE),AY112,1),"")</f>
        <v/>
      </c>
      <c r="AY112" s="3" t="s">
        <v>129</v>
      </c>
      <c r="AZ112" s="83" t="str">
        <f>VLOOKUP(B112,Classification!A:D,2,FALSE)</f>
        <v>A</v>
      </c>
      <c r="BC112" s="57">
        <f t="shared" si="120"/>
        <v>227</v>
      </c>
      <c r="BD112" s="63" t="b">
        <f t="shared" si="121"/>
        <v>1</v>
      </c>
      <c r="BE112" s="68" t="s">
        <v>1514</v>
      </c>
      <c r="BF112" s="75" t="s">
        <v>1514</v>
      </c>
      <c r="BG112" s="75" t="s">
        <v>1514</v>
      </c>
      <c r="BH112" s="75" t="s">
        <v>1514</v>
      </c>
      <c r="BI112" s="75" t="s">
        <v>1514</v>
      </c>
      <c r="BJ112" s="75" t="s">
        <v>1514</v>
      </c>
      <c r="BK112" s="75" t="s">
        <v>1514</v>
      </c>
      <c r="BL112" s="75" t="s">
        <v>1514</v>
      </c>
      <c r="BM112" s="75" t="s">
        <v>1514</v>
      </c>
      <c r="BN112" s="75" t="s">
        <v>1514</v>
      </c>
      <c r="BO112" s="75" t="s">
        <v>1514</v>
      </c>
      <c r="BP112" s="75" t="s">
        <v>1514</v>
      </c>
      <c r="BQ112" s="68">
        <f t="shared" si="122"/>
        <v>23</v>
      </c>
      <c r="BR112" s="69" t="str">
        <f t="shared" si="123"/>
        <v>-</v>
      </c>
      <c r="BS112" s="70">
        <f t="shared" si="124"/>
        <v>57</v>
      </c>
      <c r="BT112" s="69" t="str">
        <f t="shared" si="125"/>
        <v>-</v>
      </c>
      <c r="BU112" s="70">
        <f t="shared" si="126"/>
        <v>90</v>
      </c>
      <c r="BV112" s="69" t="str">
        <f t="shared" si="127"/>
        <v>-</v>
      </c>
      <c r="BW112" s="70">
        <f t="shared" si="128"/>
        <v>137</v>
      </c>
      <c r="BX112" s="69">
        <f t="shared" si="129"/>
        <v>175</v>
      </c>
      <c r="BY112" s="70">
        <f t="shared" si="130"/>
        <v>181</v>
      </c>
      <c r="BZ112" s="69">
        <f t="shared" si="131"/>
        <v>236</v>
      </c>
      <c r="CA112" s="70">
        <f t="shared" si="132"/>
        <v>269</v>
      </c>
      <c r="CB112" s="69" t="str">
        <f t="shared" si="133"/>
        <v>-</v>
      </c>
      <c r="CC112" s="68">
        <f t="shared" si="134"/>
        <v>53</v>
      </c>
      <c r="CD112" s="69" t="str">
        <f t="shared" si="135"/>
        <v>-</v>
      </c>
      <c r="CE112" s="70">
        <f t="shared" si="136"/>
        <v>86</v>
      </c>
      <c r="CF112" s="70" t="str">
        <f t="shared" si="137"/>
        <v>-</v>
      </c>
      <c r="CG112" s="70">
        <f t="shared" si="138"/>
        <v>128</v>
      </c>
      <c r="CH112" s="70" t="str">
        <f t="shared" si="139"/>
        <v>-</v>
      </c>
      <c r="CI112" s="70">
        <f t="shared" si="140"/>
        <v>163</v>
      </c>
      <c r="CJ112" s="70">
        <f t="shared" si="141"/>
        <v>177</v>
      </c>
      <c r="CK112" s="70">
        <f t="shared" si="142"/>
        <v>219</v>
      </c>
      <c r="CL112" s="70">
        <f t="shared" si="143"/>
        <v>265</v>
      </c>
      <c r="CM112" s="70">
        <f t="shared" si="144"/>
        <v>292</v>
      </c>
      <c r="CN112" s="70" t="str">
        <f t="shared" si="145"/>
        <v>-</v>
      </c>
      <c r="CO112" s="57" t="e">
        <f t="shared" si="118"/>
        <v>#VALUE!</v>
      </c>
    </row>
    <row r="113" spans="1:93" x14ac:dyDescent="0.2">
      <c r="A113" s="3" t="str">
        <f t="shared" si="119"/>
        <v>par1_human__wt</v>
      </c>
      <c r="B113" s="3" t="s">
        <v>549</v>
      </c>
      <c r="C113" s="3" t="s">
        <v>294</v>
      </c>
      <c r="D113" s="3" t="str">
        <f>IFERROR(MID(VLOOKUP($B113,Seqs!$A:$B,2,FALSE),E113,1),"")</f>
        <v>S</v>
      </c>
      <c r="E113" s="3">
        <v>99</v>
      </c>
      <c r="F113" s="3" t="str">
        <f>IFERROR(MID(VLOOKUP($B113,Seqs!$A:$B,2,FALSE),G113,1),"")</f>
        <v>K</v>
      </c>
      <c r="G113" s="3">
        <v>130</v>
      </c>
      <c r="H113" s="3" t="str">
        <f>IFERROR(MID(VLOOKUP($B113,Seqs!$A:$B,2,FALSE),I113,1),"")</f>
        <v>M</v>
      </c>
      <c r="I113" s="57">
        <v>131</v>
      </c>
      <c r="J113" s="3" t="str">
        <f>IFERROR(MID(VLOOKUP($B113,Seqs!$A:$B,2,FALSE),K113,1),"")</f>
        <v>K</v>
      </c>
      <c r="K113" s="57">
        <v>134</v>
      </c>
      <c r="L113" s="3" t="str">
        <f>IFERROR(MID(VLOOKUP($B113,Seqs!$A:$B,2,FALSE),M113,1),"")</f>
        <v>K</v>
      </c>
      <c r="M113" s="3">
        <v>135</v>
      </c>
      <c r="N113" s="3" t="str">
        <f>IFERROR(MID(VLOOKUP($B113,Seqs!$A:$B,2,FALSE),O113,1),"")</f>
        <v>S</v>
      </c>
      <c r="O113" s="3">
        <v>164</v>
      </c>
      <c r="P113" s="3" t="str">
        <f>IFERROR(MID(VLOOKUP($B113,Seqs!$A:$B,2,FALSE),Q113,1),"")</f>
        <v>D</v>
      </c>
      <c r="Q113" s="3">
        <v>167</v>
      </c>
      <c r="R113" s="3" t="str">
        <f>IFERROR(MID(VLOOKUP($B113,Seqs!$A:$B,2,FALSE),S113,1),"")</f>
        <v>F</v>
      </c>
      <c r="S113" s="3">
        <v>170</v>
      </c>
      <c r="T113" s="3" t="str">
        <f>IFERROR(MID(VLOOKUP($B113,Seqs!$A:$B,2,FALSE),U113,1),"")</f>
        <v>G</v>
      </c>
      <c r="U113" s="3">
        <v>171</v>
      </c>
      <c r="V113" s="3" t="str">
        <f>IFERROR(MID(VLOOKUP($B113,Seqs!$A:$B,2,FALSE),W113,1),"")</f>
        <v>Y</v>
      </c>
      <c r="W113" s="3">
        <v>206</v>
      </c>
      <c r="X113" s="3" t="str">
        <f>IFERROR(MID(VLOOKUP($B113,Seqs!$A:$B,2,FALSE),Y113,1),"")</f>
        <v>P</v>
      </c>
      <c r="Y113" s="3">
        <v>207</v>
      </c>
      <c r="Z113" s="3" t="str">
        <f>IFERROR(MID(VLOOKUP($B113,Seqs!$A:$B,2,FALSE),AA113,1),"")</f>
        <v>R</v>
      </c>
      <c r="AA113" s="3">
        <v>214</v>
      </c>
      <c r="AB113" s="3" t="str">
        <f>IFERROR(MID(VLOOKUP($B113,Seqs!$A:$B,2,FALSE),AC113,1),"")</f>
        <v>L</v>
      </c>
      <c r="AC113" s="3">
        <v>216</v>
      </c>
      <c r="AD113" s="3" t="str">
        <f>IFERROR(MID(VLOOKUP($B113,Seqs!$A:$B,2,FALSE),AE113,1),"")</f>
        <v>K</v>
      </c>
      <c r="AE113" s="3">
        <v>240</v>
      </c>
      <c r="AF113" s="3" t="str">
        <f>IFERROR(MID(VLOOKUP($B113,Seqs!$A:$B,2,FALSE),AG113,1),"")</f>
        <v>C</v>
      </c>
      <c r="AG113" s="3">
        <v>254</v>
      </c>
      <c r="AH113" s="3" t="str">
        <f>IFERROR(MID(VLOOKUP($B113,Seqs!$A:$B,2,FALSE),AI113,1),"")</f>
        <v>D</v>
      </c>
      <c r="AI113" s="3">
        <v>256</v>
      </c>
      <c r="AJ113" s="3" t="str">
        <f>IFERROR(MID(VLOOKUP($B113,Seqs!$A:$B,2,FALSE),AK113,1),"")</f>
        <v>E</v>
      </c>
      <c r="AK113" s="3">
        <v>264</v>
      </c>
      <c r="AL113" s="3" t="str">
        <f>IFERROR(MID(VLOOKUP($B113,Seqs!$A:$B,2,FALSE),AM113,1),"")</f>
        <v>S</v>
      </c>
      <c r="AM113" s="3">
        <v>299</v>
      </c>
      <c r="AN113" s="3" t="str">
        <f>IFERROR(MID(VLOOKUP($B113,Seqs!$A:$B,2,FALSE),AO113,1),"")</f>
        <v>N</v>
      </c>
      <c r="AO113" s="3">
        <v>304</v>
      </c>
      <c r="AP113" s="3" t="str">
        <f>IFERROR(MID(VLOOKUP($B113,Seqs!$A:$B,2,FALSE),AQ113,1),"")</f>
        <v>L</v>
      </c>
      <c r="AQ113" s="3">
        <v>340</v>
      </c>
      <c r="AR113" s="3" t="str">
        <f>IFERROR(MID(VLOOKUP($B113,Seqs!$A:$B,2,FALSE),AS113,1),"")</f>
        <v>T</v>
      </c>
      <c r="AS113" s="3">
        <v>346</v>
      </c>
      <c r="AT113" s="3" t="str">
        <f>IFERROR(MID(VLOOKUP($B113,Seqs!$A:$B,2,FALSE),AU113,1),"")</f>
        <v>A</v>
      </c>
      <c r="AU113" s="3">
        <v>374</v>
      </c>
      <c r="AV113" s="3" t="str">
        <f>IFERROR(MID(VLOOKUP($B113,Seqs!$A:$B,2,FALSE),AW113,1),"")</f>
        <v>S</v>
      </c>
      <c r="AW113" s="3">
        <v>375</v>
      </c>
      <c r="AX113" s="3" t="str">
        <f>IFERROR(MID(VLOOKUP($B113,Seqs!$A:$B,2,FALSE),AY113,1),"")</f>
        <v>K</v>
      </c>
      <c r="AY113" s="3">
        <v>389</v>
      </c>
      <c r="AZ113" s="83" t="str">
        <f>VLOOKUP(B113,Classification!A:D,2,FALSE)</f>
        <v>A</v>
      </c>
      <c r="BB113" s="82">
        <f>S113-Q113+1</f>
        <v>4</v>
      </c>
      <c r="BC113" s="57">
        <f t="shared" si="120"/>
        <v>259</v>
      </c>
      <c r="BD113" s="63" t="b">
        <f t="shared" si="121"/>
        <v>1</v>
      </c>
      <c r="BE113" s="68" t="s">
        <v>1514</v>
      </c>
      <c r="BF113" s="75" t="s">
        <v>1514</v>
      </c>
      <c r="BG113" s="75" t="s">
        <v>1514</v>
      </c>
      <c r="BH113" s="75" t="s">
        <v>1514</v>
      </c>
      <c r="BI113" s="75" t="s">
        <v>1514</v>
      </c>
      <c r="BJ113" s="75" t="s">
        <v>1514</v>
      </c>
      <c r="BK113" s="75" t="s">
        <v>1514</v>
      </c>
      <c r="BL113" s="75" t="s">
        <v>1514</v>
      </c>
      <c r="BM113" s="75" t="s">
        <v>1514</v>
      </c>
      <c r="BN113" s="75" t="s">
        <v>1514</v>
      </c>
      <c r="BO113" s="75" t="s">
        <v>1514</v>
      </c>
      <c r="BP113" s="75" t="s">
        <v>1514</v>
      </c>
      <c r="BQ113" s="68">
        <f t="shared" si="122"/>
        <v>99</v>
      </c>
      <c r="BR113" s="69">
        <f t="shared" si="123"/>
        <v>131</v>
      </c>
      <c r="BS113" s="70">
        <f t="shared" si="124"/>
        <v>135</v>
      </c>
      <c r="BT113" s="69">
        <f t="shared" si="125"/>
        <v>167</v>
      </c>
      <c r="BU113" s="70">
        <f t="shared" si="126"/>
        <v>171</v>
      </c>
      <c r="BV113" s="69">
        <f t="shared" si="127"/>
        <v>207</v>
      </c>
      <c r="BW113" s="70">
        <f t="shared" si="128"/>
        <v>216</v>
      </c>
      <c r="BX113" s="69">
        <f t="shared" si="129"/>
        <v>254</v>
      </c>
      <c r="BY113" s="70">
        <f t="shared" si="130"/>
        <v>264</v>
      </c>
      <c r="BZ113" s="69">
        <f t="shared" si="131"/>
        <v>304</v>
      </c>
      <c r="CA113" s="70">
        <f t="shared" si="132"/>
        <v>346</v>
      </c>
      <c r="CB113" s="69">
        <f t="shared" si="133"/>
        <v>375</v>
      </c>
      <c r="CC113" s="68">
        <f t="shared" si="134"/>
        <v>130</v>
      </c>
      <c r="CD113" s="69">
        <f t="shared" si="135"/>
        <v>134</v>
      </c>
      <c r="CE113" s="70">
        <f t="shared" si="136"/>
        <v>164</v>
      </c>
      <c r="CF113" s="70">
        <f t="shared" si="137"/>
        <v>170</v>
      </c>
      <c r="CG113" s="70">
        <f t="shared" si="138"/>
        <v>206</v>
      </c>
      <c r="CH113" s="70">
        <f t="shared" si="139"/>
        <v>214</v>
      </c>
      <c r="CI113" s="70">
        <f t="shared" si="140"/>
        <v>240</v>
      </c>
      <c r="CJ113" s="70">
        <f t="shared" si="141"/>
        <v>256</v>
      </c>
      <c r="CK113" s="70">
        <f t="shared" si="142"/>
        <v>299</v>
      </c>
      <c r="CL113" s="70">
        <f t="shared" si="143"/>
        <v>340</v>
      </c>
      <c r="CM113" s="70">
        <f t="shared" si="144"/>
        <v>374</v>
      </c>
      <c r="CN113" s="70">
        <f t="shared" si="145"/>
        <v>389</v>
      </c>
      <c r="CO113" s="57">
        <f t="shared" si="118"/>
        <v>1</v>
      </c>
    </row>
    <row r="114" spans="1:93" x14ac:dyDescent="0.2">
      <c r="A114" s="3" t="str">
        <f t="shared" si="119"/>
        <v>par1_human_3VW7</v>
      </c>
      <c r="B114" s="3" t="s">
        <v>549</v>
      </c>
      <c r="C114" s="3" t="s">
        <v>285</v>
      </c>
      <c r="D114" s="3" t="str">
        <f>IFERROR(MID(VLOOKUP($B114,Seqs!$A:$B,2,FALSE),E114,1),"")</f>
        <v>S</v>
      </c>
      <c r="E114" s="3">
        <v>99</v>
      </c>
      <c r="F114" s="3" t="str">
        <f>IFERROR(MID(VLOOKUP($B114,Seqs!$A:$B,2,FALSE),G114,1),"")</f>
        <v>K</v>
      </c>
      <c r="G114" s="3">
        <v>130</v>
      </c>
      <c r="H114" s="3" t="str">
        <f>IFERROR(MID(VLOOKUP($B114,Seqs!$A:$B,2,FALSE),I114,1),"")</f>
        <v/>
      </c>
      <c r="I114" s="57" t="s">
        <v>129</v>
      </c>
      <c r="J114" s="3" t="str">
        <f>IFERROR(MID(VLOOKUP($B114,Seqs!$A:$B,2,FALSE),K114,1),"")</f>
        <v/>
      </c>
      <c r="K114" s="57" t="s">
        <v>129</v>
      </c>
      <c r="L114" s="3" t="str">
        <f>IFERROR(MID(VLOOKUP($B114,Seqs!$A:$B,2,FALSE),M114,1),"")</f>
        <v>K</v>
      </c>
      <c r="M114" s="3">
        <v>135</v>
      </c>
      <c r="N114" s="3" t="str">
        <f>IFERROR(MID(VLOOKUP($B114,Seqs!$A:$B,2,FALSE),O114,1),"")</f>
        <v>S</v>
      </c>
      <c r="O114" s="3">
        <v>164</v>
      </c>
      <c r="P114" s="3" t="str">
        <f>IFERROR(MID(VLOOKUP($B114,Seqs!$A:$B,2,FALSE),Q114,1),"")</f>
        <v>D</v>
      </c>
      <c r="Q114" s="3">
        <v>167</v>
      </c>
      <c r="R114" s="3" t="str">
        <f>IFERROR(MID(VLOOKUP($B114,Seqs!$A:$B,2,FALSE),S114,1),"")</f>
        <v>F</v>
      </c>
      <c r="S114" s="3">
        <v>170</v>
      </c>
      <c r="T114" s="3" t="str">
        <f>IFERROR(MID(VLOOKUP($B114,Seqs!$A:$B,2,FALSE),U114,1),"")</f>
        <v>G</v>
      </c>
      <c r="U114" s="3">
        <v>171</v>
      </c>
      <c r="V114" s="3" t="str">
        <f>IFERROR(MID(VLOOKUP($B114,Seqs!$A:$B,2,FALSE),W114,1),"")</f>
        <v>Y</v>
      </c>
      <c r="W114" s="3">
        <v>206</v>
      </c>
      <c r="X114" s="3" t="str">
        <f>IFERROR(MID(VLOOKUP($B114,Seqs!$A:$B,2,FALSE),Y114,1),"")</f>
        <v/>
      </c>
      <c r="Y114" s="3" t="s">
        <v>129</v>
      </c>
      <c r="Z114" s="3" t="str">
        <f>IFERROR(MID(VLOOKUP($B114,Seqs!$A:$B,2,FALSE),AA114,1),"")</f>
        <v/>
      </c>
      <c r="AA114" s="3" t="s">
        <v>129</v>
      </c>
      <c r="AB114" s="3" t="str">
        <f>IFERROR(MID(VLOOKUP($B114,Seqs!$A:$B,2,FALSE),AC114,1),"")</f>
        <v>L</v>
      </c>
      <c r="AC114" s="3">
        <v>216</v>
      </c>
      <c r="AD114" s="3" t="str">
        <f>IFERROR(MID(VLOOKUP($B114,Seqs!$A:$B,2,FALSE),AE114,1),"")</f>
        <v>K</v>
      </c>
      <c r="AE114" s="3">
        <v>240</v>
      </c>
      <c r="AF114" s="3" t="str">
        <f>IFERROR(MID(VLOOKUP($B114,Seqs!$A:$B,2,FALSE),AG114,1),"")</f>
        <v>C</v>
      </c>
      <c r="AG114" s="3">
        <v>254</v>
      </c>
      <c r="AH114" s="3" t="str">
        <f>IFERROR(MID(VLOOKUP($B114,Seqs!$A:$B,2,FALSE),AI114,1),"")</f>
        <v>D</v>
      </c>
      <c r="AI114" s="3">
        <v>256</v>
      </c>
      <c r="AJ114" s="3" t="str">
        <f>IFERROR(MID(VLOOKUP($B114,Seqs!$A:$B,2,FALSE),AK114,1),"")</f>
        <v>E</v>
      </c>
      <c r="AK114" s="3">
        <v>264</v>
      </c>
      <c r="AL114" s="3" t="str">
        <f>IFERROR(MID(VLOOKUP($B114,Seqs!$A:$B,2,FALSE),AM114,1),"")</f>
        <v>S</v>
      </c>
      <c r="AM114" s="3">
        <v>300</v>
      </c>
      <c r="AN114" s="3" t="str">
        <f>IFERROR(MID(VLOOKUP($B114,Seqs!$A:$B,2,FALSE),AO114,1),"")</f>
        <v>N</v>
      </c>
      <c r="AO114" s="3">
        <v>304</v>
      </c>
      <c r="AP114" s="3" t="str">
        <f>IFERROR(MID(VLOOKUP($B114,Seqs!$A:$B,2,FALSE),AQ114,1),"")</f>
        <v>L</v>
      </c>
      <c r="AQ114" s="3">
        <v>340</v>
      </c>
      <c r="AR114" s="3" t="str">
        <f>IFERROR(MID(VLOOKUP($B114,Seqs!$A:$B,2,FALSE),AS114,1),"")</f>
        <v>T</v>
      </c>
      <c r="AS114" s="3">
        <v>346</v>
      </c>
      <c r="AT114" s="3" t="str">
        <f>IFERROR(MID(VLOOKUP($B114,Seqs!$A:$B,2,FALSE),AU114,1),"")</f>
        <v>Y</v>
      </c>
      <c r="AU114" s="3">
        <v>372</v>
      </c>
      <c r="AV114" s="3" t="str">
        <f>IFERROR(MID(VLOOKUP($B114,Seqs!$A:$B,2,FALSE),AW114,1),"")</f>
        <v/>
      </c>
      <c r="AW114" s="3" t="s">
        <v>129</v>
      </c>
      <c r="AX114" s="3" t="str">
        <f>IFERROR(MID(VLOOKUP($B114,Seqs!$A:$B,2,FALSE),AY114,1),"")</f>
        <v/>
      </c>
      <c r="AY114" s="3" t="s">
        <v>129</v>
      </c>
      <c r="AZ114" s="83" t="str">
        <f>VLOOKUP(B114,Classification!A:D,2,FALSE)</f>
        <v>A</v>
      </c>
      <c r="BC114" s="57">
        <f t="shared" si="120"/>
        <v>234</v>
      </c>
      <c r="BD114" s="63" t="b">
        <f t="shared" si="121"/>
        <v>1</v>
      </c>
      <c r="BE114" s="68" t="s">
        <v>1514</v>
      </c>
      <c r="BF114" s="75" t="s">
        <v>1514</v>
      </c>
      <c r="BG114" s="75" t="s">
        <v>1514</v>
      </c>
      <c r="BH114" s="75" t="s">
        <v>1514</v>
      </c>
      <c r="BI114" s="75" t="s">
        <v>1514</v>
      </c>
      <c r="BJ114" s="75" t="s">
        <v>1514</v>
      </c>
      <c r="BK114" s="75" t="s">
        <v>1514</v>
      </c>
      <c r="BL114" s="75" t="s">
        <v>1514</v>
      </c>
      <c r="BM114" s="75" t="s">
        <v>1514</v>
      </c>
      <c r="BN114" s="75" t="s">
        <v>1514</v>
      </c>
      <c r="BO114" s="75" t="s">
        <v>1514</v>
      </c>
      <c r="BP114" s="75" t="s">
        <v>1514</v>
      </c>
      <c r="BQ114" s="68">
        <f t="shared" si="122"/>
        <v>99</v>
      </c>
      <c r="BR114" s="69" t="str">
        <f t="shared" si="123"/>
        <v>-</v>
      </c>
      <c r="BS114" s="70">
        <f t="shared" si="124"/>
        <v>135</v>
      </c>
      <c r="BT114" s="69">
        <f t="shared" si="125"/>
        <v>167</v>
      </c>
      <c r="BU114" s="70">
        <f t="shared" si="126"/>
        <v>171</v>
      </c>
      <c r="BV114" s="69" t="str">
        <f t="shared" si="127"/>
        <v>-</v>
      </c>
      <c r="BW114" s="70">
        <f t="shared" si="128"/>
        <v>216</v>
      </c>
      <c r="BX114" s="69">
        <f t="shared" si="129"/>
        <v>254</v>
      </c>
      <c r="BY114" s="70">
        <f t="shared" si="130"/>
        <v>264</v>
      </c>
      <c r="BZ114" s="69">
        <f t="shared" si="131"/>
        <v>304</v>
      </c>
      <c r="CA114" s="70">
        <f t="shared" si="132"/>
        <v>346</v>
      </c>
      <c r="CB114" s="69" t="str">
        <f t="shared" si="133"/>
        <v>-</v>
      </c>
      <c r="CC114" s="68">
        <f t="shared" si="134"/>
        <v>130</v>
      </c>
      <c r="CD114" s="69" t="str">
        <f t="shared" si="135"/>
        <v>-</v>
      </c>
      <c r="CE114" s="70">
        <f t="shared" si="136"/>
        <v>164</v>
      </c>
      <c r="CF114" s="70">
        <f t="shared" si="137"/>
        <v>170</v>
      </c>
      <c r="CG114" s="70">
        <f t="shared" si="138"/>
        <v>206</v>
      </c>
      <c r="CH114" s="70" t="str">
        <f t="shared" si="139"/>
        <v>-</v>
      </c>
      <c r="CI114" s="70">
        <f t="shared" si="140"/>
        <v>240</v>
      </c>
      <c r="CJ114" s="70">
        <f t="shared" si="141"/>
        <v>256</v>
      </c>
      <c r="CK114" s="70">
        <f t="shared" si="142"/>
        <v>300</v>
      </c>
      <c r="CL114" s="70">
        <f t="shared" si="143"/>
        <v>340</v>
      </c>
      <c r="CM114" s="70">
        <f t="shared" si="144"/>
        <v>372</v>
      </c>
      <c r="CN114" s="70" t="str">
        <f t="shared" si="145"/>
        <v>-</v>
      </c>
      <c r="CO114" s="57" t="e">
        <f t="shared" si="118"/>
        <v>#VALUE!</v>
      </c>
    </row>
    <row r="115" spans="1:93" x14ac:dyDescent="0.2">
      <c r="A115" s="3" t="str">
        <f t="shared" si="119"/>
        <v>s1pr1_human__wt</v>
      </c>
      <c r="B115" s="3" t="s">
        <v>298</v>
      </c>
      <c r="C115" s="3" t="s">
        <v>294</v>
      </c>
      <c r="D115" s="3" t="str">
        <f>IFERROR(MID(VLOOKUP($B115,Seqs!$A:$B,2,FALSE),E115,1),"")</f>
        <v>E</v>
      </c>
      <c r="E115" s="3">
        <v>42</v>
      </c>
      <c r="F115" s="3" t="str">
        <f>IFERROR(MID(VLOOKUP($B115,Seqs!$A:$B,2,FALSE),G115,1),"")</f>
        <v>T</v>
      </c>
      <c r="G115" s="3">
        <v>73</v>
      </c>
      <c r="H115" s="3" t="str">
        <f>IFERROR(MID(VLOOKUP($B115,Seqs!$A:$B,2,FALSE),I115,1),"")</f>
        <v>K</v>
      </c>
      <c r="I115" s="57">
        <v>74</v>
      </c>
      <c r="J115" s="3" t="str">
        <f>IFERROR(MID(VLOOKUP($B115,Seqs!$A:$B,2,FALSE),K115,1),"")</f>
        <v>H</v>
      </c>
      <c r="K115" s="57">
        <v>77</v>
      </c>
      <c r="L115" s="3" t="str">
        <f>IFERROR(MID(VLOOKUP($B115,Seqs!$A:$B,2,FALSE),M115,1),"")</f>
        <v>R</v>
      </c>
      <c r="M115" s="3">
        <v>78</v>
      </c>
      <c r="N115" s="3" t="str">
        <f>IFERROR(MID(VLOOKUP($B115,Seqs!$A:$B,2,FALSE),O115,1),"")</f>
        <v>L</v>
      </c>
      <c r="O115" s="3">
        <v>104</v>
      </c>
      <c r="P115" s="3" t="str">
        <f>IFERROR(MID(VLOOKUP($B115,Seqs!$A:$B,2,FALSE),Q115,1),"")</f>
        <v>G</v>
      </c>
      <c r="Q115" s="3">
        <v>106</v>
      </c>
      <c r="R115" s="3" t="str">
        <f>IFERROR(MID(VLOOKUP($B115,Seqs!$A:$B,2,FALSE),S115,1),"")</f>
        <v>L</v>
      </c>
      <c r="S115" s="3">
        <v>112</v>
      </c>
      <c r="T115" s="3" t="str">
        <f>IFERROR(MID(VLOOKUP($B115,Seqs!$A:$B,2,FALSE),U115,1),"")</f>
        <v>T</v>
      </c>
      <c r="U115" s="3">
        <v>113</v>
      </c>
      <c r="V115" s="3" t="str">
        <f>IFERROR(MID(VLOOKUP($B115,Seqs!$A:$B,2,FALSE),W115,1),"")</f>
        <v>K</v>
      </c>
      <c r="W115" s="3">
        <v>148</v>
      </c>
      <c r="X115" s="3" t="str">
        <f>IFERROR(MID(VLOOKUP($B115,Seqs!$A:$B,2,FALSE),Y115,1),"")</f>
        <v>M</v>
      </c>
      <c r="Y115" s="3">
        <v>149</v>
      </c>
      <c r="Z115" s="3" t="str">
        <f>IFERROR(MID(VLOOKUP($B115,Seqs!$A:$B,2,FALSE),AA115,1),"")</f>
        <v>N</v>
      </c>
      <c r="AA115" s="3">
        <v>156</v>
      </c>
      <c r="AB115" s="3" t="str">
        <f>IFERROR(MID(VLOOKUP($B115,Seqs!$A:$B,2,FALSE),AC115,1),"")</f>
        <v>N</v>
      </c>
      <c r="AC115" s="3">
        <v>157</v>
      </c>
      <c r="AD115" s="3" t="str">
        <f>IFERROR(MID(VLOOKUP($B115,Seqs!$A:$B,2,FALSE),AE115,1),"")</f>
        <v>G</v>
      </c>
      <c r="AE115" s="3">
        <v>181</v>
      </c>
      <c r="AF115" s="3" t="str">
        <f>IFERROR(MID(VLOOKUP($B115,Seqs!$A:$B,2,FALSE),AG115,1),"")</f>
        <v/>
      </c>
      <c r="AG115" s="3" t="s">
        <v>129</v>
      </c>
      <c r="AH115" s="3" t="str">
        <f>IFERROR(MID(VLOOKUP($B115,Seqs!$A:$B,2,FALSE),AI115,1),"")</f>
        <v/>
      </c>
      <c r="AI115" s="3" t="s">
        <v>129</v>
      </c>
      <c r="AJ115" s="3" t="str">
        <f>IFERROR(MID(VLOOKUP($B115,Seqs!$A:$B,2,FALSE),AK115,1),"")</f>
        <v>H</v>
      </c>
      <c r="AK115" s="3">
        <v>199</v>
      </c>
      <c r="AL115" s="3" t="str">
        <f>IFERROR(MID(VLOOKUP($B115,Seqs!$A:$B,2,FALSE),AM115,1),"")</f>
        <v>T</v>
      </c>
      <c r="AM115" s="3">
        <v>236</v>
      </c>
      <c r="AN115" s="3" t="str">
        <f>IFERROR(MID(VLOOKUP($B115,Seqs!$A:$B,2,FALSE),AO115,1),"")</f>
        <v>S</v>
      </c>
      <c r="AO115" s="3">
        <v>245</v>
      </c>
      <c r="AP115" s="3" t="str">
        <f>IFERROR(MID(VLOOKUP($B115,Seqs!$A:$B,2,FALSE),AQ115,1),"")</f>
        <v>C</v>
      </c>
      <c r="AQ115" s="3">
        <v>282</v>
      </c>
      <c r="AR115" s="3" t="str">
        <f>IFERROR(MID(VLOOKUP($B115,Seqs!$A:$B,2,FALSE),AS115,1),"")</f>
        <v>D</v>
      </c>
      <c r="AS115" s="3">
        <v>288</v>
      </c>
      <c r="AT115" s="3" t="str">
        <f>IFERROR(MID(VLOOKUP($B115,Seqs!$A:$B,2,FALSE),AU115,1),"")</f>
        <v>T</v>
      </c>
      <c r="AU115" s="3">
        <v>314</v>
      </c>
      <c r="AV115" s="3" t="str">
        <f>IFERROR(MID(VLOOKUP($B115,Seqs!$A:$B,2,FALSE),AW115,1),"")</f>
        <v>N</v>
      </c>
      <c r="AW115" s="3">
        <v>315</v>
      </c>
      <c r="AX115" s="3" t="str">
        <f>IFERROR(MID(VLOOKUP($B115,Seqs!$A:$B,2,FALSE),AY115,1),"")</f>
        <v>S</v>
      </c>
      <c r="AY115" s="3">
        <v>327</v>
      </c>
      <c r="AZ115" s="83" t="str">
        <f>VLOOKUP(B115,Classification!A:D,2,FALSE)</f>
        <v>A</v>
      </c>
      <c r="BB115" s="82">
        <f>S115-Q115+1</f>
        <v>7</v>
      </c>
      <c r="BC115" s="57">
        <f t="shared" si="120"/>
        <v>256</v>
      </c>
      <c r="BD115" s="63" t="b">
        <f t="shared" si="121"/>
        <v>1</v>
      </c>
      <c r="BE115" s="68" t="s">
        <v>1514</v>
      </c>
      <c r="BF115" s="75" t="s">
        <v>1514</v>
      </c>
      <c r="BG115" s="75" t="s">
        <v>1514</v>
      </c>
      <c r="BH115" s="75" t="s">
        <v>1514</v>
      </c>
      <c r="BI115" s="75" t="s">
        <v>1514</v>
      </c>
      <c r="BJ115" s="75" t="s">
        <v>1514</v>
      </c>
      <c r="BK115" s="75" t="s">
        <v>1514</v>
      </c>
      <c r="BL115" s="75" t="s">
        <v>1514</v>
      </c>
      <c r="BM115" s="75" t="s">
        <v>1514</v>
      </c>
      <c r="BN115" s="75" t="s">
        <v>1514</v>
      </c>
      <c r="BO115" s="75" t="s">
        <v>1514</v>
      </c>
      <c r="BP115" s="75" t="s">
        <v>1514</v>
      </c>
      <c r="BQ115" s="68">
        <f t="shared" si="122"/>
        <v>42</v>
      </c>
      <c r="BR115" s="69">
        <f t="shared" si="123"/>
        <v>74</v>
      </c>
      <c r="BS115" s="70">
        <f t="shared" si="124"/>
        <v>78</v>
      </c>
      <c r="BT115" s="69">
        <f t="shared" si="125"/>
        <v>106</v>
      </c>
      <c r="BU115" s="70">
        <f t="shared" si="126"/>
        <v>113</v>
      </c>
      <c r="BV115" s="69">
        <f t="shared" si="127"/>
        <v>149</v>
      </c>
      <c r="BW115" s="70">
        <f t="shared" si="128"/>
        <v>157</v>
      </c>
      <c r="BX115" s="69" t="str">
        <f t="shared" si="129"/>
        <v>-</v>
      </c>
      <c r="BY115" s="70">
        <f t="shared" si="130"/>
        <v>199</v>
      </c>
      <c r="BZ115" s="69">
        <f t="shared" si="131"/>
        <v>245</v>
      </c>
      <c r="CA115" s="70">
        <f t="shared" si="132"/>
        <v>288</v>
      </c>
      <c r="CB115" s="69">
        <f t="shared" si="133"/>
        <v>315</v>
      </c>
      <c r="CC115" s="68">
        <f t="shared" si="134"/>
        <v>73</v>
      </c>
      <c r="CD115" s="69">
        <f t="shared" si="135"/>
        <v>77</v>
      </c>
      <c r="CE115" s="70">
        <f t="shared" si="136"/>
        <v>104</v>
      </c>
      <c r="CF115" s="70">
        <f t="shared" si="137"/>
        <v>112</v>
      </c>
      <c r="CG115" s="70">
        <f t="shared" si="138"/>
        <v>148</v>
      </c>
      <c r="CH115" s="70">
        <f t="shared" si="139"/>
        <v>156</v>
      </c>
      <c r="CI115" s="70">
        <f t="shared" si="140"/>
        <v>181</v>
      </c>
      <c r="CJ115" s="70" t="str">
        <f t="shared" si="141"/>
        <v>-</v>
      </c>
      <c r="CK115" s="70">
        <f t="shared" si="142"/>
        <v>236</v>
      </c>
      <c r="CL115" s="70">
        <f t="shared" si="143"/>
        <v>282</v>
      </c>
      <c r="CM115" s="70">
        <f t="shared" si="144"/>
        <v>314</v>
      </c>
      <c r="CN115" s="70">
        <f t="shared" si="145"/>
        <v>327</v>
      </c>
      <c r="CO115" s="57">
        <f t="shared" si="118"/>
        <v>1</v>
      </c>
    </row>
    <row r="116" spans="1:93" x14ac:dyDescent="0.2">
      <c r="A116" s="3" t="str">
        <f t="shared" si="119"/>
        <v>s1pr1_human_3V2Y</v>
      </c>
      <c r="B116" s="3" t="s">
        <v>298</v>
      </c>
      <c r="C116" s="3" t="s">
        <v>286</v>
      </c>
      <c r="D116" s="3" t="str">
        <f>IFERROR(MID(VLOOKUP($B116,Seqs!$A:$B,2,FALSE),E116,1),"")</f>
        <v>E</v>
      </c>
      <c r="E116" s="3">
        <v>42</v>
      </c>
      <c r="F116" s="3" t="str">
        <f>IFERROR(MID(VLOOKUP($B116,Seqs!$A:$B,2,FALSE),G116,1),"")</f>
        <v>T</v>
      </c>
      <c r="G116" s="3">
        <v>73</v>
      </c>
      <c r="H116" s="3" t="str">
        <f>IFERROR(MID(VLOOKUP($B116,Seqs!$A:$B,2,FALSE),I116,1),"")</f>
        <v>K</v>
      </c>
      <c r="I116" s="57">
        <v>74</v>
      </c>
      <c r="J116" s="3" t="str">
        <f>IFERROR(MID(VLOOKUP($B116,Seqs!$A:$B,2,FALSE),K116,1),"")</f>
        <v>H</v>
      </c>
      <c r="K116" s="57">
        <v>77</v>
      </c>
      <c r="L116" s="3" t="str">
        <f>IFERROR(MID(VLOOKUP($B116,Seqs!$A:$B,2,FALSE),M116,1),"")</f>
        <v>R</v>
      </c>
      <c r="M116" s="3">
        <v>78</v>
      </c>
      <c r="N116" s="3" t="str">
        <f>IFERROR(MID(VLOOKUP($B116,Seqs!$A:$B,2,FALSE),O116,1),"")</f>
        <v>L</v>
      </c>
      <c r="O116" s="3">
        <v>104</v>
      </c>
      <c r="P116" s="3" t="str">
        <f>IFERROR(MID(VLOOKUP($B116,Seqs!$A:$B,2,FALSE),Q116,1),"")</f>
        <v>G</v>
      </c>
      <c r="Q116" s="3">
        <v>106</v>
      </c>
      <c r="R116" s="3" t="str">
        <f>IFERROR(MID(VLOOKUP($B116,Seqs!$A:$B,2,FALSE),S116,1),"")</f>
        <v>L</v>
      </c>
      <c r="S116" s="3">
        <v>112</v>
      </c>
      <c r="T116" s="3" t="str">
        <f>IFERROR(MID(VLOOKUP($B116,Seqs!$A:$B,2,FALSE),U116,1),"")</f>
        <v>T</v>
      </c>
      <c r="U116" s="3">
        <v>113</v>
      </c>
      <c r="V116" s="3" t="str">
        <f>IFERROR(MID(VLOOKUP($B116,Seqs!$A:$B,2,FALSE),W116,1),"")</f>
        <v>L</v>
      </c>
      <c r="W116" s="3">
        <v>147</v>
      </c>
      <c r="X116" s="3" t="str">
        <f>IFERROR(MID(VLOOKUP($B116,Seqs!$A:$B,2,FALSE),Y116,1),"")</f>
        <v/>
      </c>
      <c r="Y116" s="3" t="s">
        <v>129</v>
      </c>
      <c r="Z116" s="3" t="str">
        <f>IFERROR(MID(VLOOKUP($B116,Seqs!$A:$B,2,FALSE),AA116,1),"")</f>
        <v/>
      </c>
      <c r="AA116" s="3" t="s">
        <v>129</v>
      </c>
      <c r="AB116" s="3" t="str">
        <f>IFERROR(MID(VLOOKUP($B116,Seqs!$A:$B,2,FALSE),AC116,1),"")</f>
        <v>N</v>
      </c>
      <c r="AC116" s="3">
        <v>157</v>
      </c>
      <c r="AD116" s="3" t="str">
        <f>IFERROR(MID(VLOOKUP($B116,Seqs!$A:$B,2,FALSE),AE116,1),"")</f>
        <v>G</v>
      </c>
      <c r="AE116" s="3">
        <v>181</v>
      </c>
      <c r="AF116" s="3" t="str">
        <f>IFERROR(MID(VLOOKUP($B116,Seqs!$A:$B,2,FALSE),AG116,1),"")</f>
        <v/>
      </c>
      <c r="AG116" s="3" t="s">
        <v>129</v>
      </c>
      <c r="AH116" s="3" t="str">
        <f>IFERROR(MID(VLOOKUP($B116,Seqs!$A:$B,2,FALSE),AI116,1),"")</f>
        <v/>
      </c>
      <c r="AI116" s="3" t="s">
        <v>129</v>
      </c>
      <c r="AJ116" s="3" t="str">
        <f>IFERROR(MID(VLOOKUP($B116,Seqs!$A:$B,2,FALSE),AK116,1),"")</f>
        <v>H</v>
      </c>
      <c r="AK116" s="3">
        <v>199</v>
      </c>
      <c r="AL116" s="3" t="str">
        <f>IFERROR(MID(VLOOKUP($B116,Seqs!$A:$B,2,FALSE),AM116,1),"")</f>
        <v>R</v>
      </c>
      <c r="AM116" s="3">
        <v>231</v>
      </c>
      <c r="AN116" s="3" t="str">
        <f>IFERROR(MID(VLOOKUP($B116,Seqs!$A:$B,2,FALSE),AO116,1),"")</f>
        <v>S</v>
      </c>
      <c r="AO116" s="3">
        <v>251</v>
      </c>
      <c r="AP116" s="3" t="str">
        <f>IFERROR(MID(VLOOKUP($B116,Seqs!$A:$B,2,FALSE),AQ116,1),"")</f>
        <v>C</v>
      </c>
      <c r="AQ116" s="3">
        <v>282</v>
      </c>
      <c r="AR116" s="3" t="str">
        <f>IFERROR(MID(VLOOKUP($B116,Seqs!$A:$B,2,FALSE),AS116,1),"")</f>
        <v>D</v>
      </c>
      <c r="AS116" s="3">
        <v>288</v>
      </c>
      <c r="AT116" s="3" t="str">
        <f>IFERROR(MID(VLOOKUP($B116,Seqs!$A:$B,2,FALSE),AU116,1),"")</f>
        <v>T</v>
      </c>
      <c r="AU116" s="3">
        <v>314</v>
      </c>
      <c r="AV116" s="3" t="str">
        <f>IFERROR(MID(VLOOKUP($B116,Seqs!$A:$B,2,FALSE),AW116,1),"")</f>
        <v>N</v>
      </c>
      <c r="AW116" s="3">
        <v>315</v>
      </c>
      <c r="AX116" s="3" t="str">
        <f>IFERROR(MID(VLOOKUP($B116,Seqs!$A:$B,2,FALSE),AY116,1),"")</f>
        <v>I</v>
      </c>
      <c r="AY116" s="3">
        <v>323</v>
      </c>
      <c r="AZ116" s="83" t="str">
        <f>VLOOKUP(B116,Classification!A:D,2,FALSE)</f>
        <v>A</v>
      </c>
      <c r="BC116" s="57">
        <f t="shared" si="120"/>
        <v>233</v>
      </c>
      <c r="BD116" s="63" t="b">
        <f t="shared" si="121"/>
        <v>1</v>
      </c>
      <c r="BE116" s="68" t="s">
        <v>1514</v>
      </c>
      <c r="BF116" s="75" t="s">
        <v>1514</v>
      </c>
      <c r="BG116" s="75" t="s">
        <v>1514</v>
      </c>
      <c r="BH116" s="75" t="s">
        <v>1514</v>
      </c>
      <c r="BI116" s="75" t="s">
        <v>1514</v>
      </c>
      <c r="BJ116" s="75" t="s">
        <v>1514</v>
      </c>
      <c r="BK116" s="75" t="s">
        <v>1514</v>
      </c>
      <c r="BL116" s="75" t="s">
        <v>1514</v>
      </c>
      <c r="BM116" s="75" t="s">
        <v>1514</v>
      </c>
      <c r="BN116" s="75" t="s">
        <v>1514</v>
      </c>
      <c r="BO116" s="75" t="s">
        <v>1514</v>
      </c>
      <c r="BP116" s="75" t="s">
        <v>1514</v>
      </c>
      <c r="BQ116" s="68">
        <f t="shared" si="122"/>
        <v>42</v>
      </c>
      <c r="BR116" s="69">
        <f t="shared" si="123"/>
        <v>74</v>
      </c>
      <c r="BS116" s="70">
        <f t="shared" si="124"/>
        <v>78</v>
      </c>
      <c r="BT116" s="69">
        <f t="shared" si="125"/>
        <v>106</v>
      </c>
      <c r="BU116" s="70">
        <f t="shared" si="126"/>
        <v>113</v>
      </c>
      <c r="BV116" s="69" t="str">
        <f t="shared" si="127"/>
        <v>-</v>
      </c>
      <c r="BW116" s="70">
        <f t="shared" si="128"/>
        <v>157</v>
      </c>
      <c r="BX116" s="69" t="str">
        <f t="shared" si="129"/>
        <v>-</v>
      </c>
      <c r="BY116" s="70">
        <f t="shared" si="130"/>
        <v>199</v>
      </c>
      <c r="BZ116" s="69">
        <f t="shared" si="131"/>
        <v>251</v>
      </c>
      <c r="CA116" s="70">
        <f t="shared" si="132"/>
        <v>288</v>
      </c>
      <c r="CB116" s="69">
        <f t="shared" si="133"/>
        <v>315</v>
      </c>
      <c r="CC116" s="68">
        <f t="shared" si="134"/>
        <v>73</v>
      </c>
      <c r="CD116" s="69">
        <f t="shared" si="135"/>
        <v>77</v>
      </c>
      <c r="CE116" s="70">
        <f t="shared" si="136"/>
        <v>104</v>
      </c>
      <c r="CF116" s="70">
        <f t="shared" si="137"/>
        <v>112</v>
      </c>
      <c r="CG116" s="70">
        <f t="shared" si="138"/>
        <v>147</v>
      </c>
      <c r="CH116" s="70" t="str">
        <f t="shared" si="139"/>
        <v>-</v>
      </c>
      <c r="CI116" s="70">
        <f t="shared" si="140"/>
        <v>181</v>
      </c>
      <c r="CJ116" s="70" t="str">
        <f t="shared" si="141"/>
        <v>-</v>
      </c>
      <c r="CK116" s="70">
        <f t="shared" si="142"/>
        <v>231</v>
      </c>
      <c r="CL116" s="70">
        <f t="shared" si="143"/>
        <v>282</v>
      </c>
      <c r="CM116" s="70">
        <f t="shared" si="144"/>
        <v>314</v>
      </c>
      <c r="CN116" s="70">
        <f t="shared" si="145"/>
        <v>323</v>
      </c>
      <c r="CO116" s="57">
        <f t="shared" si="118"/>
        <v>1</v>
      </c>
    </row>
    <row r="117" spans="1:93" x14ac:dyDescent="0.2">
      <c r="A117" s="3" t="str">
        <f t="shared" si="119"/>
        <v>us28_hcmva__wt</v>
      </c>
      <c r="B117" s="3" t="s">
        <v>1120</v>
      </c>
      <c r="C117" s="3" t="s">
        <v>294</v>
      </c>
      <c r="D117" s="3" t="str">
        <f>IFERROR(MID(VLOOKUP($B117,Seqs!$A:$B,2,FALSE),E117,1),"")</f>
        <v>T</v>
      </c>
      <c r="E117" s="3">
        <v>26</v>
      </c>
      <c r="F117" s="3" t="str">
        <f>IFERROR(MID(VLOOKUP($B117,Seqs!$A:$B,2,FALSE),G117,1),"")</f>
        <v>R</v>
      </c>
      <c r="G117" s="3">
        <v>61</v>
      </c>
      <c r="H117" s="3" t="str">
        <f>IFERROR(MID(VLOOKUP($B117,Seqs!$A:$B,2,FALSE),I117,1),"")</f>
        <v>R</v>
      </c>
      <c r="I117" s="57">
        <v>62</v>
      </c>
      <c r="J117" s="3" t="str">
        <f>IFERROR(MID(VLOOKUP($B117,Seqs!$A:$B,2,FALSE),K117,1),"")</f>
        <v>Q</v>
      </c>
      <c r="K117" s="57">
        <v>65</v>
      </c>
      <c r="L117" s="3" t="str">
        <f>IFERROR(MID(VLOOKUP($B117,Seqs!$A:$B,2,FALSE),M117,1),"")</f>
        <v>C</v>
      </c>
      <c r="M117" s="3">
        <v>66</v>
      </c>
      <c r="N117" s="3" t="str">
        <f>IFERROR(MID(VLOOKUP($B117,Seqs!$A:$B,2,FALSE),O117,1),"")</f>
        <v>D</v>
      </c>
      <c r="O117" s="3">
        <v>95</v>
      </c>
      <c r="P117" s="3" t="str">
        <f>IFERROR(MID(VLOOKUP($B117,Seqs!$A:$B,2,FALSE),Q117,1),"")</f>
        <v/>
      </c>
      <c r="Q117" s="3" t="s">
        <v>129</v>
      </c>
      <c r="R117" s="3" t="str">
        <f>IFERROR(MID(VLOOKUP($B117,Seqs!$A:$B,2,FALSE),S117,1),"")</f>
        <v/>
      </c>
      <c r="S117" s="3" t="s">
        <v>129</v>
      </c>
      <c r="T117" s="3" t="str">
        <f>IFERROR(MID(VLOOKUP($B117,Seqs!$A:$B,2,FALSE),U117,1),"")</f>
        <v>P</v>
      </c>
      <c r="U117" s="3">
        <v>103</v>
      </c>
      <c r="V117" s="3" t="str">
        <f>IFERROR(MID(VLOOKUP($B117,Seqs!$A:$B,2,FALSE),W117,1),"")</f>
        <v>Y</v>
      </c>
      <c r="W117" s="3">
        <v>135</v>
      </c>
      <c r="X117" s="3" t="str">
        <f>IFERROR(MID(VLOOKUP($B117,Seqs!$A:$B,2,FALSE),Y117,1),"")</f>
        <v/>
      </c>
      <c r="Y117" s="3" t="s">
        <v>129</v>
      </c>
      <c r="Z117" s="3" t="str">
        <f>IFERROR(MID(VLOOKUP($B117,Seqs!$A:$B,2,FALSE),AA117,1),"")</f>
        <v/>
      </c>
      <c r="AA117" s="3" t="s">
        <v>129</v>
      </c>
      <c r="AB117" s="3" t="str">
        <f>IFERROR(MID(VLOOKUP($B117,Seqs!$A:$B,2,FALSE),AC117,1),"")</f>
        <v>V</v>
      </c>
      <c r="AC117" s="3">
        <v>141</v>
      </c>
      <c r="AD117" s="3" t="str">
        <f>IFERROR(MID(VLOOKUP($B117,Seqs!$A:$B,2,FALSE),AE117,1),"")</f>
        <v>V</v>
      </c>
      <c r="AE117" s="3">
        <v>165</v>
      </c>
      <c r="AF117" s="3" t="str">
        <f>IFERROR(MID(VLOOKUP($B117,Seqs!$A:$B,2,FALSE),AG117,1),"")</f>
        <v>C</v>
      </c>
      <c r="AG117" s="3">
        <v>173</v>
      </c>
      <c r="AH117" s="3" t="str">
        <f>IFERROR(MID(VLOOKUP($B117,Seqs!$A:$B,2,FALSE),AI117,1),"")</f>
        <v>T</v>
      </c>
      <c r="AI117" s="3">
        <v>175</v>
      </c>
      <c r="AJ117" s="3" t="str">
        <f>IFERROR(MID(VLOOKUP($B117,Seqs!$A:$B,2,FALSE),AK117,1),"")</f>
        <v>V</v>
      </c>
      <c r="AK117" s="3">
        <v>182</v>
      </c>
      <c r="AL117" s="3" t="str">
        <f>IFERROR(MID(VLOOKUP($B117,Seqs!$A:$B,2,FALSE),AM117,1),"")</f>
        <v>S</v>
      </c>
      <c r="AM117" s="3">
        <v>218</v>
      </c>
      <c r="AN117" s="3" t="str">
        <f>IFERROR(MID(VLOOKUP($B117,Seqs!$A:$B,2,FALSE),AO117,1),"")</f>
        <v>H</v>
      </c>
      <c r="AO117" s="3">
        <v>222</v>
      </c>
      <c r="AP117" s="3" t="str">
        <f>IFERROR(MID(VLOOKUP($B117,Seqs!$A:$B,2,FALSE),AQ117,1),"")</f>
        <v>K</v>
      </c>
      <c r="AQ117" s="3">
        <v>257</v>
      </c>
      <c r="AR117" s="3" t="str">
        <f>IFERROR(MID(VLOOKUP($B117,Seqs!$A:$B,2,FALSE),AS117,1),"")</f>
        <v>S</v>
      </c>
      <c r="AS117" s="3">
        <v>262</v>
      </c>
      <c r="AT117" s="3" t="str">
        <f>IFERROR(MID(VLOOKUP($B117,Seqs!$A:$B,2,FALSE),AU117,1),"")</f>
        <v>V</v>
      </c>
      <c r="AU117" s="3">
        <v>294</v>
      </c>
      <c r="AV117" s="3" t="str">
        <f>IFERROR(MID(VLOOKUP($B117,Seqs!$A:$B,2,FALSE),AW117,1),"")</f>
        <v>G</v>
      </c>
      <c r="AW117" s="3">
        <v>295</v>
      </c>
      <c r="AX117" s="3" t="str">
        <f>IFERROR(MID(VLOOKUP($B117,Seqs!$A:$B,2,FALSE),AY117,1),"")</f>
        <v>R</v>
      </c>
      <c r="AY117" s="3">
        <v>310</v>
      </c>
      <c r="AZ117" s="83" t="str">
        <f>VLOOKUP(B117,Classification!A:D,2,FALSE)</f>
        <v>A</v>
      </c>
      <c r="BB117" s="82" t="e">
        <f>S117-Q117+1</f>
        <v>#VALUE!</v>
      </c>
      <c r="BC117" s="57">
        <f t="shared" si="120"/>
        <v>255</v>
      </c>
      <c r="BD117" s="63" t="b">
        <f t="shared" si="121"/>
        <v>1</v>
      </c>
      <c r="BE117" s="68" t="s">
        <v>1514</v>
      </c>
      <c r="BF117" s="75" t="s">
        <v>1514</v>
      </c>
      <c r="BG117" s="75" t="s">
        <v>1514</v>
      </c>
      <c r="BH117" s="75" t="s">
        <v>1514</v>
      </c>
      <c r="BI117" s="75" t="s">
        <v>1514</v>
      </c>
      <c r="BJ117" s="75" t="s">
        <v>1514</v>
      </c>
      <c r="BK117" s="75" t="s">
        <v>1514</v>
      </c>
      <c r="BL117" s="75" t="s">
        <v>1514</v>
      </c>
      <c r="BM117" s="75" t="s">
        <v>1514</v>
      </c>
      <c r="BN117" s="75" t="s">
        <v>1514</v>
      </c>
      <c r="BO117" s="75" t="s">
        <v>1514</v>
      </c>
      <c r="BP117" s="75" t="s">
        <v>1514</v>
      </c>
      <c r="BQ117" s="68">
        <f t="shared" si="122"/>
        <v>26</v>
      </c>
      <c r="BR117" s="69">
        <f t="shared" si="123"/>
        <v>62</v>
      </c>
      <c r="BS117" s="70">
        <f t="shared" si="124"/>
        <v>66</v>
      </c>
      <c r="BT117" s="69" t="str">
        <f t="shared" si="125"/>
        <v>-</v>
      </c>
      <c r="BU117" s="70">
        <f t="shared" si="126"/>
        <v>103</v>
      </c>
      <c r="BV117" s="69" t="str">
        <f t="shared" si="127"/>
        <v>-</v>
      </c>
      <c r="BW117" s="70">
        <f t="shared" si="128"/>
        <v>141</v>
      </c>
      <c r="BX117" s="69">
        <f t="shared" si="129"/>
        <v>173</v>
      </c>
      <c r="BY117" s="70">
        <f t="shared" si="130"/>
        <v>182</v>
      </c>
      <c r="BZ117" s="69">
        <f t="shared" si="131"/>
        <v>222</v>
      </c>
      <c r="CA117" s="70">
        <f t="shared" si="132"/>
        <v>262</v>
      </c>
      <c r="CB117" s="69">
        <f t="shared" si="133"/>
        <v>295</v>
      </c>
      <c r="CC117" s="68">
        <f t="shared" si="134"/>
        <v>61</v>
      </c>
      <c r="CD117" s="69">
        <f t="shared" si="135"/>
        <v>65</v>
      </c>
      <c r="CE117" s="70">
        <f t="shared" si="136"/>
        <v>95</v>
      </c>
      <c r="CF117" s="70" t="str">
        <f t="shared" si="137"/>
        <v>-</v>
      </c>
      <c r="CG117" s="70">
        <f t="shared" si="138"/>
        <v>135</v>
      </c>
      <c r="CH117" s="70" t="str">
        <f t="shared" si="139"/>
        <v>-</v>
      </c>
      <c r="CI117" s="70">
        <f t="shared" si="140"/>
        <v>165</v>
      </c>
      <c r="CJ117" s="70">
        <f t="shared" si="141"/>
        <v>175</v>
      </c>
      <c r="CK117" s="70">
        <f t="shared" si="142"/>
        <v>218</v>
      </c>
      <c r="CL117" s="70">
        <f t="shared" si="143"/>
        <v>257</v>
      </c>
      <c r="CM117" s="70">
        <f t="shared" si="144"/>
        <v>294</v>
      </c>
      <c r="CN117" s="70">
        <f t="shared" si="145"/>
        <v>310</v>
      </c>
      <c r="CO117" s="57">
        <f t="shared" si="118"/>
        <v>1</v>
      </c>
    </row>
    <row r="118" spans="1:93" x14ac:dyDescent="0.2">
      <c r="A118" s="3" t="str">
        <f t="shared" si="119"/>
        <v>us28_hcmva_4xT1</v>
      </c>
      <c r="B118" s="3" t="s">
        <v>1120</v>
      </c>
      <c r="C118" s="3" t="s">
        <v>287</v>
      </c>
      <c r="D118" s="3" t="str">
        <f>IFERROR(MID(VLOOKUP($B118,Seqs!$A:$B,2,FALSE),E118,1),"")</f>
        <v>T</v>
      </c>
      <c r="E118" s="3">
        <v>26</v>
      </c>
      <c r="F118" s="3" t="str">
        <f>IFERROR(MID(VLOOKUP($B118,Seqs!$A:$B,2,FALSE),G118,1),"")</f>
        <v>R</v>
      </c>
      <c r="G118" s="3">
        <v>61</v>
      </c>
      <c r="H118" s="3" t="str">
        <f>IFERROR(MID(VLOOKUP($B118,Seqs!$A:$B,2,FALSE),I118,1),"")</f>
        <v/>
      </c>
      <c r="I118" s="57" t="s">
        <v>129</v>
      </c>
      <c r="J118" s="3" t="str">
        <f>IFERROR(MID(VLOOKUP($B118,Seqs!$A:$B,2,FALSE),K118,1),"")</f>
        <v/>
      </c>
      <c r="K118" s="57" t="s">
        <v>129</v>
      </c>
      <c r="L118" s="3" t="str">
        <f>IFERROR(MID(VLOOKUP($B118,Seqs!$A:$B,2,FALSE),M118,1),"")</f>
        <v>C</v>
      </c>
      <c r="M118" s="3">
        <v>66</v>
      </c>
      <c r="N118" s="3" t="str">
        <f>IFERROR(MID(VLOOKUP($B118,Seqs!$A:$B,2,FALSE),O118,1),"")</f>
        <v>D</v>
      </c>
      <c r="O118" s="3">
        <v>95</v>
      </c>
      <c r="P118" s="3" t="str">
        <f>IFERROR(MID(VLOOKUP($B118,Seqs!$A:$B,2,FALSE),Q118,1),"")</f>
        <v/>
      </c>
      <c r="Q118" s="3" t="s">
        <v>129</v>
      </c>
      <c r="R118" s="3" t="str">
        <f>IFERROR(MID(VLOOKUP($B118,Seqs!$A:$B,2,FALSE),S118,1),"")</f>
        <v/>
      </c>
      <c r="S118" s="3" t="s">
        <v>129</v>
      </c>
      <c r="T118" s="3" t="str">
        <f>IFERROR(MID(VLOOKUP($B118,Seqs!$A:$B,2,FALSE),U118,1),"")</f>
        <v>P</v>
      </c>
      <c r="U118" s="3">
        <v>103</v>
      </c>
      <c r="V118" s="3" t="str">
        <f>IFERROR(MID(VLOOKUP($B118,Seqs!$A:$B,2,FALSE),W118,1),"")</f>
        <v>Y</v>
      </c>
      <c r="W118" s="3">
        <v>135</v>
      </c>
      <c r="X118" s="3" t="str">
        <f>IFERROR(MID(VLOOKUP($B118,Seqs!$A:$B,2,FALSE),Y118,1),"")</f>
        <v/>
      </c>
      <c r="Y118" s="3" t="s">
        <v>129</v>
      </c>
      <c r="Z118" s="3" t="str">
        <f>IFERROR(MID(VLOOKUP($B118,Seqs!$A:$B,2,FALSE),AA118,1),"")</f>
        <v/>
      </c>
      <c r="AA118" s="3" t="s">
        <v>129</v>
      </c>
      <c r="AB118" s="3" t="str">
        <f>IFERROR(MID(VLOOKUP($B118,Seqs!$A:$B,2,FALSE),AC118,1),"")</f>
        <v>V</v>
      </c>
      <c r="AC118" s="3">
        <v>141</v>
      </c>
      <c r="AD118" s="3" t="str">
        <f>IFERROR(MID(VLOOKUP($B118,Seqs!$A:$B,2,FALSE),AE118,1),"")</f>
        <v>V</v>
      </c>
      <c r="AE118" s="3">
        <v>165</v>
      </c>
      <c r="AF118" s="3" t="str">
        <f>IFERROR(MID(VLOOKUP($B118,Seqs!$A:$B,2,FALSE),AG118,1),"")</f>
        <v>C</v>
      </c>
      <c r="AG118" s="3">
        <v>173</v>
      </c>
      <c r="AH118" s="3" t="str">
        <f>IFERROR(MID(VLOOKUP($B118,Seqs!$A:$B,2,FALSE),AI118,1),"")</f>
        <v>T</v>
      </c>
      <c r="AI118" s="3">
        <v>175</v>
      </c>
      <c r="AJ118" s="3" t="str">
        <f>IFERROR(MID(VLOOKUP($B118,Seqs!$A:$B,2,FALSE),AK118,1),"")</f>
        <v>V</v>
      </c>
      <c r="AK118" s="3">
        <v>182</v>
      </c>
      <c r="AL118" s="3" t="str">
        <f>IFERROR(MID(VLOOKUP($B118,Seqs!$A:$B,2,FALSE),AM118,1),"")</f>
        <v>S</v>
      </c>
      <c r="AM118" s="3">
        <v>218</v>
      </c>
      <c r="AN118" s="3" t="str">
        <f>IFERROR(MID(VLOOKUP($B118,Seqs!$A:$B,2,FALSE),AO118,1),"")</f>
        <v>H</v>
      </c>
      <c r="AO118" s="3">
        <v>222</v>
      </c>
      <c r="AP118" s="3" t="str">
        <f>IFERROR(MID(VLOOKUP($B118,Seqs!$A:$B,2,FALSE),AQ118,1),"")</f>
        <v>K</v>
      </c>
      <c r="AQ118" s="3">
        <v>257</v>
      </c>
      <c r="AR118" s="3" t="str">
        <f>IFERROR(MID(VLOOKUP($B118,Seqs!$A:$B,2,FALSE),AS118,1),"")</f>
        <v>C</v>
      </c>
      <c r="AS118" s="3">
        <v>263</v>
      </c>
      <c r="AT118" s="3" t="str">
        <f>IFERROR(MID(VLOOKUP($B118,Seqs!$A:$B,2,FALSE),AU118,1),"")</f>
        <v>V</v>
      </c>
      <c r="AU118" s="3">
        <v>294</v>
      </c>
      <c r="AV118" s="3" t="str">
        <f>IFERROR(MID(VLOOKUP($B118,Seqs!$A:$B,2,FALSE),AW118,1),"")</f>
        <v>G</v>
      </c>
      <c r="AW118" s="3">
        <v>295</v>
      </c>
      <c r="AX118" s="3" t="str">
        <f>IFERROR(MID(VLOOKUP($B118,Seqs!$A:$B,2,FALSE),AY118,1),"")</f>
        <v>R</v>
      </c>
      <c r="AY118" s="3">
        <v>310</v>
      </c>
      <c r="AZ118" s="83" t="str">
        <f>VLOOKUP(B118,Classification!A:D,2,FALSE)</f>
        <v>A</v>
      </c>
      <c r="BC118" s="57">
        <f t="shared" si="120"/>
        <v>251</v>
      </c>
      <c r="BD118" s="63" t="b">
        <f t="shared" si="121"/>
        <v>1</v>
      </c>
      <c r="BE118" s="68" t="s">
        <v>1514</v>
      </c>
      <c r="BF118" s="75" t="s">
        <v>1514</v>
      </c>
      <c r="BG118" s="75" t="s">
        <v>1514</v>
      </c>
      <c r="BH118" s="75" t="s">
        <v>1514</v>
      </c>
      <c r="BI118" s="75" t="s">
        <v>1514</v>
      </c>
      <c r="BJ118" s="75" t="s">
        <v>1514</v>
      </c>
      <c r="BK118" s="75" t="s">
        <v>1514</v>
      </c>
      <c r="BL118" s="75" t="s">
        <v>1514</v>
      </c>
      <c r="BM118" s="75" t="s">
        <v>1514</v>
      </c>
      <c r="BN118" s="75" t="s">
        <v>1514</v>
      </c>
      <c r="BO118" s="75" t="s">
        <v>1514</v>
      </c>
      <c r="BP118" s="75" t="s">
        <v>1514</v>
      </c>
      <c r="BQ118" s="68">
        <f t="shared" si="122"/>
        <v>26</v>
      </c>
      <c r="BR118" s="69" t="str">
        <f t="shared" si="123"/>
        <v>-</v>
      </c>
      <c r="BS118" s="70">
        <f t="shared" si="124"/>
        <v>66</v>
      </c>
      <c r="BT118" s="69" t="str">
        <f t="shared" si="125"/>
        <v>-</v>
      </c>
      <c r="BU118" s="70">
        <f t="shared" si="126"/>
        <v>103</v>
      </c>
      <c r="BV118" s="69" t="str">
        <f t="shared" si="127"/>
        <v>-</v>
      </c>
      <c r="BW118" s="70">
        <f t="shared" si="128"/>
        <v>141</v>
      </c>
      <c r="BX118" s="69">
        <f t="shared" si="129"/>
        <v>173</v>
      </c>
      <c r="BY118" s="70">
        <f t="shared" si="130"/>
        <v>182</v>
      </c>
      <c r="BZ118" s="69">
        <f t="shared" si="131"/>
        <v>222</v>
      </c>
      <c r="CA118" s="70">
        <f t="shared" si="132"/>
        <v>263</v>
      </c>
      <c r="CB118" s="69">
        <f t="shared" si="133"/>
        <v>295</v>
      </c>
      <c r="CC118" s="68">
        <f t="shared" si="134"/>
        <v>61</v>
      </c>
      <c r="CD118" s="69" t="str">
        <f t="shared" si="135"/>
        <v>-</v>
      </c>
      <c r="CE118" s="70">
        <f t="shared" si="136"/>
        <v>95</v>
      </c>
      <c r="CF118" s="70" t="str">
        <f t="shared" si="137"/>
        <v>-</v>
      </c>
      <c r="CG118" s="70">
        <f t="shared" si="138"/>
        <v>135</v>
      </c>
      <c r="CH118" s="70" t="str">
        <f t="shared" si="139"/>
        <v>-</v>
      </c>
      <c r="CI118" s="70">
        <f t="shared" si="140"/>
        <v>165</v>
      </c>
      <c r="CJ118" s="70">
        <f t="shared" si="141"/>
        <v>175</v>
      </c>
      <c r="CK118" s="70">
        <f t="shared" si="142"/>
        <v>218</v>
      </c>
      <c r="CL118" s="70">
        <f t="shared" si="143"/>
        <v>257</v>
      </c>
      <c r="CM118" s="70">
        <f t="shared" si="144"/>
        <v>294</v>
      </c>
      <c r="CN118" s="70">
        <f t="shared" si="145"/>
        <v>310</v>
      </c>
      <c r="CO118" s="57" t="e">
        <f t="shared" si="118"/>
        <v>#VALUE!</v>
      </c>
    </row>
    <row r="119" spans="1:93" x14ac:dyDescent="0.2">
      <c r="A119" s="3" t="str">
        <f t="shared" si="119"/>
        <v>crfr1_human__wt</v>
      </c>
      <c r="B119" s="3" t="s">
        <v>213</v>
      </c>
      <c r="C119" s="3" t="s">
        <v>294</v>
      </c>
      <c r="D119" s="3" t="str">
        <f>IFERROR(MID(VLOOKUP($B119,Seqs!$A:$B,2,FALSE),E119,1),"")</f>
        <v>Q</v>
      </c>
      <c r="E119" s="3">
        <v>103</v>
      </c>
      <c r="F119" s="3" t="str">
        <f>IFERROR(MID(VLOOKUP($B119,Seqs!$A:$B,2,FALSE),G119,1),"")</f>
        <v>L</v>
      </c>
      <c r="G119" s="3">
        <v>144</v>
      </c>
      <c r="H119" s="3" t="str">
        <f>IFERROR(MID(VLOOKUP($B119,Seqs!$A:$B,2,FALSE),I119,1),"")</f>
        <v>R</v>
      </c>
      <c r="I119" s="57">
        <v>145</v>
      </c>
      <c r="J119" s="3" t="str">
        <f>IFERROR(MID(VLOOKUP($B119,Seqs!$A:$B,2,FALSE),K119,1),"")</f>
        <v>R</v>
      </c>
      <c r="K119" s="57">
        <v>148</v>
      </c>
      <c r="L119" s="3" t="str">
        <f>IFERROR(MID(VLOOKUP($B119,Seqs!$A:$B,2,FALSE),M119,1),"")</f>
        <v>C</v>
      </c>
      <c r="M119" s="57">
        <v>149</v>
      </c>
      <c r="N119" s="3" t="str">
        <f>IFERROR(MID(VLOOKUP($B119,Seqs!$A:$B,2,FALSE),O119,1),"")</f>
        <v>T</v>
      </c>
      <c r="O119" s="3">
        <v>175</v>
      </c>
      <c r="P119" s="3" t="str">
        <f>IFERROR(MID(VLOOKUP($B119,Seqs!$A:$B,2,FALSE),Q119,1),"")</f>
        <v/>
      </c>
      <c r="Q119" s="3" t="s">
        <v>129</v>
      </c>
      <c r="R119" s="3" t="str">
        <f>IFERROR(MID(VLOOKUP($B119,Seqs!$A:$B,2,FALSE),S119,1),"")</f>
        <v/>
      </c>
      <c r="S119" s="3" t="s">
        <v>129</v>
      </c>
      <c r="T119" s="3" t="str">
        <f>IFERROR(MID(VLOOKUP($B119,Seqs!$A:$B,2,FALSE),U119,1),"")</f>
        <v>G</v>
      </c>
      <c r="U119" s="3">
        <v>186</v>
      </c>
      <c r="V119" s="3" t="str">
        <f>IFERROR(MID(VLOOKUP($B119,Seqs!$A:$B,2,FALSE),W119,1),"")</f>
        <v>L</v>
      </c>
      <c r="W119" s="3">
        <v>219</v>
      </c>
      <c r="X119" s="3" t="str">
        <f>IFERROR(MID(VLOOKUP($B119,Seqs!$A:$B,2,FALSE),Y119,1),"")</f>
        <v/>
      </c>
      <c r="Y119" s="3" t="s">
        <v>129</v>
      </c>
      <c r="Z119" s="3" t="str">
        <f>IFERROR(MID(VLOOKUP($B119,Seqs!$A:$B,2,FALSE),AA119,1),"")</f>
        <v/>
      </c>
      <c r="AA119" s="3" t="s">
        <v>129</v>
      </c>
      <c r="AB119" s="3" t="str">
        <f>IFERROR(MID(VLOOKUP($B119,Seqs!$A:$B,2,FALSE),AC119,1),"")</f>
        <v>L</v>
      </c>
      <c r="AC119" s="3">
        <v>226</v>
      </c>
      <c r="AD119" s="3" t="str">
        <f>IFERROR(MID(VLOOKUP($B119,Seqs!$A:$B,2,FALSE),AE119,1),"")</f>
        <v>D</v>
      </c>
      <c r="AE119" s="3">
        <v>254</v>
      </c>
      <c r="AF119" s="3" t="str">
        <f>IFERROR(MID(VLOOKUP($B119,Seqs!$A:$B,2,FALSE),AG119,1),"")</f>
        <v>C</v>
      </c>
      <c r="AG119" s="3">
        <v>258</v>
      </c>
      <c r="AH119" s="3" t="str">
        <f>IFERROR(MID(VLOOKUP($B119,Seqs!$A:$B,2,FALSE),AI119,1),"")</f>
        <v>F</v>
      </c>
      <c r="AI119" s="3">
        <v>260</v>
      </c>
      <c r="AJ119" s="3" t="str">
        <f>IFERROR(MID(VLOOKUP($B119,Seqs!$A:$B,2,FALSE),AK119,1),"")</f>
        <v>T</v>
      </c>
      <c r="AK119" s="3">
        <v>268</v>
      </c>
      <c r="AL119" s="3" t="str">
        <f>IFERROR(MID(VLOOKUP($B119,Seqs!$A:$B,2,FALSE),AM119,1),"")</f>
        <v>L</v>
      </c>
      <c r="AM119" s="3">
        <v>298</v>
      </c>
      <c r="AN119" s="3" t="str">
        <f>IFERROR(MID(VLOOKUP($B119,Seqs!$A:$B,2,FALSE),AO119,1),"")</f>
        <v>S</v>
      </c>
      <c r="AO119" s="3">
        <v>304</v>
      </c>
      <c r="AP119" s="3" t="str">
        <f>IFERROR(MID(VLOOKUP($B119,Seqs!$A:$B,2,FALSE),AQ119,1),"")</f>
        <v>V</v>
      </c>
      <c r="AQ119" s="3">
        <v>332</v>
      </c>
      <c r="AR119" s="3" t="str">
        <f>IFERROR(MID(VLOOKUP($B119,Seqs!$A:$B,2,FALSE),AS119,1),"")</f>
        <v>V</v>
      </c>
      <c r="AS119" s="3">
        <v>339</v>
      </c>
      <c r="AT119" s="3" t="str">
        <f>IFERROR(MID(VLOOKUP($B119,Seqs!$A:$B,2,FALSE),AU119,1),"")</f>
        <v>L</v>
      </c>
      <c r="AU119" s="3">
        <v>366</v>
      </c>
      <c r="AV119" s="3" t="str">
        <f>IFERROR(MID(VLOOKUP($B119,Seqs!$A:$B,2,FALSE),AW119,1),"")</f>
        <v>N</v>
      </c>
      <c r="AW119" s="3">
        <v>367</v>
      </c>
      <c r="AX119" s="3" t="str">
        <f>IFERROR(MID(VLOOKUP($B119,Seqs!$A:$B,2,FALSE),AY119,1),"")</f>
        <v>A</v>
      </c>
      <c r="AY119" s="3">
        <v>392</v>
      </c>
      <c r="AZ119" s="83" t="str">
        <f>VLOOKUP(B119,Classification!A:D,2,FALSE)</f>
        <v>B1</v>
      </c>
      <c r="BB119" s="82" t="e">
        <f>S119-Q119+1</f>
        <v>#VALUE!</v>
      </c>
      <c r="BC119" s="57">
        <f t="shared" si="120"/>
        <v>255</v>
      </c>
      <c r="BD119" s="63" t="b">
        <f t="shared" si="121"/>
        <v>1</v>
      </c>
      <c r="BE119" s="68" t="s">
        <v>1514</v>
      </c>
      <c r="BF119" s="75" t="s">
        <v>1514</v>
      </c>
      <c r="BG119" s="75" t="s">
        <v>1514</v>
      </c>
      <c r="BH119" s="75" t="s">
        <v>1514</v>
      </c>
      <c r="BI119" s="75" t="s">
        <v>1514</v>
      </c>
      <c r="BJ119" s="75" t="s">
        <v>1514</v>
      </c>
      <c r="BK119" s="75" t="s">
        <v>1514</v>
      </c>
      <c r="BL119" s="75" t="s">
        <v>1514</v>
      </c>
      <c r="BM119" s="75" t="s">
        <v>1514</v>
      </c>
      <c r="BN119" s="75" t="s">
        <v>1514</v>
      </c>
      <c r="BO119" s="75" t="s">
        <v>1514</v>
      </c>
      <c r="BP119" s="75" t="s">
        <v>1514</v>
      </c>
      <c r="BQ119" s="68">
        <f t="shared" si="122"/>
        <v>103</v>
      </c>
      <c r="BR119" s="69">
        <f t="shared" si="123"/>
        <v>145</v>
      </c>
      <c r="BS119" s="70">
        <f t="shared" si="124"/>
        <v>149</v>
      </c>
      <c r="BT119" s="69" t="str">
        <f t="shared" si="125"/>
        <v>-</v>
      </c>
      <c r="BU119" s="70">
        <f t="shared" si="126"/>
        <v>186</v>
      </c>
      <c r="BV119" s="69" t="str">
        <f t="shared" si="127"/>
        <v>-</v>
      </c>
      <c r="BW119" s="70">
        <f t="shared" si="128"/>
        <v>226</v>
      </c>
      <c r="BX119" s="69">
        <f t="shared" si="129"/>
        <v>258</v>
      </c>
      <c r="BY119" s="70">
        <f t="shared" si="130"/>
        <v>268</v>
      </c>
      <c r="BZ119" s="69">
        <f t="shared" si="131"/>
        <v>304</v>
      </c>
      <c r="CA119" s="70">
        <f t="shared" si="132"/>
        <v>339</v>
      </c>
      <c r="CB119" s="69">
        <f t="shared" si="133"/>
        <v>367</v>
      </c>
      <c r="CC119" s="68">
        <f t="shared" si="134"/>
        <v>144</v>
      </c>
      <c r="CD119" s="69">
        <f t="shared" si="135"/>
        <v>148</v>
      </c>
      <c r="CE119" s="70">
        <f t="shared" si="136"/>
        <v>175</v>
      </c>
      <c r="CF119" s="70" t="str">
        <f t="shared" si="137"/>
        <v>-</v>
      </c>
      <c r="CG119" s="70">
        <f t="shared" si="138"/>
        <v>219</v>
      </c>
      <c r="CH119" s="70" t="str">
        <f t="shared" si="139"/>
        <v>-</v>
      </c>
      <c r="CI119" s="70">
        <f t="shared" si="140"/>
        <v>254</v>
      </c>
      <c r="CJ119" s="70">
        <f t="shared" si="141"/>
        <v>260</v>
      </c>
      <c r="CK119" s="70">
        <f t="shared" si="142"/>
        <v>298</v>
      </c>
      <c r="CL119" s="70">
        <f t="shared" si="143"/>
        <v>332</v>
      </c>
      <c r="CM119" s="70">
        <f t="shared" si="144"/>
        <v>366</v>
      </c>
      <c r="CN119" s="70">
        <f t="shared" si="145"/>
        <v>392</v>
      </c>
      <c r="CO119" s="57">
        <f t="shared" si="118"/>
        <v>1</v>
      </c>
    </row>
    <row r="120" spans="1:93" x14ac:dyDescent="0.2">
      <c r="A120" s="3" t="str">
        <f t="shared" si="119"/>
        <v>crfr1_human_4K5Y</v>
      </c>
      <c r="B120" s="3" t="s">
        <v>213</v>
      </c>
      <c r="C120" s="3" t="s">
        <v>288</v>
      </c>
      <c r="D120" s="3" t="str">
        <f>IFERROR(MID(VLOOKUP($B120,Seqs!$A:$B,2,FALSE),E120,1),"")</f>
        <v>H</v>
      </c>
      <c r="E120" s="3">
        <v>117</v>
      </c>
      <c r="F120" s="3" t="str">
        <f>IFERROR(MID(VLOOKUP($B120,Seqs!$A:$B,2,FALSE),G120,1),"")</f>
        <v>L</v>
      </c>
      <c r="G120" s="3">
        <v>144</v>
      </c>
      <c r="H120" s="3" t="str">
        <f>IFERROR(MID(VLOOKUP($B120,Seqs!$A:$B,2,FALSE),I120,1),"")</f>
        <v>R</v>
      </c>
      <c r="I120" s="57">
        <v>145</v>
      </c>
      <c r="J120" s="3" t="str">
        <f>IFERROR(MID(VLOOKUP($B120,Seqs!$A:$B,2,FALSE),K120,1),"")</f>
        <v>R</v>
      </c>
      <c r="K120" s="57">
        <v>148</v>
      </c>
      <c r="L120" s="3" t="str">
        <f>IFERROR(MID(VLOOKUP($B120,Seqs!$A:$B,2,FALSE),M120,1),"")</f>
        <v>C</v>
      </c>
      <c r="M120" s="57">
        <v>149</v>
      </c>
      <c r="N120" s="3" t="str">
        <f>IFERROR(MID(VLOOKUP($B120,Seqs!$A:$B,2,FALSE),O120,1),"")</f>
        <v>F</v>
      </c>
      <c r="O120" s="3">
        <v>204</v>
      </c>
      <c r="P120" s="3" t="str">
        <f>IFERROR(MID(VLOOKUP($B120,Seqs!$A:$B,2,FALSE),Q120,1),"")</f>
        <v/>
      </c>
      <c r="Q120" s="3" t="s">
        <v>129</v>
      </c>
      <c r="R120" s="3" t="str">
        <f>IFERROR(MID(VLOOKUP($B120,Seqs!$A:$B,2,FALSE),S120,1),"")</f>
        <v/>
      </c>
      <c r="S120" s="3" t="s">
        <v>129</v>
      </c>
      <c r="T120" s="3" t="str">
        <f>IFERROR(MID(VLOOKUP($B120,Seqs!$A:$B,2,FALSE),U120,1),"")</f>
        <v>G</v>
      </c>
      <c r="U120" s="3">
        <v>186</v>
      </c>
      <c r="V120" s="3" t="str">
        <f>IFERROR(MID(VLOOKUP($B120,Seqs!$A:$B,2,FALSE),W120,1),"")</f>
        <v>L</v>
      </c>
      <c r="W120" s="3">
        <v>219</v>
      </c>
      <c r="X120" s="3" t="str">
        <f>IFERROR(MID(VLOOKUP($B120,Seqs!$A:$B,2,FALSE),Y120,1),"")</f>
        <v/>
      </c>
      <c r="Y120" s="3" t="s">
        <v>129</v>
      </c>
      <c r="Z120" s="3" t="str">
        <f>IFERROR(MID(VLOOKUP($B120,Seqs!$A:$B,2,FALSE),AA120,1),"")</f>
        <v/>
      </c>
      <c r="AA120" s="3" t="s">
        <v>129</v>
      </c>
      <c r="AB120" s="3" t="str">
        <f>IFERROR(MID(VLOOKUP($B120,Seqs!$A:$B,2,FALSE),AC120,1),"")</f>
        <v>L</v>
      </c>
      <c r="AC120" s="3">
        <v>226</v>
      </c>
      <c r="AD120" s="3" t="str">
        <f>IFERROR(MID(VLOOKUP($B120,Seqs!$A:$B,2,FALSE),AE120,1),"")</f>
        <v>D</v>
      </c>
      <c r="AE120" s="3">
        <v>254</v>
      </c>
      <c r="AF120" s="3" t="str">
        <f>IFERROR(MID(VLOOKUP($B120,Seqs!$A:$B,2,FALSE),AG120,1),"")</f>
        <v>C</v>
      </c>
      <c r="AG120" s="3">
        <v>258</v>
      </c>
      <c r="AH120" s="3" t="str">
        <f>IFERROR(MID(VLOOKUP($B120,Seqs!$A:$B,2,FALSE),AI120,1),"")</f>
        <v>F</v>
      </c>
      <c r="AI120" s="3">
        <v>260</v>
      </c>
      <c r="AJ120" s="3" t="str">
        <f>IFERROR(MID(VLOOKUP($B120,Seqs!$A:$B,2,FALSE),AK120,1),"")</f>
        <v>T</v>
      </c>
      <c r="AK120" s="3">
        <v>268</v>
      </c>
      <c r="AL120" s="3" t="str">
        <f>IFERROR(MID(VLOOKUP($B120,Seqs!$A:$B,2,FALSE),AM120,1),"")</f>
        <v>L</v>
      </c>
      <c r="AM120" s="3">
        <v>298</v>
      </c>
      <c r="AN120" s="3" t="str">
        <f>IFERROR(MID(VLOOKUP($B120,Seqs!$A:$B,2,FALSE),AO120,1),"")</f>
        <v>S</v>
      </c>
      <c r="AO120" s="3">
        <v>304</v>
      </c>
      <c r="AP120" s="3" t="str">
        <f>IFERROR(MID(VLOOKUP($B120,Seqs!$A:$B,2,FALSE),AQ120,1),"")</f>
        <v>V</v>
      </c>
      <c r="AQ120" s="3">
        <v>332</v>
      </c>
      <c r="AR120" s="3" t="str">
        <f>IFERROR(MID(VLOOKUP($B120,Seqs!$A:$B,2,FALSE),AS120,1),"")</f>
        <v>V</v>
      </c>
      <c r="AS120" s="3">
        <v>339</v>
      </c>
      <c r="AT120" s="3" t="str">
        <f>IFERROR(MID(VLOOKUP($B120,Seqs!$A:$B,2,FALSE),AU120,1),"")</f>
        <v>F</v>
      </c>
      <c r="AU120" s="3">
        <v>362</v>
      </c>
      <c r="AV120" s="3" t="str">
        <f>IFERROR(MID(VLOOKUP($B120,Seqs!$A:$B,2,FALSE),AW120,1),"")</f>
        <v/>
      </c>
      <c r="AW120" s="3" t="s">
        <v>129</v>
      </c>
      <c r="AX120" s="3" t="str">
        <f>IFERROR(MID(VLOOKUP($B120,Seqs!$A:$B,2,FALSE),AY120,1),"")</f>
        <v/>
      </c>
      <c r="AY120" s="3" t="s">
        <v>129</v>
      </c>
      <c r="AZ120" s="83" t="str">
        <f>VLOOKUP(B120,Classification!A:D,2,FALSE)</f>
        <v>B1</v>
      </c>
      <c r="BC120" s="57">
        <f t="shared" si="120"/>
        <v>241</v>
      </c>
      <c r="BD120" s="63" t="b">
        <f t="shared" si="121"/>
        <v>1</v>
      </c>
      <c r="BE120" s="68" t="s">
        <v>1514</v>
      </c>
      <c r="BF120" s="75" t="s">
        <v>1514</v>
      </c>
      <c r="BG120" s="75" t="s">
        <v>1514</v>
      </c>
      <c r="BH120" s="75" t="s">
        <v>1514</v>
      </c>
      <c r="BI120" s="75" t="s">
        <v>1514</v>
      </c>
      <c r="BJ120" s="75" t="s">
        <v>1514</v>
      </c>
      <c r="BK120" s="75" t="s">
        <v>1514</v>
      </c>
      <c r="BL120" s="75" t="s">
        <v>1514</v>
      </c>
      <c r="BM120" s="75" t="s">
        <v>1514</v>
      </c>
      <c r="BN120" s="75" t="s">
        <v>1514</v>
      </c>
      <c r="BO120" s="75" t="s">
        <v>1514</v>
      </c>
      <c r="BP120" s="75" t="s">
        <v>1514</v>
      </c>
      <c r="BQ120" s="68">
        <f t="shared" si="122"/>
        <v>117</v>
      </c>
      <c r="BR120" s="69">
        <f t="shared" si="123"/>
        <v>145</v>
      </c>
      <c r="BS120" s="70">
        <f t="shared" si="124"/>
        <v>149</v>
      </c>
      <c r="BT120" s="69" t="str">
        <f t="shared" si="125"/>
        <v>-</v>
      </c>
      <c r="BU120" s="70">
        <f t="shared" si="126"/>
        <v>186</v>
      </c>
      <c r="BV120" s="69" t="str">
        <f t="shared" si="127"/>
        <v>-</v>
      </c>
      <c r="BW120" s="70">
        <f t="shared" si="128"/>
        <v>226</v>
      </c>
      <c r="BX120" s="69">
        <f t="shared" si="129"/>
        <v>258</v>
      </c>
      <c r="BY120" s="70">
        <f t="shared" si="130"/>
        <v>268</v>
      </c>
      <c r="BZ120" s="69">
        <f t="shared" si="131"/>
        <v>304</v>
      </c>
      <c r="CA120" s="70">
        <f t="shared" si="132"/>
        <v>339</v>
      </c>
      <c r="CB120" s="69" t="str">
        <f t="shared" si="133"/>
        <v>-</v>
      </c>
      <c r="CC120" s="68">
        <f t="shared" si="134"/>
        <v>144</v>
      </c>
      <c r="CD120" s="69">
        <f t="shared" si="135"/>
        <v>148</v>
      </c>
      <c r="CE120" s="70">
        <f t="shared" si="136"/>
        <v>204</v>
      </c>
      <c r="CF120" s="70" t="str">
        <f t="shared" si="137"/>
        <v>-</v>
      </c>
      <c r="CG120" s="70">
        <f t="shared" si="138"/>
        <v>219</v>
      </c>
      <c r="CH120" s="70" t="str">
        <f t="shared" si="139"/>
        <v>-</v>
      </c>
      <c r="CI120" s="70">
        <f t="shared" si="140"/>
        <v>254</v>
      </c>
      <c r="CJ120" s="70">
        <f t="shared" si="141"/>
        <v>260</v>
      </c>
      <c r="CK120" s="70">
        <f t="shared" si="142"/>
        <v>298</v>
      </c>
      <c r="CL120" s="70">
        <f t="shared" si="143"/>
        <v>332</v>
      </c>
      <c r="CM120" s="70">
        <f t="shared" si="144"/>
        <v>362</v>
      </c>
      <c r="CN120" s="70" t="str">
        <f t="shared" si="145"/>
        <v>-</v>
      </c>
      <c r="CO120" s="57">
        <f t="shared" si="118"/>
        <v>1</v>
      </c>
    </row>
    <row r="121" spans="1:93" x14ac:dyDescent="0.2">
      <c r="A121" s="3" t="str">
        <f t="shared" si="119"/>
        <v>crfr1_human_4K5Y_dist</v>
      </c>
      <c r="B121" s="3" t="s">
        <v>213</v>
      </c>
      <c r="C121" s="3" t="s">
        <v>1380</v>
      </c>
      <c r="D121" s="3" t="str">
        <f>IFERROR(MID(VLOOKUP($B121,Seqs!$A:$B,2,FALSE),E121,1),"")</f>
        <v>H</v>
      </c>
      <c r="E121" s="3">
        <v>117</v>
      </c>
      <c r="F121" s="3" t="str">
        <f>IFERROR(MID(VLOOKUP($B121,Seqs!$A:$B,2,FALSE),G121,1),"")</f>
        <v>L</v>
      </c>
      <c r="G121" s="3">
        <v>144</v>
      </c>
      <c r="H121" s="3" t="str">
        <f>IFERROR(MID(VLOOKUP($B121,Seqs!$A:$B,2,FALSE),I121,1),"")</f>
        <v>R</v>
      </c>
      <c r="I121" s="57">
        <v>145</v>
      </c>
      <c r="J121" s="3" t="str">
        <f>IFERROR(MID(VLOOKUP($B121,Seqs!$A:$B,2,FALSE),K121,1),"")</f>
        <v>R</v>
      </c>
      <c r="K121" s="57">
        <v>148</v>
      </c>
      <c r="L121" s="3" t="str">
        <f>IFERROR(MID(VLOOKUP($B121,Seqs!$A:$B,2,FALSE),M121,1),"")</f>
        <v>C</v>
      </c>
      <c r="M121" s="57">
        <v>149</v>
      </c>
      <c r="N121" s="3" t="str">
        <f>IFERROR(MID(VLOOKUP($B121,Seqs!$A:$B,2,FALSE),O121,1),"")</f>
        <v>F</v>
      </c>
      <c r="O121" s="3">
        <v>204</v>
      </c>
      <c r="P121" s="3" t="str">
        <f>IFERROR(MID(VLOOKUP($B121,Seqs!$A:$B,2,FALSE),Q121,1),"")</f>
        <v/>
      </c>
      <c r="Q121" s="3" t="s">
        <v>129</v>
      </c>
      <c r="R121" s="3" t="str">
        <f>IFERROR(MID(VLOOKUP($B121,Seqs!$A:$B,2,FALSE),S121,1),"")</f>
        <v/>
      </c>
      <c r="S121" s="3" t="s">
        <v>129</v>
      </c>
      <c r="T121" s="3" t="str">
        <f>IFERROR(MID(VLOOKUP($B121,Seqs!$A:$B,2,FALSE),U121,1),"")</f>
        <v>G</v>
      </c>
      <c r="U121" s="3">
        <v>186</v>
      </c>
      <c r="V121" s="3" t="str">
        <f>IFERROR(MID(VLOOKUP($B121,Seqs!$A:$B,2,FALSE),W121,1),"")</f>
        <v>L</v>
      </c>
      <c r="W121" s="3">
        <v>219</v>
      </c>
      <c r="X121" s="3" t="str">
        <f>IFERROR(MID(VLOOKUP($B121,Seqs!$A:$B,2,FALSE),Y121,1),"")</f>
        <v/>
      </c>
      <c r="Y121" s="3" t="s">
        <v>129</v>
      </c>
      <c r="Z121" s="3" t="str">
        <f>IFERROR(MID(VLOOKUP($B121,Seqs!$A:$B,2,FALSE),AA121,1),"")</f>
        <v/>
      </c>
      <c r="AA121" s="3" t="s">
        <v>129</v>
      </c>
      <c r="AB121" s="3" t="str">
        <f>IFERROR(MID(VLOOKUP($B121,Seqs!$A:$B,2,FALSE),AC121,1),"")</f>
        <v>L</v>
      </c>
      <c r="AC121" s="3">
        <v>226</v>
      </c>
      <c r="AD121" s="3" t="str">
        <f>IFERROR(MID(VLOOKUP($B121,Seqs!$A:$B,2,FALSE),AE121,1),"")</f>
        <v>D</v>
      </c>
      <c r="AE121" s="3">
        <v>254</v>
      </c>
      <c r="AF121" s="3" t="str">
        <f>IFERROR(MID(VLOOKUP($B121,Seqs!$A:$B,2,FALSE),AG121,1),"")</f>
        <v>C</v>
      </c>
      <c r="AG121" s="3">
        <v>258</v>
      </c>
      <c r="AH121" s="3" t="str">
        <f>IFERROR(MID(VLOOKUP($B121,Seqs!$A:$B,2,FALSE),AI121,1),"")</f>
        <v>F</v>
      </c>
      <c r="AI121" s="3">
        <v>260</v>
      </c>
      <c r="AJ121" s="3" t="str">
        <f>IFERROR(MID(VLOOKUP($B121,Seqs!$A:$B,2,FALSE),AK121,1),"")</f>
        <v>T</v>
      </c>
      <c r="AK121" s="3">
        <v>268</v>
      </c>
      <c r="AL121" s="3" t="str">
        <f>IFERROR(MID(VLOOKUP($B121,Seqs!$A:$B,2,FALSE),AM121,1),"")</f>
        <v>L</v>
      </c>
      <c r="AM121" s="3">
        <v>298</v>
      </c>
      <c r="AN121" s="3" t="str">
        <f>IFERROR(MID(VLOOKUP($B121,Seqs!$A:$B,2,FALSE),AO121,1),"")</f>
        <v>S</v>
      </c>
      <c r="AO121" s="3">
        <v>304</v>
      </c>
      <c r="AP121" s="3" t="str">
        <f>IFERROR(MID(VLOOKUP($B121,Seqs!$A:$B,2,FALSE),AQ121,1),"")</f>
        <v>V</v>
      </c>
      <c r="AQ121" s="3">
        <v>332</v>
      </c>
      <c r="AR121" s="3" t="str">
        <f>IFERROR(MID(VLOOKUP($B121,Seqs!$A:$B,2,FALSE),AS121,1),"")</f>
        <v>V</v>
      </c>
      <c r="AS121" s="3">
        <v>339</v>
      </c>
      <c r="AT121" s="3" t="str">
        <f>IFERROR(MID(VLOOKUP($B121,Seqs!$A:$B,2,FALSE),AU121,1),"")</f>
        <v>L</v>
      </c>
      <c r="AU121" s="3">
        <v>366</v>
      </c>
      <c r="AV121" s="3" t="str">
        <f>IFERROR(MID(VLOOKUP($B121,Seqs!$A:$B,2,FALSE),AW121,1),"")</f>
        <v/>
      </c>
      <c r="AW121" s="3" t="s">
        <v>129</v>
      </c>
      <c r="AX121" s="3" t="str">
        <f>IFERROR(MID(VLOOKUP($B121,Seqs!$A:$B,2,FALSE),AY121,1),"")</f>
        <v/>
      </c>
      <c r="AY121" s="3" t="s">
        <v>129</v>
      </c>
      <c r="AZ121" s="83" t="str">
        <f>VLOOKUP(B121,Classification!A:D,2,FALSE)</f>
        <v>B1</v>
      </c>
      <c r="BA121" s="3" t="s">
        <v>1382</v>
      </c>
      <c r="BC121" s="57">
        <f t="shared" si="120"/>
        <v>245</v>
      </c>
      <c r="BD121" s="63" t="b">
        <f t="shared" si="121"/>
        <v>1</v>
      </c>
      <c r="BE121" s="68" t="s">
        <v>1514</v>
      </c>
      <c r="BF121" s="75" t="s">
        <v>1514</v>
      </c>
      <c r="BG121" s="75" t="s">
        <v>1514</v>
      </c>
      <c r="BH121" s="75" t="s">
        <v>1514</v>
      </c>
      <c r="BI121" s="75" t="s">
        <v>1514</v>
      </c>
      <c r="BJ121" s="75" t="s">
        <v>1514</v>
      </c>
      <c r="BK121" s="75" t="s">
        <v>1514</v>
      </c>
      <c r="BL121" s="75" t="s">
        <v>1514</v>
      </c>
      <c r="BM121" s="75" t="s">
        <v>1514</v>
      </c>
      <c r="BN121" s="75" t="s">
        <v>1514</v>
      </c>
      <c r="BO121" s="75" t="s">
        <v>1514</v>
      </c>
      <c r="BP121" s="75" t="s">
        <v>1514</v>
      </c>
      <c r="BQ121" s="68">
        <f t="shared" si="122"/>
        <v>117</v>
      </c>
      <c r="BR121" s="69">
        <f t="shared" si="123"/>
        <v>145</v>
      </c>
      <c r="BS121" s="70">
        <f t="shared" si="124"/>
        <v>149</v>
      </c>
      <c r="BT121" s="69" t="str">
        <f t="shared" si="125"/>
        <v>-</v>
      </c>
      <c r="BU121" s="70">
        <f t="shared" si="126"/>
        <v>186</v>
      </c>
      <c r="BV121" s="69" t="str">
        <f t="shared" si="127"/>
        <v>-</v>
      </c>
      <c r="BW121" s="70">
        <f t="shared" si="128"/>
        <v>226</v>
      </c>
      <c r="BX121" s="69">
        <f t="shared" si="129"/>
        <v>258</v>
      </c>
      <c r="BY121" s="70">
        <f t="shared" si="130"/>
        <v>268</v>
      </c>
      <c r="BZ121" s="69">
        <f t="shared" si="131"/>
        <v>304</v>
      </c>
      <c r="CA121" s="70">
        <f t="shared" si="132"/>
        <v>339</v>
      </c>
      <c r="CB121" s="69" t="str">
        <f t="shared" si="133"/>
        <v>-</v>
      </c>
      <c r="CC121" s="68">
        <f t="shared" si="134"/>
        <v>144</v>
      </c>
      <c r="CD121" s="69">
        <f t="shared" si="135"/>
        <v>148</v>
      </c>
      <c r="CE121" s="70">
        <f t="shared" si="136"/>
        <v>204</v>
      </c>
      <c r="CF121" s="70" t="str">
        <f t="shared" si="137"/>
        <v>-</v>
      </c>
      <c r="CG121" s="70">
        <f t="shared" si="138"/>
        <v>219</v>
      </c>
      <c r="CH121" s="70" t="str">
        <f t="shared" si="139"/>
        <v>-</v>
      </c>
      <c r="CI121" s="70">
        <f t="shared" si="140"/>
        <v>254</v>
      </c>
      <c r="CJ121" s="70">
        <f t="shared" si="141"/>
        <v>260</v>
      </c>
      <c r="CK121" s="70">
        <f t="shared" si="142"/>
        <v>298</v>
      </c>
      <c r="CL121" s="70">
        <f t="shared" si="143"/>
        <v>332</v>
      </c>
      <c r="CM121" s="70">
        <f t="shared" si="144"/>
        <v>366</v>
      </c>
      <c r="CN121" s="70" t="str">
        <f t="shared" si="145"/>
        <v>-</v>
      </c>
      <c r="CO121" s="57">
        <f t="shared" si="118"/>
        <v>1</v>
      </c>
    </row>
    <row r="122" spans="1:93" x14ac:dyDescent="0.2">
      <c r="A122" s="3" t="str">
        <f t="shared" si="119"/>
        <v>crfr1_human_4Z9G</v>
      </c>
      <c r="B122" s="3" t="s">
        <v>213</v>
      </c>
      <c r="C122" s="3" t="s">
        <v>1266</v>
      </c>
      <c r="D122" s="3" t="str">
        <f>IFERROR(MID(VLOOKUP($B122,Seqs!$A:$B,2,FALSE),E122,1),"")</f>
        <v>S</v>
      </c>
      <c r="E122" s="3">
        <v>112</v>
      </c>
      <c r="F122" s="3" t="str">
        <f>IFERROR(MID(VLOOKUP($B122,Seqs!$A:$B,2,FALSE),G122,1),"")</f>
        <v>L</v>
      </c>
      <c r="G122" s="3">
        <v>144</v>
      </c>
      <c r="H122" s="3" t="str">
        <f>IFERROR(MID(VLOOKUP($B122,Seqs!$A:$B,2,FALSE),I122,1),"")</f>
        <v>R</v>
      </c>
      <c r="I122" s="57">
        <v>145</v>
      </c>
      <c r="J122" s="3" t="str">
        <f>IFERROR(MID(VLOOKUP($B122,Seqs!$A:$B,2,FALSE),K122,1),"")</f>
        <v>R</v>
      </c>
      <c r="K122" s="57">
        <v>148</v>
      </c>
      <c r="L122" s="3" t="str">
        <f>IFERROR(MID(VLOOKUP($B122,Seqs!$A:$B,2,FALSE),M122,1),"")</f>
        <v>C</v>
      </c>
      <c r="M122" s="57">
        <v>149</v>
      </c>
      <c r="N122" s="3" t="str">
        <f>IFERROR(MID(VLOOKUP($B122,Seqs!$A:$B,2,FALSE),O122,1),"")</f>
        <v>F</v>
      </c>
      <c r="O122" s="3">
        <v>204</v>
      </c>
      <c r="P122" s="3" t="str">
        <f>IFERROR(MID(VLOOKUP($B122,Seqs!$A:$B,2,FALSE),Q122,1),"")</f>
        <v/>
      </c>
      <c r="Q122" s="3" t="s">
        <v>129</v>
      </c>
      <c r="R122" s="3" t="str">
        <f>IFERROR(MID(VLOOKUP($B122,Seqs!$A:$B,2,FALSE),S122,1),"")</f>
        <v/>
      </c>
      <c r="S122" s="3" t="s">
        <v>129</v>
      </c>
      <c r="T122" s="3" t="str">
        <f>IFERROR(MID(VLOOKUP($B122,Seqs!$A:$B,2,FALSE),U122,1),"")</f>
        <v>G</v>
      </c>
      <c r="U122" s="3">
        <v>186</v>
      </c>
      <c r="V122" s="3" t="str">
        <f>IFERROR(MID(VLOOKUP($B122,Seqs!$A:$B,2,FALSE),W122,1),"")</f>
        <v>L</v>
      </c>
      <c r="W122" s="3">
        <v>219</v>
      </c>
      <c r="X122" s="3" t="str">
        <f>IFERROR(MID(VLOOKUP($B122,Seqs!$A:$B,2,FALSE),Y122,1),"")</f>
        <v/>
      </c>
      <c r="Y122" s="3" t="s">
        <v>129</v>
      </c>
      <c r="Z122" s="3" t="str">
        <f>IFERROR(MID(VLOOKUP($B122,Seqs!$A:$B,2,FALSE),AA122,1),"")</f>
        <v/>
      </c>
      <c r="AA122" s="3" t="s">
        <v>129</v>
      </c>
      <c r="AB122" s="3" t="str">
        <f>IFERROR(MID(VLOOKUP($B122,Seqs!$A:$B,2,FALSE),AC122,1),"")</f>
        <v>L</v>
      </c>
      <c r="AC122" s="3">
        <v>226</v>
      </c>
      <c r="AD122" s="3" t="str">
        <f>IFERROR(MID(VLOOKUP($B122,Seqs!$A:$B,2,FALSE),AE122,1),"")</f>
        <v>D</v>
      </c>
      <c r="AE122" s="3">
        <v>254</v>
      </c>
      <c r="AF122" s="3" t="str">
        <f>IFERROR(MID(VLOOKUP($B122,Seqs!$A:$B,2,FALSE),AG122,1),"")</f>
        <v>C</v>
      </c>
      <c r="AG122" s="3">
        <v>258</v>
      </c>
      <c r="AH122" s="3" t="str">
        <f>IFERROR(MID(VLOOKUP($B122,Seqs!$A:$B,2,FALSE),AI122,1),"")</f>
        <v>F</v>
      </c>
      <c r="AI122" s="3">
        <v>260</v>
      </c>
      <c r="AJ122" s="3" t="str">
        <f>IFERROR(MID(VLOOKUP($B122,Seqs!$A:$B,2,FALSE),AK122,1),"")</f>
        <v>T</v>
      </c>
      <c r="AK122" s="3">
        <v>268</v>
      </c>
      <c r="AL122" s="3" t="str">
        <f>IFERROR(MID(VLOOKUP($B122,Seqs!$A:$B,2,FALSE),AM122,1),"")</f>
        <v>L</v>
      </c>
      <c r="AM122" s="3">
        <v>298</v>
      </c>
      <c r="AN122" s="3" t="str">
        <f>IFERROR(MID(VLOOKUP($B122,Seqs!$A:$B,2,FALSE),AO122,1),"")</f>
        <v>S</v>
      </c>
      <c r="AO122" s="3">
        <v>304</v>
      </c>
      <c r="AP122" s="3" t="str">
        <f>IFERROR(MID(VLOOKUP($B122,Seqs!$A:$B,2,FALSE),AQ122,1),"")</f>
        <v>V</v>
      </c>
      <c r="AQ122" s="3">
        <v>332</v>
      </c>
      <c r="AR122" s="3" t="str">
        <f>IFERROR(MID(VLOOKUP($B122,Seqs!$A:$B,2,FALSE),AS122,1),"")</f>
        <v>V</v>
      </c>
      <c r="AS122" s="3">
        <v>339</v>
      </c>
      <c r="AT122" s="3" t="str">
        <f>IFERROR(MID(VLOOKUP($B122,Seqs!$A:$B,2,FALSE),AU122,1),"")</f>
        <v>F</v>
      </c>
      <c r="AU122" s="3">
        <v>362</v>
      </c>
      <c r="AV122" s="3" t="str">
        <f>IFERROR(MID(VLOOKUP($B122,Seqs!$A:$B,2,FALSE),AW122,1),"")</f>
        <v/>
      </c>
      <c r="AW122" s="3" t="s">
        <v>129</v>
      </c>
      <c r="AX122" s="3" t="str">
        <f>IFERROR(MID(VLOOKUP($B122,Seqs!$A:$B,2,FALSE),AY122,1),"")</f>
        <v/>
      </c>
      <c r="AY122" s="3" t="s">
        <v>129</v>
      </c>
      <c r="AZ122" s="83" t="str">
        <f>VLOOKUP(B122,Classification!A:D,2,FALSE)</f>
        <v>B1</v>
      </c>
      <c r="BB122" s="35" t="s">
        <v>1330</v>
      </c>
      <c r="BC122" s="57">
        <f t="shared" si="120"/>
        <v>246</v>
      </c>
      <c r="BD122" s="63" t="b">
        <f t="shared" si="121"/>
        <v>1</v>
      </c>
      <c r="BE122" s="68" t="s">
        <v>1514</v>
      </c>
      <c r="BF122" s="75" t="s">
        <v>1514</v>
      </c>
      <c r="BG122" s="75" t="s">
        <v>1514</v>
      </c>
      <c r="BH122" s="75" t="s">
        <v>1514</v>
      </c>
      <c r="BI122" s="75" t="s">
        <v>1514</v>
      </c>
      <c r="BJ122" s="75" t="s">
        <v>1514</v>
      </c>
      <c r="BK122" s="75" t="s">
        <v>1514</v>
      </c>
      <c r="BL122" s="75" t="s">
        <v>1514</v>
      </c>
      <c r="BM122" s="75" t="s">
        <v>1514</v>
      </c>
      <c r="BN122" s="75" t="s">
        <v>1514</v>
      </c>
      <c r="BO122" s="75" t="s">
        <v>1514</v>
      </c>
      <c r="BP122" s="75" t="s">
        <v>1514</v>
      </c>
      <c r="BQ122" s="68">
        <f t="shared" si="122"/>
        <v>112</v>
      </c>
      <c r="BR122" s="69">
        <f t="shared" si="123"/>
        <v>145</v>
      </c>
      <c r="BS122" s="70">
        <f t="shared" si="124"/>
        <v>149</v>
      </c>
      <c r="BT122" s="69" t="str">
        <f t="shared" si="125"/>
        <v>-</v>
      </c>
      <c r="BU122" s="70">
        <f t="shared" si="126"/>
        <v>186</v>
      </c>
      <c r="BV122" s="69" t="str">
        <f t="shared" si="127"/>
        <v>-</v>
      </c>
      <c r="BW122" s="70">
        <f t="shared" si="128"/>
        <v>226</v>
      </c>
      <c r="BX122" s="69">
        <f t="shared" si="129"/>
        <v>258</v>
      </c>
      <c r="BY122" s="70">
        <f t="shared" si="130"/>
        <v>268</v>
      </c>
      <c r="BZ122" s="69">
        <f t="shared" si="131"/>
        <v>304</v>
      </c>
      <c r="CA122" s="70">
        <f t="shared" si="132"/>
        <v>339</v>
      </c>
      <c r="CB122" s="69" t="str">
        <f t="shared" si="133"/>
        <v>-</v>
      </c>
      <c r="CC122" s="68">
        <f t="shared" si="134"/>
        <v>144</v>
      </c>
      <c r="CD122" s="69">
        <f t="shared" si="135"/>
        <v>148</v>
      </c>
      <c r="CE122" s="70">
        <f t="shared" si="136"/>
        <v>204</v>
      </c>
      <c r="CF122" s="70" t="str">
        <f t="shared" si="137"/>
        <v>-</v>
      </c>
      <c r="CG122" s="70">
        <f t="shared" si="138"/>
        <v>219</v>
      </c>
      <c r="CH122" s="70" t="str">
        <f t="shared" si="139"/>
        <v>-</v>
      </c>
      <c r="CI122" s="70">
        <f t="shared" si="140"/>
        <v>254</v>
      </c>
      <c r="CJ122" s="70">
        <f t="shared" si="141"/>
        <v>260</v>
      </c>
      <c r="CK122" s="70">
        <f t="shared" si="142"/>
        <v>298</v>
      </c>
      <c r="CL122" s="70">
        <f t="shared" si="143"/>
        <v>332</v>
      </c>
      <c r="CM122" s="70">
        <f t="shared" si="144"/>
        <v>362</v>
      </c>
      <c r="CN122" s="70" t="str">
        <f t="shared" si="145"/>
        <v>-</v>
      </c>
      <c r="CO122" s="57">
        <f t="shared" si="118"/>
        <v>1</v>
      </c>
    </row>
    <row r="123" spans="1:93" x14ac:dyDescent="0.2">
      <c r="A123" s="3" t="str">
        <f t="shared" si="119"/>
        <v>crfr1_human_4Z9G_dist</v>
      </c>
      <c r="B123" s="3" t="s">
        <v>213</v>
      </c>
      <c r="C123" s="3" t="s">
        <v>1381</v>
      </c>
      <c r="D123" s="3" t="str">
        <f>IFERROR(MID(VLOOKUP($B123,Seqs!$A:$B,2,FALSE),E123,1),"")</f>
        <v>S</v>
      </c>
      <c r="E123" s="3">
        <v>112</v>
      </c>
      <c r="F123" s="3" t="str">
        <f>IFERROR(MID(VLOOKUP($B123,Seqs!$A:$B,2,FALSE),G123,1),"")</f>
        <v>L</v>
      </c>
      <c r="G123" s="3">
        <v>144</v>
      </c>
      <c r="H123" s="3" t="str">
        <f>IFERROR(MID(VLOOKUP($B123,Seqs!$A:$B,2,FALSE),I123,1),"")</f>
        <v>R</v>
      </c>
      <c r="I123" s="57">
        <v>145</v>
      </c>
      <c r="J123" s="3" t="str">
        <f>IFERROR(MID(VLOOKUP($B123,Seqs!$A:$B,2,FALSE),K123,1),"")</f>
        <v>R</v>
      </c>
      <c r="K123" s="57">
        <v>148</v>
      </c>
      <c r="L123" s="3" t="str">
        <f>IFERROR(MID(VLOOKUP($B123,Seqs!$A:$B,2,FALSE),M123,1),"")</f>
        <v>C</v>
      </c>
      <c r="M123" s="57">
        <v>149</v>
      </c>
      <c r="N123" s="3" t="str">
        <f>IFERROR(MID(VLOOKUP($B123,Seqs!$A:$B,2,FALSE),O123,1),"")</f>
        <v>F</v>
      </c>
      <c r="O123" s="3">
        <v>204</v>
      </c>
      <c r="P123" s="3" t="str">
        <f>IFERROR(MID(VLOOKUP($B123,Seqs!$A:$B,2,FALSE),Q123,1),"")</f>
        <v/>
      </c>
      <c r="Q123" s="3" t="s">
        <v>129</v>
      </c>
      <c r="R123" s="3" t="str">
        <f>IFERROR(MID(VLOOKUP($B123,Seqs!$A:$B,2,FALSE),S123,1),"")</f>
        <v/>
      </c>
      <c r="S123" s="3" t="s">
        <v>129</v>
      </c>
      <c r="T123" s="3" t="str">
        <f>IFERROR(MID(VLOOKUP($B123,Seqs!$A:$B,2,FALSE),U123,1),"")</f>
        <v>G</v>
      </c>
      <c r="U123" s="3">
        <v>186</v>
      </c>
      <c r="V123" s="3" t="str">
        <f>IFERROR(MID(VLOOKUP($B123,Seqs!$A:$B,2,FALSE),W123,1),"")</f>
        <v>L</v>
      </c>
      <c r="W123" s="3">
        <v>219</v>
      </c>
      <c r="X123" s="3" t="str">
        <f>IFERROR(MID(VLOOKUP($B123,Seqs!$A:$B,2,FALSE),Y123,1),"")</f>
        <v/>
      </c>
      <c r="Y123" s="3" t="s">
        <v>129</v>
      </c>
      <c r="Z123" s="3" t="str">
        <f>IFERROR(MID(VLOOKUP($B123,Seqs!$A:$B,2,FALSE),AA123,1),"")</f>
        <v/>
      </c>
      <c r="AA123" s="3" t="s">
        <v>129</v>
      </c>
      <c r="AB123" s="3" t="str">
        <f>IFERROR(MID(VLOOKUP($B123,Seqs!$A:$B,2,FALSE),AC123,1),"")</f>
        <v>L</v>
      </c>
      <c r="AC123" s="3">
        <v>226</v>
      </c>
      <c r="AD123" s="3" t="str">
        <f>IFERROR(MID(VLOOKUP($B123,Seqs!$A:$B,2,FALSE),AE123,1),"")</f>
        <v>D</v>
      </c>
      <c r="AE123" s="3">
        <v>254</v>
      </c>
      <c r="AF123" s="3" t="str">
        <f>IFERROR(MID(VLOOKUP($B123,Seqs!$A:$B,2,FALSE),AG123,1),"")</f>
        <v>C</v>
      </c>
      <c r="AG123" s="3">
        <v>258</v>
      </c>
      <c r="AH123" s="3" t="str">
        <f>IFERROR(MID(VLOOKUP($B123,Seqs!$A:$B,2,FALSE),AI123,1),"")</f>
        <v>F</v>
      </c>
      <c r="AI123" s="3">
        <v>260</v>
      </c>
      <c r="AJ123" s="3" t="str">
        <f>IFERROR(MID(VLOOKUP($B123,Seqs!$A:$B,2,FALSE),AK123,1),"")</f>
        <v>T</v>
      </c>
      <c r="AK123" s="3">
        <v>268</v>
      </c>
      <c r="AL123" s="3" t="str">
        <f>IFERROR(MID(VLOOKUP($B123,Seqs!$A:$B,2,FALSE),AM123,1),"")</f>
        <v>L</v>
      </c>
      <c r="AM123" s="3">
        <v>298</v>
      </c>
      <c r="AN123" s="3" t="str">
        <f>IFERROR(MID(VLOOKUP($B123,Seqs!$A:$B,2,FALSE),AO123,1),"")</f>
        <v>S</v>
      </c>
      <c r="AO123" s="3">
        <v>304</v>
      </c>
      <c r="AP123" s="3" t="str">
        <f>IFERROR(MID(VLOOKUP($B123,Seqs!$A:$B,2,FALSE),AQ123,1),"")</f>
        <v>V</v>
      </c>
      <c r="AQ123" s="3">
        <v>332</v>
      </c>
      <c r="AR123" s="3" t="str">
        <f>IFERROR(MID(VLOOKUP($B123,Seqs!$A:$B,2,FALSE),AS123,1),"")</f>
        <v>V</v>
      </c>
      <c r="AS123" s="3">
        <v>339</v>
      </c>
      <c r="AT123" s="3" t="str">
        <f>IFERROR(MID(VLOOKUP($B123,Seqs!$A:$B,2,FALSE),AU123,1),"")</f>
        <v>E</v>
      </c>
      <c r="AU123" s="3">
        <v>369</v>
      </c>
      <c r="AV123" s="3" t="str">
        <f>IFERROR(MID(VLOOKUP($B123,Seqs!$A:$B,2,FALSE),AW123,1),"")</f>
        <v/>
      </c>
      <c r="AW123" s="3" t="s">
        <v>129</v>
      </c>
      <c r="AX123" s="3" t="str">
        <f>IFERROR(MID(VLOOKUP($B123,Seqs!$A:$B,2,FALSE),AY123,1),"")</f>
        <v/>
      </c>
      <c r="AY123" s="3" t="s">
        <v>129</v>
      </c>
      <c r="AZ123" s="83" t="str">
        <f>VLOOKUP(B123,Classification!A:D,2,FALSE)</f>
        <v>B1</v>
      </c>
      <c r="BA123" s="3" t="s">
        <v>1382</v>
      </c>
      <c r="BC123" s="57">
        <f t="shared" si="120"/>
        <v>253</v>
      </c>
      <c r="BD123" s="63" t="b">
        <f t="shared" si="121"/>
        <v>1</v>
      </c>
      <c r="BE123" s="68" t="s">
        <v>1514</v>
      </c>
      <c r="BF123" s="75" t="s">
        <v>1514</v>
      </c>
      <c r="BG123" s="75" t="s">
        <v>1514</v>
      </c>
      <c r="BH123" s="75" t="s">
        <v>1514</v>
      </c>
      <c r="BI123" s="75" t="s">
        <v>1514</v>
      </c>
      <c r="BJ123" s="75" t="s">
        <v>1514</v>
      </c>
      <c r="BK123" s="75" t="s">
        <v>1514</v>
      </c>
      <c r="BL123" s="75" t="s">
        <v>1514</v>
      </c>
      <c r="BM123" s="75" t="s">
        <v>1514</v>
      </c>
      <c r="BN123" s="75" t="s">
        <v>1514</v>
      </c>
      <c r="BO123" s="75" t="s">
        <v>1514</v>
      </c>
      <c r="BP123" s="75" t="s">
        <v>1514</v>
      </c>
      <c r="BQ123" s="68">
        <f t="shared" si="122"/>
        <v>112</v>
      </c>
      <c r="BR123" s="69">
        <f t="shared" si="123"/>
        <v>145</v>
      </c>
      <c r="BS123" s="70">
        <f t="shared" si="124"/>
        <v>149</v>
      </c>
      <c r="BT123" s="69" t="str">
        <f t="shared" si="125"/>
        <v>-</v>
      </c>
      <c r="BU123" s="70">
        <f t="shared" si="126"/>
        <v>186</v>
      </c>
      <c r="BV123" s="69" t="str">
        <f t="shared" si="127"/>
        <v>-</v>
      </c>
      <c r="BW123" s="70">
        <f t="shared" si="128"/>
        <v>226</v>
      </c>
      <c r="BX123" s="69">
        <f t="shared" si="129"/>
        <v>258</v>
      </c>
      <c r="BY123" s="70">
        <f t="shared" si="130"/>
        <v>268</v>
      </c>
      <c r="BZ123" s="69">
        <f t="shared" si="131"/>
        <v>304</v>
      </c>
      <c r="CA123" s="70">
        <f t="shared" si="132"/>
        <v>339</v>
      </c>
      <c r="CB123" s="69" t="str">
        <f t="shared" si="133"/>
        <v>-</v>
      </c>
      <c r="CC123" s="68">
        <f t="shared" si="134"/>
        <v>144</v>
      </c>
      <c r="CD123" s="69">
        <f t="shared" si="135"/>
        <v>148</v>
      </c>
      <c r="CE123" s="70">
        <f t="shared" si="136"/>
        <v>204</v>
      </c>
      <c r="CF123" s="70" t="str">
        <f t="shared" si="137"/>
        <v>-</v>
      </c>
      <c r="CG123" s="70">
        <f t="shared" si="138"/>
        <v>219</v>
      </c>
      <c r="CH123" s="70" t="str">
        <f t="shared" si="139"/>
        <v>-</v>
      </c>
      <c r="CI123" s="70">
        <f t="shared" si="140"/>
        <v>254</v>
      </c>
      <c r="CJ123" s="70">
        <f t="shared" si="141"/>
        <v>260</v>
      </c>
      <c r="CK123" s="70">
        <f t="shared" si="142"/>
        <v>298</v>
      </c>
      <c r="CL123" s="70">
        <f t="shared" si="143"/>
        <v>332</v>
      </c>
      <c r="CM123" s="70">
        <f t="shared" si="144"/>
        <v>369</v>
      </c>
      <c r="CN123" s="70" t="str">
        <f t="shared" si="145"/>
        <v>-</v>
      </c>
      <c r="CO123" s="57">
        <f t="shared" si="118"/>
        <v>1</v>
      </c>
    </row>
    <row r="124" spans="1:93" x14ac:dyDescent="0.2">
      <c r="A124" s="3" t="str">
        <f t="shared" si="119"/>
        <v>glr_human__wt</v>
      </c>
      <c r="B124" s="3" t="s">
        <v>206</v>
      </c>
      <c r="C124" s="3" t="s">
        <v>294</v>
      </c>
      <c r="D124" s="3" t="str">
        <f>IFERROR(MID(VLOOKUP($B124,Seqs!$A:$B,2,FALSE),E124,1),"")</f>
        <v>G</v>
      </c>
      <c r="E124" s="3">
        <v>125</v>
      </c>
      <c r="F124" s="3" t="str">
        <f>IFERROR(MID(VLOOKUP($B124,Seqs!$A:$B,2,FALSE),G124,1),"")</f>
        <v>L</v>
      </c>
      <c r="G124" s="3">
        <v>166</v>
      </c>
      <c r="H124" s="3" t="str">
        <f>IFERROR(MID(VLOOKUP($B124,Seqs!$A:$B,2,FALSE),I124,1),"")</f>
        <v>S</v>
      </c>
      <c r="I124" s="57">
        <v>167</v>
      </c>
      <c r="J124" s="3" t="str">
        <f>IFERROR(MID(VLOOKUP($B124,Seqs!$A:$B,2,FALSE),K124,1),"")</f>
        <v>H</v>
      </c>
      <c r="K124" s="57">
        <v>170</v>
      </c>
      <c r="L124" s="3" t="str">
        <f>IFERROR(MID(VLOOKUP($B124,Seqs!$A:$B,2,FALSE),M124,1),"")</f>
        <v>C</v>
      </c>
      <c r="M124" s="57">
        <v>171</v>
      </c>
      <c r="N124" s="3" t="str">
        <f>IFERROR(MID(VLOOKUP($B124,Seqs!$A:$B,2,FALSE),O124,1),"")</f>
        <v>R</v>
      </c>
      <c r="O124" s="3">
        <v>199</v>
      </c>
      <c r="P124" s="3" t="str">
        <f>IFERROR(MID(VLOOKUP($B124,Seqs!$A:$B,2,FALSE),Q124,1),"")</f>
        <v/>
      </c>
      <c r="Q124" s="3" t="s">
        <v>129</v>
      </c>
      <c r="R124" s="3" t="str">
        <f>IFERROR(MID(VLOOKUP($B124,Seqs!$A:$B,2,FALSE),S124,1),"")</f>
        <v/>
      </c>
      <c r="S124" s="3" t="s">
        <v>129</v>
      </c>
      <c r="T124" s="3" t="str">
        <f>IFERROR(MID(VLOOKUP($B124,Seqs!$A:$B,2,FALSE),U124,1),"")</f>
        <v>S</v>
      </c>
      <c r="U124" s="3">
        <v>217</v>
      </c>
      <c r="V124" s="3" t="str">
        <f>IFERROR(MID(VLOOKUP($B124,Seqs!$A:$B,2,FALSE),W124,1),"")</f>
        <v>L</v>
      </c>
      <c r="W124" s="3">
        <v>255</v>
      </c>
      <c r="X124" s="3" t="str">
        <f>IFERROR(MID(VLOOKUP($B124,Seqs!$A:$B,2,FALSE),Y124,1),"")</f>
        <v/>
      </c>
      <c r="Y124" s="3" t="s">
        <v>129</v>
      </c>
      <c r="Z124" s="3" t="str">
        <f>IFERROR(MID(VLOOKUP($B124,Seqs!$A:$B,2,FALSE),AA124,1),"")</f>
        <v/>
      </c>
      <c r="AA124" s="3" t="s">
        <v>129</v>
      </c>
      <c r="AB124" s="3" t="str">
        <f>IFERROR(MID(VLOOKUP($B124,Seqs!$A:$B,2,FALSE),AC124,1),"")</f>
        <v>S</v>
      </c>
      <c r="AC124" s="3">
        <v>262</v>
      </c>
      <c r="AD124" s="3" t="str">
        <f>IFERROR(MID(VLOOKUP($B124,Seqs!$A:$B,2,FALSE),AE124,1),"")</f>
        <v>E</v>
      </c>
      <c r="AE124" s="3">
        <v>290</v>
      </c>
      <c r="AF124" s="3" t="str">
        <f>IFERROR(MID(VLOOKUP($B124,Seqs!$A:$B,2,FALSE),AG124,1),"")</f>
        <v>C</v>
      </c>
      <c r="AG124" s="3">
        <v>294</v>
      </c>
      <c r="AH124" s="3" t="str">
        <f>IFERROR(MID(VLOOKUP($B124,Seqs!$A:$B,2,FALSE),AI124,1),"")</f>
        <v>T</v>
      </c>
      <c r="AI124" s="3">
        <v>296</v>
      </c>
      <c r="AJ124" s="3" t="str">
        <f>IFERROR(MID(VLOOKUP($B124,Seqs!$A:$B,2,FALSE),AK124,1),"")</f>
        <v>N</v>
      </c>
      <c r="AK124" s="3">
        <v>300</v>
      </c>
      <c r="AL124" s="3" t="str">
        <f>IFERROR(MID(VLOOKUP($B124,Seqs!$A:$B,2,FALSE),AM124,1),"")</f>
        <v>A</v>
      </c>
      <c r="AM124" s="3">
        <v>335</v>
      </c>
      <c r="AN124" s="3" t="str">
        <f>IFERROR(MID(VLOOKUP($B124,Seqs!$A:$B,2,FALSE),AO124,1),"")</f>
        <v>Y</v>
      </c>
      <c r="AO124" s="3">
        <v>343</v>
      </c>
      <c r="AP124" s="3" t="str">
        <f>IFERROR(MID(VLOOKUP($B124,Seqs!$A:$B,2,FALSE),AQ124,1),"")</f>
        <v>F</v>
      </c>
      <c r="AQ124" s="3">
        <v>367</v>
      </c>
      <c r="AR124" s="3" t="str">
        <f>IFERROR(MID(VLOOKUP($B124,Seqs!$A:$B,2,FALSE),AS124,1),"")</f>
        <v>Q</v>
      </c>
      <c r="AS124" s="3">
        <v>374</v>
      </c>
      <c r="AT124" s="3" t="str">
        <f>IFERROR(MID(VLOOKUP($B124,Seqs!$A:$B,2,FALSE),AU124,1),"")</f>
        <v>L</v>
      </c>
      <c r="AU124" s="3">
        <v>403</v>
      </c>
      <c r="AV124" s="3" t="str">
        <f>IFERROR(MID(VLOOKUP($B124,Seqs!$A:$B,2,FALSE),AW124,1),"")</f>
        <v>N</v>
      </c>
      <c r="AW124" s="3">
        <v>404</v>
      </c>
      <c r="AX124" s="3" t="str">
        <f>IFERROR(MID(VLOOKUP($B124,Seqs!$A:$B,2,FALSE),AY124,1),"")</f>
        <v>N</v>
      </c>
      <c r="AY124" s="3">
        <v>429</v>
      </c>
      <c r="AZ124" s="83" t="str">
        <f>VLOOKUP(B124,Classification!A:D,2,FALSE)</f>
        <v>B1</v>
      </c>
      <c r="BB124" s="82" t="e">
        <f>S124-Q124+1</f>
        <v>#VALUE!</v>
      </c>
      <c r="BC124" s="57">
        <f t="shared" si="120"/>
        <v>265</v>
      </c>
      <c r="BD124" s="63" t="b">
        <f t="shared" si="121"/>
        <v>1</v>
      </c>
      <c r="BE124" s="68" t="s">
        <v>1514</v>
      </c>
      <c r="BF124" s="75" t="s">
        <v>1514</v>
      </c>
      <c r="BG124" s="75" t="s">
        <v>1514</v>
      </c>
      <c r="BH124" s="75" t="s">
        <v>1514</v>
      </c>
      <c r="BI124" s="75" t="s">
        <v>1514</v>
      </c>
      <c r="BJ124" s="75" t="s">
        <v>1514</v>
      </c>
      <c r="BK124" s="75" t="s">
        <v>1514</v>
      </c>
      <c r="BL124" s="75" t="s">
        <v>1514</v>
      </c>
      <c r="BM124" s="75" t="s">
        <v>1514</v>
      </c>
      <c r="BN124" s="75" t="s">
        <v>1514</v>
      </c>
      <c r="BO124" s="75" t="s">
        <v>1514</v>
      </c>
      <c r="BP124" s="75" t="s">
        <v>1514</v>
      </c>
      <c r="BQ124" s="68">
        <f t="shared" si="122"/>
        <v>125</v>
      </c>
      <c r="BR124" s="69">
        <f t="shared" si="123"/>
        <v>167</v>
      </c>
      <c r="BS124" s="70">
        <f t="shared" si="124"/>
        <v>171</v>
      </c>
      <c r="BT124" s="69" t="str">
        <f t="shared" si="125"/>
        <v>-</v>
      </c>
      <c r="BU124" s="70">
        <f t="shared" si="126"/>
        <v>217</v>
      </c>
      <c r="BV124" s="69" t="str">
        <f t="shared" si="127"/>
        <v>-</v>
      </c>
      <c r="BW124" s="70">
        <f t="shared" si="128"/>
        <v>262</v>
      </c>
      <c r="BX124" s="69">
        <f t="shared" si="129"/>
        <v>294</v>
      </c>
      <c r="BY124" s="70">
        <f t="shared" si="130"/>
        <v>300</v>
      </c>
      <c r="BZ124" s="69">
        <f t="shared" si="131"/>
        <v>343</v>
      </c>
      <c r="CA124" s="70">
        <f t="shared" si="132"/>
        <v>374</v>
      </c>
      <c r="CB124" s="69">
        <f t="shared" si="133"/>
        <v>404</v>
      </c>
      <c r="CC124" s="68">
        <f t="shared" si="134"/>
        <v>166</v>
      </c>
      <c r="CD124" s="69">
        <f t="shared" si="135"/>
        <v>170</v>
      </c>
      <c r="CE124" s="70">
        <f t="shared" si="136"/>
        <v>199</v>
      </c>
      <c r="CF124" s="70" t="str">
        <f t="shared" si="137"/>
        <v>-</v>
      </c>
      <c r="CG124" s="70">
        <f t="shared" si="138"/>
        <v>255</v>
      </c>
      <c r="CH124" s="70" t="str">
        <f t="shared" si="139"/>
        <v>-</v>
      </c>
      <c r="CI124" s="70">
        <f t="shared" si="140"/>
        <v>290</v>
      </c>
      <c r="CJ124" s="70">
        <f t="shared" si="141"/>
        <v>296</v>
      </c>
      <c r="CK124" s="70">
        <f t="shared" si="142"/>
        <v>335</v>
      </c>
      <c r="CL124" s="70">
        <f t="shared" si="143"/>
        <v>367</v>
      </c>
      <c r="CM124" s="70">
        <f t="shared" si="144"/>
        <v>403</v>
      </c>
      <c r="CN124" s="70">
        <f t="shared" si="145"/>
        <v>429</v>
      </c>
      <c r="CO124" s="57">
        <f t="shared" si="118"/>
        <v>1</v>
      </c>
    </row>
    <row r="125" spans="1:93" x14ac:dyDescent="0.2">
      <c r="A125" s="3" t="str">
        <f t="shared" si="119"/>
        <v>glr_human_4L6R</v>
      </c>
      <c r="B125" s="3" t="s">
        <v>206</v>
      </c>
      <c r="C125" s="3" t="s">
        <v>240</v>
      </c>
      <c r="D125" s="3" t="str">
        <f>IFERROR(MID(VLOOKUP($B125,Seqs!$A:$B,2,FALSE),E125,1),"")</f>
        <v>G</v>
      </c>
      <c r="E125" s="3">
        <v>125</v>
      </c>
      <c r="F125" s="3" t="str">
        <f>IFERROR(MID(VLOOKUP($B125,Seqs!$A:$B,2,FALSE),G125,1),"")</f>
        <v>G</v>
      </c>
      <c r="G125" s="3">
        <v>164</v>
      </c>
      <c r="H125" s="3" t="str">
        <f>IFERROR(MID(VLOOKUP($B125,Seqs!$A:$B,2,FALSE),I125,1),"")</f>
        <v>S</v>
      </c>
      <c r="I125" s="57">
        <v>167</v>
      </c>
      <c r="J125" s="3" t="str">
        <f>IFERROR(MID(VLOOKUP($B125,Seqs!$A:$B,2,FALSE),K125,1),"")</f>
        <v>H</v>
      </c>
      <c r="K125" s="57">
        <v>170</v>
      </c>
      <c r="L125" s="3" t="str">
        <f>IFERROR(MID(VLOOKUP($B125,Seqs!$A:$B,2,FALSE),M125,1),"")</f>
        <v>C</v>
      </c>
      <c r="M125" s="57">
        <v>171</v>
      </c>
      <c r="N125" s="3" t="str">
        <f>IFERROR(MID(VLOOKUP($B125,Seqs!$A:$B,2,FALSE),O125,1),"")</f>
        <v>R</v>
      </c>
      <c r="O125" s="3">
        <v>199</v>
      </c>
      <c r="P125" s="3" t="str">
        <f>IFERROR(MID(VLOOKUP($B125,Seqs!$A:$B,2,FALSE),Q125,1),"")</f>
        <v/>
      </c>
      <c r="Q125" s="3" t="s">
        <v>129</v>
      </c>
      <c r="R125" s="3" t="str">
        <f>IFERROR(MID(VLOOKUP($B125,Seqs!$A:$B,2,FALSE),S125,1),"")</f>
        <v/>
      </c>
      <c r="S125" s="3" t="s">
        <v>129</v>
      </c>
      <c r="T125" s="3" t="str">
        <f>IFERROR(MID(VLOOKUP($B125,Seqs!$A:$B,2,FALSE),U125,1),"")</f>
        <v>S</v>
      </c>
      <c r="U125" s="3">
        <v>217</v>
      </c>
      <c r="V125" s="3" t="str">
        <f>IFERROR(MID(VLOOKUP($B125,Seqs!$A:$B,2,FALSE),W125,1),"")</f>
        <v>L</v>
      </c>
      <c r="W125" s="3">
        <v>255</v>
      </c>
      <c r="X125" s="3" t="str">
        <f>IFERROR(MID(VLOOKUP($B125,Seqs!$A:$B,2,FALSE),Y125,1),"")</f>
        <v/>
      </c>
      <c r="Y125" s="3" t="s">
        <v>129</v>
      </c>
      <c r="Z125" s="3" t="str">
        <f>IFERROR(MID(VLOOKUP($B125,Seqs!$A:$B,2,FALSE),AA125,1),"")</f>
        <v/>
      </c>
      <c r="AA125" s="3" t="s">
        <v>129</v>
      </c>
      <c r="AB125" s="3" t="str">
        <f>IFERROR(MID(VLOOKUP($B125,Seqs!$A:$B,2,FALSE),AC125,1),"")</f>
        <v>A</v>
      </c>
      <c r="AC125" s="3">
        <v>274</v>
      </c>
      <c r="AD125" s="3" t="str">
        <f>IFERROR(MID(VLOOKUP($B125,Seqs!$A:$B,2,FALSE),AE125,1),"")</f>
        <v>E</v>
      </c>
      <c r="AE125" s="3">
        <v>290</v>
      </c>
      <c r="AF125" s="3" t="str">
        <f>IFERROR(MID(VLOOKUP($B125,Seqs!$A:$B,2,FALSE),AG125,1),"")</f>
        <v>C</v>
      </c>
      <c r="AG125" s="3">
        <v>294</v>
      </c>
      <c r="AH125" s="3" t="str">
        <f>IFERROR(MID(VLOOKUP($B125,Seqs!$A:$B,2,FALSE),AI125,1),"")</f>
        <v>T</v>
      </c>
      <c r="AI125" s="3">
        <v>296</v>
      </c>
      <c r="AJ125" s="3" t="str">
        <f>IFERROR(MID(VLOOKUP($B125,Seqs!$A:$B,2,FALSE),AK125,1),"")</f>
        <v>N</v>
      </c>
      <c r="AK125" s="3">
        <v>300</v>
      </c>
      <c r="AL125" s="3" t="str">
        <f>IFERROR(MID(VLOOKUP($B125,Seqs!$A:$B,2,FALSE),AM125,1),"")</f>
        <v>A</v>
      </c>
      <c r="AM125" s="3">
        <v>335</v>
      </c>
      <c r="AN125" s="3" t="str">
        <f>IFERROR(MID(VLOOKUP($B125,Seqs!$A:$B,2,FALSE),AO125,1),"")</f>
        <v>Y</v>
      </c>
      <c r="AO125" s="3">
        <v>343</v>
      </c>
      <c r="AP125" s="3" t="str">
        <f>IFERROR(MID(VLOOKUP($B125,Seqs!$A:$B,2,FALSE),AQ125,1),"")</f>
        <v>F</v>
      </c>
      <c r="AQ125" s="3">
        <v>367</v>
      </c>
      <c r="AR125" s="3" t="str">
        <f>IFERROR(MID(VLOOKUP($B125,Seqs!$A:$B,2,FALSE),AS125,1),"")</f>
        <v>Q</v>
      </c>
      <c r="AS125" s="3">
        <v>374</v>
      </c>
      <c r="AT125" s="3" t="str">
        <f>IFERROR(MID(VLOOKUP($B125,Seqs!$A:$B,2,FALSE),AU125,1),"")</f>
        <v>L</v>
      </c>
      <c r="AU125" s="3">
        <v>403</v>
      </c>
      <c r="AV125" s="3" t="str">
        <f>IFERROR(MID(VLOOKUP($B125,Seqs!$A:$B,2,FALSE),AW125,1),"")</f>
        <v>N</v>
      </c>
      <c r="AW125" s="3">
        <v>404</v>
      </c>
      <c r="AX125" s="3" t="str">
        <f>IFERROR(MID(VLOOKUP($B125,Seqs!$A:$B,2,FALSE),AY125,1),"")</f>
        <v>N</v>
      </c>
      <c r="AY125" s="3">
        <v>429</v>
      </c>
      <c r="AZ125" s="83" t="str">
        <f>VLOOKUP(B125,Classification!A:D,2,FALSE)</f>
        <v>B1</v>
      </c>
      <c r="BB125" s="35" t="s">
        <v>1315</v>
      </c>
      <c r="BC125" s="57">
        <f t="shared" si="120"/>
        <v>251</v>
      </c>
      <c r="BD125" s="63" t="b">
        <f t="shared" si="121"/>
        <v>1</v>
      </c>
      <c r="BE125" s="68" t="s">
        <v>1514</v>
      </c>
      <c r="BF125" s="75" t="s">
        <v>1514</v>
      </c>
      <c r="BG125" s="75" t="s">
        <v>1514</v>
      </c>
      <c r="BH125" s="75" t="s">
        <v>1514</v>
      </c>
      <c r="BI125" s="75" t="s">
        <v>1514</v>
      </c>
      <c r="BJ125" s="75" t="s">
        <v>1514</v>
      </c>
      <c r="BK125" s="75" t="s">
        <v>1514</v>
      </c>
      <c r="BL125" s="75" t="s">
        <v>1514</v>
      </c>
      <c r="BM125" s="75" t="s">
        <v>1514</v>
      </c>
      <c r="BN125" s="75" t="s">
        <v>1514</v>
      </c>
      <c r="BO125" s="75" t="s">
        <v>1514</v>
      </c>
      <c r="BP125" s="75" t="s">
        <v>1514</v>
      </c>
      <c r="BQ125" s="68">
        <f t="shared" si="122"/>
        <v>125</v>
      </c>
      <c r="BR125" s="69">
        <f t="shared" si="123"/>
        <v>167</v>
      </c>
      <c r="BS125" s="70">
        <f t="shared" si="124"/>
        <v>171</v>
      </c>
      <c r="BT125" s="69" t="str">
        <f t="shared" si="125"/>
        <v>-</v>
      </c>
      <c r="BU125" s="70">
        <f t="shared" si="126"/>
        <v>217</v>
      </c>
      <c r="BV125" s="69" t="str">
        <f t="shared" si="127"/>
        <v>-</v>
      </c>
      <c r="BW125" s="70">
        <f t="shared" si="128"/>
        <v>274</v>
      </c>
      <c r="BX125" s="69">
        <f t="shared" si="129"/>
        <v>294</v>
      </c>
      <c r="BY125" s="70">
        <f t="shared" si="130"/>
        <v>300</v>
      </c>
      <c r="BZ125" s="69">
        <f t="shared" si="131"/>
        <v>343</v>
      </c>
      <c r="CA125" s="70">
        <f t="shared" si="132"/>
        <v>374</v>
      </c>
      <c r="CB125" s="69">
        <f t="shared" si="133"/>
        <v>404</v>
      </c>
      <c r="CC125" s="68">
        <f t="shared" si="134"/>
        <v>164</v>
      </c>
      <c r="CD125" s="69">
        <f t="shared" si="135"/>
        <v>170</v>
      </c>
      <c r="CE125" s="70">
        <f t="shared" si="136"/>
        <v>199</v>
      </c>
      <c r="CF125" s="70" t="str">
        <f t="shared" si="137"/>
        <v>-</v>
      </c>
      <c r="CG125" s="70">
        <f t="shared" si="138"/>
        <v>255</v>
      </c>
      <c r="CH125" s="70" t="str">
        <f t="shared" si="139"/>
        <v>-</v>
      </c>
      <c r="CI125" s="70">
        <f t="shared" si="140"/>
        <v>290</v>
      </c>
      <c r="CJ125" s="70">
        <f t="shared" si="141"/>
        <v>296</v>
      </c>
      <c r="CK125" s="70">
        <f t="shared" si="142"/>
        <v>335</v>
      </c>
      <c r="CL125" s="70">
        <f t="shared" si="143"/>
        <v>367</v>
      </c>
      <c r="CM125" s="70">
        <f t="shared" si="144"/>
        <v>403</v>
      </c>
      <c r="CN125" s="70">
        <f t="shared" si="145"/>
        <v>429</v>
      </c>
      <c r="CO125" s="57">
        <f t="shared" si="118"/>
        <v>1</v>
      </c>
    </row>
    <row r="126" spans="1:93" x14ac:dyDescent="0.2">
      <c r="A126" s="3" t="str">
        <f t="shared" si="119"/>
        <v>glr_human_4L6R_dist</v>
      </c>
      <c r="B126" s="3" t="s">
        <v>206</v>
      </c>
      <c r="C126" s="3" t="s">
        <v>1503</v>
      </c>
      <c r="D126" s="3" t="str">
        <f>IFERROR(MID(VLOOKUP($B126,Seqs!$A:$B,2,FALSE),E126,1),"")</f>
        <v>G</v>
      </c>
      <c r="E126" s="3">
        <v>125</v>
      </c>
      <c r="F126" s="3" t="str">
        <f>IFERROR(MID(VLOOKUP($B126,Seqs!$A:$B,2,FALSE),G126,1),"")</f>
        <v>G</v>
      </c>
      <c r="G126" s="3">
        <v>164</v>
      </c>
      <c r="H126" s="3" t="str">
        <f>IFERROR(MID(VLOOKUP($B126,Seqs!$A:$B,2,FALSE),I126,1),"")</f>
        <v>S</v>
      </c>
      <c r="I126" s="57">
        <v>167</v>
      </c>
      <c r="J126" s="3" t="str">
        <f>IFERROR(MID(VLOOKUP($B126,Seqs!$A:$B,2,FALSE),K126,1),"")</f>
        <v>H</v>
      </c>
      <c r="K126" s="57">
        <v>170</v>
      </c>
      <c r="L126" s="3" t="str">
        <f>IFERROR(MID(VLOOKUP($B126,Seqs!$A:$B,2,FALSE),M126,1),"")</f>
        <v>C</v>
      </c>
      <c r="M126" s="57">
        <v>171</v>
      </c>
      <c r="N126" s="3" t="str">
        <f>IFERROR(MID(VLOOKUP($B126,Seqs!$A:$B,2,FALSE),O126,1),"")</f>
        <v>R</v>
      </c>
      <c r="O126" s="3">
        <v>199</v>
      </c>
      <c r="P126" s="3" t="str">
        <f>IFERROR(MID(VLOOKUP($B126,Seqs!$A:$B,2,FALSE),Q126,1),"")</f>
        <v/>
      </c>
      <c r="Q126" s="3" t="s">
        <v>129</v>
      </c>
      <c r="R126" s="3" t="str">
        <f>IFERROR(MID(VLOOKUP($B126,Seqs!$A:$B,2,FALSE),S126,1),"")</f>
        <v/>
      </c>
      <c r="S126" s="3" t="s">
        <v>129</v>
      </c>
      <c r="T126" s="3" t="str">
        <f>IFERROR(MID(VLOOKUP($B126,Seqs!$A:$B,2,FALSE),U126,1),"")</f>
        <v>S</v>
      </c>
      <c r="U126" s="3">
        <v>217</v>
      </c>
      <c r="V126" s="3" t="str">
        <f>IFERROR(MID(VLOOKUP($B126,Seqs!$A:$B,2,FALSE),W126,1),"")</f>
        <v>L</v>
      </c>
      <c r="W126" s="3">
        <v>255</v>
      </c>
      <c r="X126" s="3" t="str">
        <f>IFERROR(MID(VLOOKUP($B126,Seqs!$A:$B,2,FALSE),Y126,1),"")</f>
        <v/>
      </c>
      <c r="Y126" s="3" t="s">
        <v>129</v>
      </c>
      <c r="Z126" s="3" t="str">
        <f>IFERROR(MID(VLOOKUP($B126,Seqs!$A:$B,2,FALSE),AA126,1),"")</f>
        <v/>
      </c>
      <c r="AA126" s="3" t="s">
        <v>129</v>
      </c>
      <c r="AB126" s="3" t="str">
        <f>IFERROR(MID(VLOOKUP($B126,Seqs!$A:$B,2,FALSE),AC126,1),"")</f>
        <v>S</v>
      </c>
      <c r="AC126" s="3">
        <v>262</v>
      </c>
      <c r="AD126" s="3" t="str">
        <f>IFERROR(MID(VLOOKUP($B126,Seqs!$A:$B,2,FALSE),AE126,1),"")</f>
        <v>E</v>
      </c>
      <c r="AE126" s="3">
        <v>290</v>
      </c>
      <c r="AF126" s="3" t="str">
        <f>IFERROR(MID(VLOOKUP($B126,Seqs!$A:$B,2,FALSE),AG126,1),"")</f>
        <v>C</v>
      </c>
      <c r="AG126" s="3">
        <v>294</v>
      </c>
      <c r="AH126" s="3" t="str">
        <f>IFERROR(MID(VLOOKUP($B126,Seqs!$A:$B,2,FALSE),AI126,1),"")</f>
        <v>T</v>
      </c>
      <c r="AI126" s="3">
        <v>296</v>
      </c>
      <c r="AJ126" s="3" t="str">
        <f>IFERROR(MID(VLOOKUP($B126,Seqs!$A:$B,2,FALSE),AK126,1),"")</f>
        <v>N</v>
      </c>
      <c r="AK126" s="3">
        <v>300</v>
      </c>
      <c r="AL126" s="3" t="str">
        <f>IFERROR(MID(VLOOKUP($B126,Seqs!$A:$B,2,FALSE),AM126,1),"")</f>
        <v>A</v>
      </c>
      <c r="AM126" s="3">
        <v>335</v>
      </c>
      <c r="AN126" s="3" t="str">
        <f>IFERROR(MID(VLOOKUP($B126,Seqs!$A:$B,2,FALSE),AO126,1),"")</f>
        <v>Y</v>
      </c>
      <c r="AO126" s="3">
        <v>343</v>
      </c>
      <c r="AP126" s="3" t="str">
        <f>IFERROR(MID(VLOOKUP($B126,Seqs!$A:$B,2,FALSE),AQ126,1),"")</f>
        <v>F</v>
      </c>
      <c r="AQ126" s="3">
        <v>367</v>
      </c>
      <c r="AR126" s="3" t="str">
        <f>IFERROR(MID(VLOOKUP($B126,Seqs!$A:$B,2,FALSE),AS126,1),"")</f>
        <v>Q</v>
      </c>
      <c r="AS126" s="3">
        <v>374</v>
      </c>
      <c r="AT126" s="3" t="str">
        <f>IFERROR(MID(VLOOKUP($B126,Seqs!$A:$B,2,FALSE),AU126,1),"")</f>
        <v>L</v>
      </c>
      <c r="AU126" s="3">
        <v>403</v>
      </c>
      <c r="AV126" s="3" t="str">
        <f>IFERROR(MID(VLOOKUP($B126,Seqs!$A:$B,2,FALSE),AW126,1),"")</f>
        <v>N</v>
      </c>
      <c r="AW126" s="3">
        <v>404</v>
      </c>
      <c r="AX126" s="3" t="str">
        <f>IFERROR(MID(VLOOKUP($B126,Seqs!$A:$B,2,FALSE),AY126,1),"")</f>
        <v>N</v>
      </c>
      <c r="AY126" s="3">
        <v>429</v>
      </c>
      <c r="AZ126" s="83" t="str">
        <f>VLOOKUP(B126,Classification!A:D,2,FALSE)</f>
        <v>B1</v>
      </c>
      <c r="BB126" s="35" t="s">
        <v>1315</v>
      </c>
      <c r="BC126" s="57">
        <f t="shared" si="120"/>
        <v>263</v>
      </c>
      <c r="BD126" s="63" t="b">
        <f t="shared" si="121"/>
        <v>1</v>
      </c>
      <c r="BE126" s="68" t="s">
        <v>1514</v>
      </c>
      <c r="BF126" s="75" t="s">
        <v>1514</v>
      </c>
      <c r="BG126" s="75" t="s">
        <v>1514</v>
      </c>
      <c r="BH126" s="75" t="s">
        <v>1514</v>
      </c>
      <c r="BI126" s="75" t="s">
        <v>1514</v>
      </c>
      <c r="BJ126" s="75" t="s">
        <v>1514</v>
      </c>
      <c r="BK126" s="75" t="s">
        <v>1514</v>
      </c>
      <c r="BL126" s="75" t="s">
        <v>1514</v>
      </c>
      <c r="BM126" s="75" t="s">
        <v>1514</v>
      </c>
      <c r="BN126" s="75" t="s">
        <v>1514</v>
      </c>
      <c r="BO126" s="75" t="s">
        <v>1514</v>
      </c>
      <c r="BP126" s="75" t="s">
        <v>1514</v>
      </c>
      <c r="BQ126" s="68">
        <f t="shared" si="122"/>
        <v>125</v>
      </c>
      <c r="BR126" s="69">
        <f t="shared" si="123"/>
        <v>167</v>
      </c>
      <c r="BS126" s="70">
        <f t="shared" si="124"/>
        <v>171</v>
      </c>
      <c r="BT126" s="69" t="str">
        <f t="shared" si="125"/>
        <v>-</v>
      </c>
      <c r="BU126" s="70">
        <f t="shared" si="126"/>
        <v>217</v>
      </c>
      <c r="BV126" s="69" t="str">
        <f t="shared" si="127"/>
        <v>-</v>
      </c>
      <c r="BW126" s="70">
        <f t="shared" si="128"/>
        <v>262</v>
      </c>
      <c r="BX126" s="69">
        <f t="shared" si="129"/>
        <v>294</v>
      </c>
      <c r="BY126" s="70">
        <f t="shared" si="130"/>
        <v>300</v>
      </c>
      <c r="BZ126" s="69">
        <f t="shared" si="131"/>
        <v>343</v>
      </c>
      <c r="CA126" s="70">
        <f t="shared" si="132"/>
        <v>374</v>
      </c>
      <c r="CB126" s="69">
        <f t="shared" si="133"/>
        <v>404</v>
      </c>
      <c r="CC126" s="68">
        <f t="shared" si="134"/>
        <v>164</v>
      </c>
      <c r="CD126" s="69">
        <f t="shared" si="135"/>
        <v>170</v>
      </c>
      <c r="CE126" s="70">
        <f t="shared" si="136"/>
        <v>199</v>
      </c>
      <c r="CF126" s="70" t="str">
        <f t="shared" si="137"/>
        <v>-</v>
      </c>
      <c r="CG126" s="70">
        <f t="shared" si="138"/>
        <v>255</v>
      </c>
      <c r="CH126" s="70" t="str">
        <f t="shared" si="139"/>
        <v>-</v>
      </c>
      <c r="CI126" s="70">
        <f t="shared" si="140"/>
        <v>290</v>
      </c>
      <c r="CJ126" s="70">
        <f t="shared" si="141"/>
        <v>296</v>
      </c>
      <c r="CK126" s="70">
        <f t="shared" si="142"/>
        <v>335</v>
      </c>
      <c r="CL126" s="70">
        <f t="shared" si="143"/>
        <v>367</v>
      </c>
      <c r="CM126" s="70">
        <f t="shared" si="144"/>
        <v>403</v>
      </c>
      <c r="CN126" s="70">
        <f t="shared" si="145"/>
        <v>429</v>
      </c>
      <c r="CO126" s="57">
        <f t="shared" si="118"/>
        <v>1</v>
      </c>
    </row>
    <row r="127" spans="1:93" x14ac:dyDescent="0.2">
      <c r="A127" s="3" t="str">
        <f t="shared" si="119"/>
        <v>glr_human_5EE7</v>
      </c>
      <c r="B127" s="3" t="s">
        <v>206</v>
      </c>
      <c r="C127" s="3" t="s">
        <v>237</v>
      </c>
      <c r="D127" s="3" t="str">
        <f>IFERROR(MID(VLOOKUP($B127,Seqs!$A:$B,2,FALSE),E127,1),"")</f>
        <v>Y</v>
      </c>
      <c r="E127" s="3">
        <v>138</v>
      </c>
      <c r="F127" s="3" t="str">
        <f>IFERROR(MID(VLOOKUP($B127,Seqs!$A:$B,2,FALSE),G127,1),"")</f>
        <v>L</v>
      </c>
      <c r="G127" s="3">
        <v>166</v>
      </c>
      <c r="H127" s="3" t="str">
        <f>IFERROR(MID(VLOOKUP($B127,Seqs!$A:$B,2,FALSE),I127,1),"")</f>
        <v>S</v>
      </c>
      <c r="I127" s="57">
        <v>167</v>
      </c>
      <c r="J127" s="3" t="str">
        <f>IFERROR(MID(VLOOKUP($B127,Seqs!$A:$B,2,FALSE),K127,1),"")</f>
        <v>H</v>
      </c>
      <c r="K127" s="57">
        <v>170</v>
      </c>
      <c r="L127" s="3" t="str">
        <f>IFERROR(MID(VLOOKUP($B127,Seqs!$A:$B,2,FALSE),M127,1),"")</f>
        <v>C</v>
      </c>
      <c r="M127" s="57">
        <v>171</v>
      </c>
      <c r="N127" s="3" t="str">
        <f>IFERROR(MID(VLOOKUP($B127,Seqs!$A:$B,2,FALSE),O127,1),"")</f>
        <v>R</v>
      </c>
      <c r="O127" s="3">
        <v>199</v>
      </c>
      <c r="P127" s="3" t="str">
        <f>IFERROR(MID(VLOOKUP($B127,Seqs!$A:$B,2,FALSE),Q127,1),"")</f>
        <v/>
      </c>
      <c r="Q127" s="3" t="s">
        <v>129</v>
      </c>
      <c r="R127" s="3" t="str">
        <f>IFERROR(MID(VLOOKUP($B127,Seqs!$A:$B,2,FALSE),S127,1),"")</f>
        <v/>
      </c>
      <c r="S127" s="3" t="s">
        <v>129</v>
      </c>
      <c r="T127" s="3" t="str">
        <f>IFERROR(MID(VLOOKUP($B127,Seqs!$A:$B,2,FALSE),U127,1),"")</f>
        <v>D</v>
      </c>
      <c r="U127" s="3">
        <v>218</v>
      </c>
      <c r="V127" s="3" t="str">
        <f>IFERROR(MID(VLOOKUP($B127,Seqs!$A:$B,2,FALSE),W127,1),"")</f>
        <v>G</v>
      </c>
      <c r="W127" s="3">
        <v>254</v>
      </c>
      <c r="X127" s="3" t="str">
        <f>IFERROR(MID(VLOOKUP($B127,Seqs!$A:$B,2,FALSE),Y127,1),"")</f>
        <v/>
      </c>
      <c r="Y127" s="3" t="s">
        <v>129</v>
      </c>
      <c r="Z127" s="3" t="str">
        <f>IFERROR(MID(VLOOKUP($B127,Seqs!$A:$B,2,FALSE),AA127,1),"")</f>
        <v/>
      </c>
      <c r="AA127" s="3" t="s">
        <v>129</v>
      </c>
      <c r="AB127" s="3" t="str">
        <f>IFERROR(MID(VLOOKUP($B127,Seqs!$A:$B,2,FALSE),AC127,1),"")</f>
        <v>S</v>
      </c>
      <c r="AC127" s="3">
        <v>262</v>
      </c>
      <c r="AD127" s="3" t="str">
        <f>IFERROR(MID(VLOOKUP($B127,Seqs!$A:$B,2,FALSE),AE127,1),"")</f>
        <v>E</v>
      </c>
      <c r="AE127" s="3">
        <v>290</v>
      </c>
      <c r="AF127" s="3" t="str">
        <f>IFERROR(MID(VLOOKUP($B127,Seqs!$A:$B,2,FALSE),AG127,1),"")</f>
        <v>C</v>
      </c>
      <c r="AG127" s="3">
        <v>294</v>
      </c>
      <c r="AH127" s="3" t="str">
        <f>IFERROR(MID(VLOOKUP($B127,Seqs!$A:$B,2,FALSE),AI127,1),"")</f>
        <v>T</v>
      </c>
      <c r="AI127" s="3">
        <v>296</v>
      </c>
      <c r="AJ127" s="3" t="str">
        <f>IFERROR(MID(VLOOKUP($B127,Seqs!$A:$B,2,FALSE),AK127,1),"")</f>
        <v>W</v>
      </c>
      <c r="AK127" s="3">
        <v>305</v>
      </c>
      <c r="AL127" s="3" t="str">
        <f>IFERROR(MID(VLOOKUP($B127,Seqs!$A:$B,2,FALSE),AM127,1),"")</f>
        <v>A</v>
      </c>
      <c r="AM127" s="3">
        <v>335</v>
      </c>
      <c r="AN127" s="3" t="str">
        <f>IFERROR(MID(VLOOKUP($B127,Seqs!$A:$B,2,FALSE),AO127,1),"")</f>
        <v>Y</v>
      </c>
      <c r="AO127" s="3">
        <v>343</v>
      </c>
      <c r="AP127" s="3" t="str">
        <f>IFERROR(MID(VLOOKUP($B127,Seqs!$A:$B,2,FALSE),AQ127,1),"")</f>
        <v>D</v>
      </c>
      <c r="AQ127" s="3">
        <v>370</v>
      </c>
      <c r="AR127" s="3" t="str">
        <f>IFERROR(MID(VLOOKUP($B127,Seqs!$A:$B,2,FALSE),AS127,1),"")</f>
        <v>S</v>
      </c>
      <c r="AS127" s="3">
        <v>379</v>
      </c>
      <c r="AT127" s="3" t="str">
        <f>IFERROR(MID(VLOOKUP($B127,Seqs!$A:$B,2,FALSE),AU127,1),"")</f>
        <v>F</v>
      </c>
      <c r="AU127" s="3">
        <v>402</v>
      </c>
      <c r="AV127" s="3" t="str">
        <f>IFERROR(MID(VLOOKUP($B127,Seqs!$A:$B,2,FALSE),AW127,1),"")</f>
        <v>N</v>
      </c>
      <c r="AW127" s="3">
        <v>404</v>
      </c>
      <c r="AX127" s="3" t="str">
        <f>IFERROR(MID(VLOOKUP($B127,Seqs!$A:$B,2,FALSE),AY127,1),"")</f>
        <v>R</v>
      </c>
      <c r="AY127" s="3">
        <v>417</v>
      </c>
      <c r="AZ127" s="83" t="str">
        <f>VLOOKUP(B127,Classification!A:D,2,FALSE)</f>
        <v>B1</v>
      </c>
      <c r="BC127" s="57">
        <f t="shared" si="120"/>
        <v>230</v>
      </c>
      <c r="BD127" s="63" t="b">
        <f t="shared" si="121"/>
        <v>1</v>
      </c>
      <c r="BE127" s="68" t="s">
        <v>1514</v>
      </c>
      <c r="BF127" s="75" t="s">
        <v>1514</v>
      </c>
      <c r="BG127" s="75" t="s">
        <v>1514</v>
      </c>
      <c r="BH127" s="75" t="s">
        <v>1514</v>
      </c>
      <c r="BI127" s="75" t="s">
        <v>1514</v>
      </c>
      <c r="BJ127" s="75" t="s">
        <v>1514</v>
      </c>
      <c r="BK127" s="75" t="s">
        <v>1514</v>
      </c>
      <c r="BL127" s="75" t="s">
        <v>1514</v>
      </c>
      <c r="BM127" s="75" t="s">
        <v>1514</v>
      </c>
      <c r="BN127" s="75" t="s">
        <v>1514</v>
      </c>
      <c r="BO127" s="75" t="s">
        <v>1514</v>
      </c>
      <c r="BP127" s="75" t="s">
        <v>1514</v>
      </c>
      <c r="BQ127" s="68">
        <f t="shared" si="122"/>
        <v>138</v>
      </c>
      <c r="BR127" s="69">
        <f t="shared" si="123"/>
        <v>167</v>
      </c>
      <c r="BS127" s="70">
        <f t="shared" si="124"/>
        <v>171</v>
      </c>
      <c r="BT127" s="69" t="str">
        <f t="shared" si="125"/>
        <v>-</v>
      </c>
      <c r="BU127" s="70">
        <f t="shared" si="126"/>
        <v>218</v>
      </c>
      <c r="BV127" s="69" t="str">
        <f t="shared" si="127"/>
        <v>-</v>
      </c>
      <c r="BW127" s="70">
        <f t="shared" si="128"/>
        <v>262</v>
      </c>
      <c r="BX127" s="69">
        <f t="shared" si="129"/>
        <v>294</v>
      </c>
      <c r="BY127" s="70">
        <f t="shared" si="130"/>
        <v>305</v>
      </c>
      <c r="BZ127" s="69">
        <f t="shared" si="131"/>
        <v>343</v>
      </c>
      <c r="CA127" s="70">
        <f t="shared" si="132"/>
        <v>379</v>
      </c>
      <c r="CB127" s="69">
        <f t="shared" si="133"/>
        <v>404</v>
      </c>
      <c r="CC127" s="68">
        <f t="shared" si="134"/>
        <v>166</v>
      </c>
      <c r="CD127" s="69">
        <f t="shared" si="135"/>
        <v>170</v>
      </c>
      <c r="CE127" s="70">
        <f t="shared" si="136"/>
        <v>199</v>
      </c>
      <c r="CF127" s="70" t="str">
        <f t="shared" si="137"/>
        <v>-</v>
      </c>
      <c r="CG127" s="70">
        <f t="shared" si="138"/>
        <v>254</v>
      </c>
      <c r="CH127" s="70" t="str">
        <f t="shared" si="139"/>
        <v>-</v>
      </c>
      <c r="CI127" s="70">
        <f t="shared" si="140"/>
        <v>290</v>
      </c>
      <c r="CJ127" s="70">
        <f t="shared" si="141"/>
        <v>296</v>
      </c>
      <c r="CK127" s="70">
        <f t="shared" si="142"/>
        <v>335</v>
      </c>
      <c r="CL127" s="70">
        <f t="shared" si="143"/>
        <v>370</v>
      </c>
      <c r="CM127" s="70">
        <f t="shared" si="144"/>
        <v>402</v>
      </c>
      <c r="CN127" s="70">
        <f t="shared" si="145"/>
        <v>417</v>
      </c>
      <c r="CO127" s="57">
        <f t="shared" si="118"/>
        <v>1</v>
      </c>
    </row>
    <row r="128" spans="1:93" x14ac:dyDescent="0.2">
      <c r="A128" s="3" t="str">
        <f t="shared" si="119"/>
        <v>grm1_human__wt</v>
      </c>
      <c r="B128" s="3" t="s">
        <v>223</v>
      </c>
      <c r="C128" s="3" t="s">
        <v>294</v>
      </c>
      <c r="D128" s="3" t="str">
        <f>IFERROR(MID(VLOOKUP($B128,Seqs!$A:$B,2,FALSE),E128,1),"")</f>
        <v>I</v>
      </c>
      <c r="E128" s="3">
        <v>591</v>
      </c>
      <c r="F128" s="3" t="str">
        <f>IFERROR(MID(VLOOKUP($B128,Seqs!$A:$B,2,FALSE),G128,1),"")</f>
        <v>Y</v>
      </c>
      <c r="G128" s="3">
        <v>617</v>
      </c>
      <c r="H128" s="3" t="str">
        <f>IFERROR(MID(VLOOKUP($B128,Seqs!$A:$B,2,FALSE),I128,1),"")</f>
        <v>T</v>
      </c>
      <c r="I128" s="57">
        <v>620</v>
      </c>
      <c r="J128" s="3" t="str">
        <f>IFERROR(MID(VLOOKUP($B128,Seqs!$A:$B,2,FALSE),K128,1),"")</f>
        <v>S</v>
      </c>
      <c r="K128" s="57">
        <v>626</v>
      </c>
      <c r="L128" s="3" t="str">
        <f>IFERROR(MID(VLOOKUP($B128,Seqs!$A:$B,2,FALSE),M128,1),"")</f>
        <v>S</v>
      </c>
      <c r="M128" s="3">
        <v>627</v>
      </c>
      <c r="N128" s="3" t="str">
        <f>IFERROR(MID(VLOOKUP($B128,Seqs!$A:$B,2,FALSE),O128,1),"")</f>
        <v>I</v>
      </c>
      <c r="O128" s="3">
        <v>649</v>
      </c>
      <c r="P128" s="3" t="str">
        <f>IFERROR(MID(VLOOKUP($B128,Seqs!$A:$B,2,FALSE),Q128,1),"")</f>
        <v/>
      </c>
      <c r="Q128" s="3" t="s">
        <v>129</v>
      </c>
      <c r="R128" s="3" t="str">
        <f>IFERROR(MID(VLOOKUP($B128,Seqs!$A:$B,2,FALSE),S128,1),"")</f>
        <v/>
      </c>
      <c r="S128" s="3" t="s">
        <v>129</v>
      </c>
      <c r="T128" s="3" t="str">
        <f>IFERROR(MID(VLOOKUP($B128,Seqs!$A:$B,2,FALSE),U128,1),"")</f>
        <v>T</v>
      </c>
      <c r="U128" s="3">
        <v>654</v>
      </c>
      <c r="V128" s="3" t="str">
        <f>IFERROR(MID(VLOOKUP($B128,Seqs!$A:$B,2,FALSE),W128,1),"")</f>
        <v>L</v>
      </c>
      <c r="W128" s="3">
        <v>686</v>
      </c>
      <c r="X128" s="3" t="str">
        <f>IFERROR(MID(VLOOKUP($B128,Seqs!$A:$B,2,FALSE),Y128,1),"")</f>
        <v/>
      </c>
      <c r="Y128" s="3" t="s">
        <v>129</v>
      </c>
      <c r="Z128" s="3" t="str">
        <f>IFERROR(MID(VLOOKUP($B128,Seqs!$A:$B,2,FALSE),AA128,1),"")</f>
        <v/>
      </c>
      <c r="AA128" s="3" t="s">
        <v>129</v>
      </c>
      <c r="AB128" s="3" t="str">
        <f>IFERROR(MID(VLOOKUP($B128,Seqs!$A:$B,2,FALSE),AC128,1),"")</f>
        <v>A</v>
      </c>
      <c r="AC128" s="3">
        <v>703</v>
      </c>
      <c r="AD128" s="3" t="str">
        <f>IFERROR(MID(VLOOKUP($B128,Seqs!$A:$B,2,FALSE),AE128,1),"")</f>
        <v>E</v>
      </c>
      <c r="AE128" s="3">
        <v>728</v>
      </c>
      <c r="AF128" s="3" t="str">
        <f>IFERROR(MID(VLOOKUP($B128,Seqs!$A:$B,2,FALSE),AG128,1),"")</f>
        <v>C</v>
      </c>
      <c r="AG128" s="3">
        <v>746</v>
      </c>
      <c r="AH128" s="3" t="str">
        <f>IFERROR(MID(VLOOKUP($B128,Seqs!$A:$B,2,FALSE),AI128,1),"")</f>
        <v>T</v>
      </c>
      <c r="AI128" s="3">
        <v>748</v>
      </c>
      <c r="AJ128" s="3" t="str">
        <f>IFERROR(MID(VLOOKUP($B128,Seqs!$A:$B,2,FALSE),AK128,1),"")</f>
        <v>N</v>
      </c>
      <c r="AK128" s="3">
        <v>750</v>
      </c>
      <c r="AL128" s="3" t="str">
        <f>IFERROR(MID(VLOOKUP($B128,Seqs!$A:$B,2,FALSE),AM128,1),"")</f>
        <v>T</v>
      </c>
      <c r="AM128" s="3">
        <v>774</v>
      </c>
      <c r="AN128" s="3" t="str">
        <f>IFERROR(MID(VLOOKUP($B128,Seqs!$A:$B,2,FALSE),AO128,1),"")</f>
        <v>E</v>
      </c>
      <c r="AO128" s="3">
        <v>783</v>
      </c>
      <c r="AP128" s="3" t="str">
        <f>IFERROR(MID(VLOOKUP($B128,Seqs!$A:$B,2,FALSE),AQ128,1),"")</f>
        <v>G</v>
      </c>
      <c r="AQ128" s="3">
        <v>807</v>
      </c>
      <c r="AR128" s="3" t="str">
        <f>IFERROR(MID(VLOOKUP($B128,Seqs!$A:$B,2,FALSE),AS128,1),"")</f>
        <v>K</v>
      </c>
      <c r="AS128" s="3">
        <v>811</v>
      </c>
      <c r="AT128" s="3" t="str">
        <f>IFERROR(MID(VLOOKUP($B128,Seqs!$A:$B,2,FALSE),AU128,1),"")</f>
        <v>A</v>
      </c>
      <c r="AU128" s="3">
        <v>840</v>
      </c>
      <c r="AV128" s="3" t="str">
        <f>IFERROR(MID(VLOOKUP($B128,Seqs!$A:$B,2,FALSE),AW128,1),"")</f>
        <v>K</v>
      </c>
      <c r="AW128" s="3">
        <v>841</v>
      </c>
      <c r="AX128" s="3" t="str">
        <f>IFERROR(MID(VLOOKUP($B128,Seqs!$A:$B,2,FALSE),AY128,1),"")</f>
        <v>S</v>
      </c>
      <c r="AY128" s="3">
        <v>853</v>
      </c>
      <c r="AZ128" s="83" t="str">
        <f>VLOOKUP(B128,Classification!A:D,2,FALSE)</f>
        <v>C</v>
      </c>
      <c r="BA128" s="3" t="s">
        <v>1383</v>
      </c>
      <c r="BB128" s="82" t="e">
        <f>S128-Q128+1</f>
        <v>#VALUE!</v>
      </c>
      <c r="BC128" s="57">
        <f t="shared" si="120"/>
        <v>214</v>
      </c>
      <c r="BD128" s="63" t="b">
        <f t="shared" si="121"/>
        <v>1</v>
      </c>
      <c r="BE128" s="68" t="s">
        <v>1514</v>
      </c>
      <c r="BF128" s="75" t="s">
        <v>1514</v>
      </c>
      <c r="BG128" s="75" t="s">
        <v>1514</v>
      </c>
      <c r="BH128" s="75" t="s">
        <v>1514</v>
      </c>
      <c r="BI128" s="75" t="s">
        <v>1514</v>
      </c>
      <c r="BJ128" s="75" t="s">
        <v>1514</v>
      </c>
      <c r="BK128" s="75" t="s">
        <v>1514</v>
      </c>
      <c r="BL128" s="75" t="s">
        <v>1514</v>
      </c>
      <c r="BM128" s="75" t="s">
        <v>1514</v>
      </c>
      <c r="BN128" s="75" t="s">
        <v>1514</v>
      </c>
      <c r="BO128" s="75" t="s">
        <v>1514</v>
      </c>
      <c r="BP128" s="75" t="s">
        <v>1514</v>
      </c>
      <c r="BQ128" s="68">
        <f t="shared" si="122"/>
        <v>591</v>
      </c>
      <c r="BR128" s="69">
        <f t="shared" si="123"/>
        <v>620</v>
      </c>
      <c r="BS128" s="70">
        <f t="shared" si="124"/>
        <v>627</v>
      </c>
      <c r="BT128" s="69" t="str">
        <f t="shared" si="125"/>
        <v>-</v>
      </c>
      <c r="BU128" s="70">
        <f t="shared" si="126"/>
        <v>654</v>
      </c>
      <c r="BV128" s="69" t="str">
        <f t="shared" si="127"/>
        <v>-</v>
      </c>
      <c r="BW128" s="70">
        <f t="shared" si="128"/>
        <v>703</v>
      </c>
      <c r="BX128" s="69">
        <f t="shared" si="129"/>
        <v>746</v>
      </c>
      <c r="BY128" s="70">
        <f t="shared" si="130"/>
        <v>750</v>
      </c>
      <c r="BZ128" s="69">
        <f t="shared" si="131"/>
        <v>783</v>
      </c>
      <c r="CA128" s="70">
        <f t="shared" si="132"/>
        <v>811</v>
      </c>
      <c r="CB128" s="69">
        <f t="shared" si="133"/>
        <v>841</v>
      </c>
      <c r="CC128" s="68">
        <f t="shared" si="134"/>
        <v>617</v>
      </c>
      <c r="CD128" s="69">
        <f t="shared" si="135"/>
        <v>626</v>
      </c>
      <c r="CE128" s="70">
        <f t="shared" si="136"/>
        <v>649</v>
      </c>
      <c r="CF128" s="70" t="str">
        <f t="shared" si="137"/>
        <v>-</v>
      </c>
      <c r="CG128" s="70">
        <f t="shared" si="138"/>
        <v>686</v>
      </c>
      <c r="CH128" s="70" t="str">
        <f t="shared" si="139"/>
        <v>-</v>
      </c>
      <c r="CI128" s="70">
        <f t="shared" si="140"/>
        <v>728</v>
      </c>
      <c r="CJ128" s="70">
        <f t="shared" si="141"/>
        <v>748</v>
      </c>
      <c r="CK128" s="70">
        <f t="shared" si="142"/>
        <v>774</v>
      </c>
      <c r="CL128" s="70">
        <f t="shared" si="143"/>
        <v>807</v>
      </c>
      <c r="CM128" s="70">
        <f t="shared" si="144"/>
        <v>840</v>
      </c>
      <c r="CN128" s="70">
        <f t="shared" si="145"/>
        <v>853</v>
      </c>
      <c r="CO128" s="57">
        <f t="shared" si="118"/>
        <v>1</v>
      </c>
    </row>
    <row r="129" spans="1:93" x14ac:dyDescent="0.2">
      <c r="A129" s="3" t="str">
        <f t="shared" si="119"/>
        <v>grm1_human_4OR2</v>
      </c>
      <c r="B129" s="3" t="s">
        <v>223</v>
      </c>
      <c r="C129" s="3" t="s">
        <v>289</v>
      </c>
      <c r="D129" s="3" t="str">
        <f>IFERROR(MID(VLOOKUP($B129,Seqs!$A:$B,2,FALSE),E129,1),"")</f>
        <v>I</v>
      </c>
      <c r="E129" s="3">
        <v>591</v>
      </c>
      <c r="F129" s="3" t="str">
        <f>IFERROR(MID(VLOOKUP($B129,Seqs!$A:$B,2,FALSE),G129,1),"")</f>
        <v>Y</v>
      </c>
      <c r="G129" s="3">
        <v>617</v>
      </c>
      <c r="H129" s="3" t="str">
        <f>IFERROR(MID(VLOOKUP($B129,Seqs!$A:$B,2,FALSE),I129,1),"")</f>
        <v>T</v>
      </c>
      <c r="I129" s="57">
        <v>620</v>
      </c>
      <c r="J129" s="3" t="str">
        <f>IFERROR(MID(VLOOKUP($B129,Seqs!$A:$B,2,FALSE),K129,1),"")</f>
        <v>S</v>
      </c>
      <c r="K129" s="57">
        <v>626</v>
      </c>
      <c r="L129" s="3" t="str">
        <f>IFERROR(MID(VLOOKUP($B129,Seqs!$A:$B,2,FALSE),M129,1),"")</f>
        <v>S</v>
      </c>
      <c r="M129" s="3">
        <v>627</v>
      </c>
      <c r="N129" s="3" t="str">
        <f>IFERROR(MID(VLOOKUP($B129,Seqs!$A:$B,2,FALSE),O129,1),"")</f>
        <v>I</v>
      </c>
      <c r="O129" s="3">
        <v>649</v>
      </c>
      <c r="P129" s="3" t="str">
        <f>IFERROR(MID(VLOOKUP($B129,Seqs!$A:$B,2,FALSE),Q129,1),"")</f>
        <v/>
      </c>
      <c r="Q129" s="3" t="s">
        <v>129</v>
      </c>
      <c r="R129" s="3" t="str">
        <f>IFERROR(MID(VLOOKUP($B129,Seqs!$A:$B,2,FALSE),S129,1),"")</f>
        <v/>
      </c>
      <c r="S129" s="3" t="s">
        <v>129</v>
      </c>
      <c r="T129" s="3" t="str">
        <f>IFERROR(MID(VLOOKUP($B129,Seqs!$A:$B,2,FALSE),U129,1),"")</f>
        <v>T</v>
      </c>
      <c r="U129" s="3">
        <v>654</v>
      </c>
      <c r="V129" s="3" t="str">
        <f>IFERROR(MID(VLOOKUP($B129,Seqs!$A:$B,2,FALSE),W129,1),"")</f>
        <v>L</v>
      </c>
      <c r="W129" s="3">
        <v>686</v>
      </c>
      <c r="X129" s="3" t="str">
        <f>IFERROR(MID(VLOOKUP($B129,Seqs!$A:$B,2,FALSE),Y129,1),"")</f>
        <v/>
      </c>
      <c r="Y129" s="3" t="s">
        <v>129</v>
      </c>
      <c r="Z129" s="3" t="str">
        <f>IFERROR(MID(VLOOKUP($B129,Seqs!$A:$B,2,FALSE),AA129,1),"")</f>
        <v/>
      </c>
      <c r="AA129" s="3" t="s">
        <v>129</v>
      </c>
      <c r="AB129" s="3" t="str">
        <f>IFERROR(MID(VLOOKUP($B129,Seqs!$A:$B,2,FALSE),AC129,1),"")</f>
        <v>A</v>
      </c>
      <c r="AC129" s="3">
        <v>703</v>
      </c>
      <c r="AD129" s="3" t="str">
        <f>IFERROR(MID(VLOOKUP($B129,Seqs!$A:$B,2,FALSE),AE129,1),"")</f>
        <v>E</v>
      </c>
      <c r="AE129" s="3">
        <v>728</v>
      </c>
      <c r="AF129" s="3" t="str">
        <f>IFERROR(MID(VLOOKUP($B129,Seqs!$A:$B,2,FALSE),AG129,1),"")</f>
        <v>C</v>
      </c>
      <c r="AG129" s="3">
        <v>746</v>
      </c>
      <c r="AH129" s="3" t="str">
        <f>IFERROR(MID(VLOOKUP($B129,Seqs!$A:$B,2,FALSE),AI129,1),"")</f>
        <v>T</v>
      </c>
      <c r="AI129" s="3">
        <v>748</v>
      </c>
      <c r="AJ129" s="3" t="str">
        <f>IFERROR(MID(VLOOKUP($B129,Seqs!$A:$B,2,FALSE),AK129,1),"")</f>
        <v>N</v>
      </c>
      <c r="AK129" s="3">
        <v>750</v>
      </c>
      <c r="AL129" s="3" t="str">
        <f>IFERROR(MID(VLOOKUP($B129,Seqs!$A:$B,2,FALSE),AM129,1),"")</f>
        <v>T</v>
      </c>
      <c r="AM129" s="3">
        <v>774</v>
      </c>
      <c r="AN129" s="3" t="str">
        <f>IFERROR(MID(VLOOKUP($B129,Seqs!$A:$B,2,FALSE),AO129,1),"")</f>
        <v>E</v>
      </c>
      <c r="AO129" s="3">
        <v>783</v>
      </c>
      <c r="AP129" s="3" t="str">
        <f>IFERROR(MID(VLOOKUP($B129,Seqs!$A:$B,2,FALSE),AQ129,1),"")</f>
        <v>G</v>
      </c>
      <c r="AQ129" s="3">
        <v>807</v>
      </c>
      <c r="AR129" s="3" t="str">
        <f>IFERROR(MID(VLOOKUP($B129,Seqs!$A:$B,2,FALSE),AS129,1),"")</f>
        <v>K</v>
      </c>
      <c r="AS129" s="3">
        <v>811</v>
      </c>
      <c r="AT129" s="3" t="str">
        <f>IFERROR(MID(VLOOKUP($B129,Seqs!$A:$B,2,FALSE),AU129,1),"")</f>
        <v>A</v>
      </c>
      <c r="AU129" s="3">
        <v>840</v>
      </c>
      <c r="AV129" s="3" t="str">
        <f>IFERROR(MID(VLOOKUP($B129,Seqs!$A:$B,2,FALSE),AW129,1),"")</f>
        <v/>
      </c>
      <c r="AW129" s="3" t="s">
        <v>129</v>
      </c>
      <c r="AX129" s="3" t="str">
        <f>IFERROR(MID(VLOOKUP($B129,Seqs!$A:$B,2,FALSE),AY129,1),"")</f>
        <v/>
      </c>
      <c r="AY129" s="3" t="s">
        <v>129</v>
      </c>
      <c r="AZ129" s="83" t="str">
        <f>VLOOKUP(B129,Classification!A:D,2,FALSE)</f>
        <v>C</v>
      </c>
      <c r="BC129" s="57">
        <f t="shared" si="120"/>
        <v>202</v>
      </c>
      <c r="BD129" s="63" t="b">
        <f t="shared" si="121"/>
        <v>1</v>
      </c>
      <c r="BE129" s="68" t="s">
        <v>1514</v>
      </c>
      <c r="BF129" s="75" t="s">
        <v>1514</v>
      </c>
      <c r="BG129" s="75" t="s">
        <v>1514</v>
      </c>
      <c r="BH129" s="75" t="s">
        <v>1514</v>
      </c>
      <c r="BI129" s="75" t="s">
        <v>1514</v>
      </c>
      <c r="BJ129" s="75" t="s">
        <v>1514</v>
      </c>
      <c r="BK129" s="75" t="s">
        <v>1514</v>
      </c>
      <c r="BL129" s="75" t="s">
        <v>1514</v>
      </c>
      <c r="BM129" s="75" t="s">
        <v>1514</v>
      </c>
      <c r="BN129" s="75" t="s">
        <v>1514</v>
      </c>
      <c r="BO129" s="75" t="s">
        <v>1514</v>
      </c>
      <c r="BP129" s="75" t="s">
        <v>1514</v>
      </c>
      <c r="BQ129" s="68">
        <f t="shared" si="122"/>
        <v>591</v>
      </c>
      <c r="BR129" s="69">
        <f t="shared" si="123"/>
        <v>620</v>
      </c>
      <c r="BS129" s="70">
        <f t="shared" si="124"/>
        <v>627</v>
      </c>
      <c r="BT129" s="69" t="str">
        <f t="shared" si="125"/>
        <v>-</v>
      </c>
      <c r="BU129" s="70">
        <f t="shared" si="126"/>
        <v>654</v>
      </c>
      <c r="BV129" s="69" t="str">
        <f t="shared" si="127"/>
        <v>-</v>
      </c>
      <c r="BW129" s="70">
        <f t="shared" si="128"/>
        <v>703</v>
      </c>
      <c r="BX129" s="69">
        <f t="shared" si="129"/>
        <v>746</v>
      </c>
      <c r="BY129" s="70">
        <f t="shared" si="130"/>
        <v>750</v>
      </c>
      <c r="BZ129" s="69">
        <f t="shared" si="131"/>
        <v>783</v>
      </c>
      <c r="CA129" s="70">
        <f t="shared" si="132"/>
        <v>811</v>
      </c>
      <c r="CB129" s="69" t="str">
        <f t="shared" si="133"/>
        <v>-</v>
      </c>
      <c r="CC129" s="68">
        <f t="shared" si="134"/>
        <v>617</v>
      </c>
      <c r="CD129" s="69">
        <f t="shared" si="135"/>
        <v>626</v>
      </c>
      <c r="CE129" s="70">
        <f t="shared" si="136"/>
        <v>649</v>
      </c>
      <c r="CF129" s="70" t="str">
        <f t="shared" si="137"/>
        <v>-</v>
      </c>
      <c r="CG129" s="70">
        <f t="shared" si="138"/>
        <v>686</v>
      </c>
      <c r="CH129" s="70" t="str">
        <f t="shared" si="139"/>
        <v>-</v>
      </c>
      <c r="CI129" s="70">
        <f t="shared" si="140"/>
        <v>728</v>
      </c>
      <c r="CJ129" s="70">
        <f t="shared" si="141"/>
        <v>748</v>
      </c>
      <c r="CK129" s="70">
        <f t="shared" si="142"/>
        <v>774</v>
      </c>
      <c r="CL129" s="70">
        <f t="shared" si="143"/>
        <v>807</v>
      </c>
      <c r="CM129" s="70">
        <f t="shared" si="144"/>
        <v>840</v>
      </c>
      <c r="CN129" s="70" t="str">
        <f t="shared" si="145"/>
        <v>-</v>
      </c>
      <c r="CO129" s="57">
        <f t="shared" si="118"/>
        <v>1</v>
      </c>
    </row>
    <row r="130" spans="1:93" x14ac:dyDescent="0.2">
      <c r="A130" s="3" t="str">
        <f t="shared" si="119"/>
        <v>grm5_human__wt</v>
      </c>
      <c r="B130" s="3" t="s">
        <v>224</v>
      </c>
      <c r="C130" s="3" t="s">
        <v>294</v>
      </c>
      <c r="D130" s="3" t="str">
        <f>IFERROR(MID(VLOOKUP($B130,Seqs!$A:$B,2,FALSE),E130,1),"")</f>
        <v>P</v>
      </c>
      <c r="E130" s="3">
        <v>578</v>
      </c>
      <c r="F130" s="3" t="str">
        <f>IFERROR(MID(VLOOKUP($B130,Seqs!$A:$B,2,FALSE),G130,1),"")</f>
        <v>Y</v>
      </c>
      <c r="G130" s="3">
        <v>604</v>
      </c>
      <c r="H130" s="3" t="str">
        <f>IFERROR(MID(VLOOKUP($B130,Seqs!$A:$B,2,FALSE),I130,1),"")</f>
        <v>T</v>
      </c>
      <c r="I130" s="57">
        <v>607</v>
      </c>
      <c r="J130" s="3" t="str">
        <f>IFERROR(MID(VLOOKUP($B130,Seqs!$A:$B,2,FALSE),K130,1),"")</f>
        <v>S</v>
      </c>
      <c r="K130" s="57">
        <v>613</v>
      </c>
      <c r="L130" s="3" t="str">
        <f>IFERROR(MID(VLOOKUP($B130,Seqs!$A:$B,2,FALSE),M130,1),"")</f>
        <v>S</v>
      </c>
      <c r="M130" s="3">
        <v>614</v>
      </c>
      <c r="N130" s="3" t="str">
        <f>IFERROR(MID(VLOOKUP($B130,Seqs!$A:$B,2,FALSE),O130,1),"")</f>
        <v>I</v>
      </c>
      <c r="O130" s="3">
        <v>636</v>
      </c>
      <c r="P130" s="3" t="str">
        <f>IFERROR(MID(VLOOKUP($B130,Seqs!$A:$B,2,FALSE),Q130,1),"")</f>
        <v/>
      </c>
      <c r="Q130" s="3" t="s">
        <v>129</v>
      </c>
      <c r="R130" s="3" t="str">
        <f>IFERROR(MID(VLOOKUP($B130,Seqs!$A:$B,2,FALSE),S130,1),"")</f>
        <v/>
      </c>
      <c r="S130" s="3" t="s">
        <v>129</v>
      </c>
      <c r="T130" s="3" t="str">
        <f>IFERROR(MID(VLOOKUP($B130,Seqs!$A:$B,2,FALSE),U130,1),"")</f>
        <v>Q</v>
      </c>
      <c r="U130" s="3">
        <v>641</v>
      </c>
      <c r="V130" s="3" t="str">
        <f>IFERROR(MID(VLOOKUP($B130,Seqs!$A:$B,2,FALSE),W130,1),"")</f>
        <v>L</v>
      </c>
      <c r="W130" s="3">
        <v>673</v>
      </c>
      <c r="X130" s="3" t="str">
        <f>IFERROR(MID(VLOOKUP($B130,Seqs!$A:$B,2,FALSE),Y130,1),"")</f>
        <v/>
      </c>
      <c r="Y130" s="3" t="s">
        <v>129</v>
      </c>
      <c r="Z130" s="3" t="str">
        <f>IFERROR(MID(VLOOKUP($B130,Seqs!$A:$B,2,FALSE),AA130,1),"")</f>
        <v/>
      </c>
      <c r="AA130" s="3" t="s">
        <v>129</v>
      </c>
      <c r="AB130" s="3" t="str">
        <f>IFERROR(MID(VLOOKUP($B130,Seqs!$A:$B,2,FALSE),AC130,1),"")</f>
        <v>A</v>
      </c>
      <c r="AC130" s="3">
        <v>690</v>
      </c>
      <c r="AD130" s="3" t="str">
        <f>IFERROR(MID(VLOOKUP($B130,Seqs!$A:$B,2,FALSE),AE130,1),"")</f>
        <v>E</v>
      </c>
      <c r="AE130" s="3">
        <v>715</v>
      </c>
      <c r="AF130" s="3" t="str">
        <f>IFERROR(MID(VLOOKUP($B130,Seqs!$A:$B,2,FALSE),AG130,1),"")</f>
        <v>C</v>
      </c>
      <c r="AG130" s="3">
        <v>733</v>
      </c>
      <c r="AH130" s="3" t="str">
        <f>IFERROR(MID(VLOOKUP($B130,Seqs!$A:$B,2,FALSE),AI130,1),"")</f>
        <v>T</v>
      </c>
      <c r="AI130" s="3">
        <v>735</v>
      </c>
      <c r="AJ130" s="3" t="str">
        <f>IFERROR(MID(VLOOKUP($B130,Seqs!$A:$B,2,FALSE),AK130,1),"")</f>
        <v>N</v>
      </c>
      <c r="AK130" s="3">
        <v>737</v>
      </c>
      <c r="AL130" s="3" t="str">
        <f>IFERROR(MID(VLOOKUP($B130,Seqs!$A:$B,2,FALSE),AM130,1),"")</f>
        <v>T</v>
      </c>
      <c r="AM130" s="3">
        <v>761</v>
      </c>
      <c r="AN130" s="3" t="str">
        <f>IFERROR(MID(VLOOKUP($B130,Seqs!$A:$B,2,FALSE),AO130,1),"")</f>
        <v>E</v>
      </c>
      <c r="AO130" s="3">
        <v>770</v>
      </c>
      <c r="AP130" s="3" t="str">
        <f>IFERROR(MID(VLOOKUP($B130,Seqs!$A:$B,2,FALSE),AQ130,1),"")</f>
        <v>G</v>
      </c>
      <c r="AQ130" s="3">
        <v>794</v>
      </c>
      <c r="AR130" s="3" t="str">
        <f>IFERROR(MID(VLOOKUP($B130,Seqs!$A:$B,2,FALSE),AS130,1),"")</f>
        <v>K</v>
      </c>
      <c r="AS130" s="3">
        <v>798</v>
      </c>
      <c r="AT130" s="3" t="str">
        <f>IFERROR(MID(VLOOKUP($B130,Seqs!$A:$B,2,FALSE),AU130,1),"")</f>
        <v>A</v>
      </c>
      <c r="AU130" s="3">
        <v>827</v>
      </c>
      <c r="AV130" s="3" t="str">
        <f>IFERROR(MID(VLOOKUP($B130,Seqs!$A:$B,2,FALSE),AW130,1),"")</f>
        <v>K</v>
      </c>
      <c r="AW130" s="3">
        <v>828</v>
      </c>
      <c r="AX130" s="3" t="str">
        <f>IFERROR(MID(VLOOKUP($B130,Seqs!$A:$B,2,FALSE),AY130,1),"")</f>
        <v>S</v>
      </c>
      <c r="AY130" s="3">
        <v>840</v>
      </c>
      <c r="AZ130" s="83" t="str">
        <f>VLOOKUP(B130,Classification!A:D,2,FALSE)</f>
        <v>C</v>
      </c>
      <c r="BB130" s="82" t="e">
        <f>S130-Q130+1</f>
        <v>#VALUE!</v>
      </c>
      <c r="BC130" s="57">
        <f t="shared" si="120"/>
        <v>214</v>
      </c>
      <c r="BD130" s="63" t="b">
        <f t="shared" si="121"/>
        <v>1</v>
      </c>
      <c r="BE130" s="68" t="s">
        <v>1514</v>
      </c>
      <c r="BF130" s="75" t="s">
        <v>1514</v>
      </c>
      <c r="BG130" s="75" t="s">
        <v>1514</v>
      </c>
      <c r="BH130" s="75" t="s">
        <v>1514</v>
      </c>
      <c r="BI130" s="75" t="s">
        <v>1514</v>
      </c>
      <c r="BJ130" s="75" t="s">
        <v>1514</v>
      </c>
      <c r="BK130" s="75" t="s">
        <v>1514</v>
      </c>
      <c r="BL130" s="75" t="s">
        <v>1514</v>
      </c>
      <c r="BM130" s="75" t="s">
        <v>1514</v>
      </c>
      <c r="BN130" s="75" t="s">
        <v>1514</v>
      </c>
      <c r="BO130" s="75" t="s">
        <v>1514</v>
      </c>
      <c r="BP130" s="75" t="s">
        <v>1514</v>
      </c>
      <c r="BQ130" s="68">
        <f t="shared" si="122"/>
        <v>578</v>
      </c>
      <c r="BR130" s="69">
        <f t="shared" si="123"/>
        <v>607</v>
      </c>
      <c r="BS130" s="70">
        <f t="shared" si="124"/>
        <v>614</v>
      </c>
      <c r="BT130" s="69" t="str">
        <f t="shared" si="125"/>
        <v>-</v>
      </c>
      <c r="BU130" s="70">
        <f t="shared" si="126"/>
        <v>641</v>
      </c>
      <c r="BV130" s="69" t="str">
        <f t="shared" si="127"/>
        <v>-</v>
      </c>
      <c r="BW130" s="70">
        <f t="shared" si="128"/>
        <v>690</v>
      </c>
      <c r="BX130" s="69">
        <f t="shared" si="129"/>
        <v>733</v>
      </c>
      <c r="BY130" s="70">
        <f t="shared" si="130"/>
        <v>737</v>
      </c>
      <c r="BZ130" s="69">
        <f t="shared" si="131"/>
        <v>770</v>
      </c>
      <c r="CA130" s="70">
        <f t="shared" si="132"/>
        <v>798</v>
      </c>
      <c r="CB130" s="69">
        <f t="shared" si="133"/>
        <v>828</v>
      </c>
      <c r="CC130" s="68">
        <f t="shared" si="134"/>
        <v>604</v>
      </c>
      <c r="CD130" s="69">
        <f t="shared" si="135"/>
        <v>613</v>
      </c>
      <c r="CE130" s="70">
        <f t="shared" si="136"/>
        <v>636</v>
      </c>
      <c r="CF130" s="70" t="str">
        <f t="shared" si="137"/>
        <v>-</v>
      </c>
      <c r="CG130" s="70">
        <f t="shared" si="138"/>
        <v>673</v>
      </c>
      <c r="CH130" s="70" t="str">
        <f t="shared" si="139"/>
        <v>-</v>
      </c>
      <c r="CI130" s="70">
        <f t="shared" si="140"/>
        <v>715</v>
      </c>
      <c r="CJ130" s="70">
        <f t="shared" si="141"/>
        <v>735</v>
      </c>
      <c r="CK130" s="70">
        <f t="shared" si="142"/>
        <v>761</v>
      </c>
      <c r="CL130" s="70">
        <f t="shared" si="143"/>
        <v>794</v>
      </c>
      <c r="CM130" s="70">
        <f t="shared" si="144"/>
        <v>827</v>
      </c>
      <c r="CN130" s="70">
        <f t="shared" si="145"/>
        <v>840</v>
      </c>
      <c r="CO130" s="57">
        <f t="shared" si="118"/>
        <v>1</v>
      </c>
    </row>
    <row r="131" spans="1:93" x14ac:dyDescent="0.2">
      <c r="A131" s="3" t="str">
        <f t="shared" si="119"/>
        <v>grm5_human_4OO9</v>
      </c>
      <c r="B131" s="3" t="s">
        <v>224</v>
      </c>
      <c r="C131" s="3" t="s">
        <v>248</v>
      </c>
      <c r="D131" s="3" t="str">
        <f>IFERROR(MID(VLOOKUP($B131,Seqs!$A:$B,2,FALSE),E131,1),"")</f>
        <v>P</v>
      </c>
      <c r="E131" s="3">
        <v>578</v>
      </c>
      <c r="F131" s="3" t="str">
        <f>IFERROR(MID(VLOOKUP($B131,Seqs!$A:$B,2,FALSE),G131,1),"")</f>
        <v>Y</v>
      </c>
      <c r="G131" s="3">
        <v>604</v>
      </c>
      <c r="H131" s="3" t="str">
        <f>IFERROR(MID(VLOOKUP($B131,Seqs!$A:$B,2,FALSE),I131,1),"")</f>
        <v>T</v>
      </c>
      <c r="I131" s="57">
        <v>607</v>
      </c>
      <c r="J131" s="3" t="str">
        <f>IFERROR(MID(VLOOKUP($B131,Seqs!$A:$B,2,FALSE),K131,1),"")</f>
        <v>S</v>
      </c>
      <c r="K131" s="57">
        <v>613</v>
      </c>
      <c r="L131" s="3" t="str">
        <f>IFERROR(MID(VLOOKUP($B131,Seqs!$A:$B,2,FALSE),M131,1),"")</f>
        <v>S</v>
      </c>
      <c r="M131" s="3">
        <v>614</v>
      </c>
      <c r="N131" s="3" t="str">
        <f>IFERROR(MID(VLOOKUP($B131,Seqs!$A:$B,2,FALSE),O131,1),"")</f>
        <v>I</v>
      </c>
      <c r="O131" s="3">
        <v>636</v>
      </c>
      <c r="P131" s="3" t="str">
        <f>IFERROR(MID(VLOOKUP($B131,Seqs!$A:$B,2,FALSE),Q131,1),"")</f>
        <v/>
      </c>
      <c r="Q131" s="3" t="s">
        <v>129</v>
      </c>
      <c r="R131" s="3" t="str">
        <f>IFERROR(MID(VLOOKUP($B131,Seqs!$A:$B,2,FALSE),S131,1),"")</f>
        <v/>
      </c>
      <c r="S131" s="3" t="s">
        <v>129</v>
      </c>
      <c r="T131" s="3" t="str">
        <f>IFERROR(MID(VLOOKUP($B131,Seqs!$A:$B,2,FALSE),U131,1),"")</f>
        <v>Q</v>
      </c>
      <c r="U131" s="3">
        <v>641</v>
      </c>
      <c r="V131" s="3" t="str">
        <f>IFERROR(MID(VLOOKUP($B131,Seqs!$A:$B,2,FALSE),W131,1),"")</f>
        <v>K</v>
      </c>
      <c r="W131" s="3">
        <v>678</v>
      </c>
      <c r="X131" s="3" t="str">
        <f>IFERROR(MID(VLOOKUP($B131,Seqs!$A:$B,2,FALSE),Y131,1),"")</f>
        <v/>
      </c>
      <c r="Y131" s="3" t="s">
        <v>129</v>
      </c>
      <c r="Z131" s="3" t="str">
        <f>IFERROR(MID(VLOOKUP($B131,Seqs!$A:$B,2,FALSE),AA131,1),"")</f>
        <v/>
      </c>
      <c r="AA131" s="3" t="s">
        <v>129</v>
      </c>
      <c r="AB131" s="3" t="str">
        <f>IFERROR(MID(VLOOKUP($B131,Seqs!$A:$B,2,FALSE),AC131,1),"")</f>
        <v>A</v>
      </c>
      <c r="AC131" s="3">
        <v>690</v>
      </c>
      <c r="AD131" s="3" t="str">
        <f>IFERROR(MID(VLOOKUP($B131,Seqs!$A:$B,2,FALSE),AE131,1),"")</f>
        <v>E</v>
      </c>
      <c r="AE131" s="3">
        <v>715</v>
      </c>
      <c r="AF131" s="3" t="str">
        <f>IFERROR(MID(VLOOKUP($B131,Seqs!$A:$B,2,FALSE),AG131,1),"")</f>
        <v>C</v>
      </c>
      <c r="AG131" s="3">
        <v>733</v>
      </c>
      <c r="AH131" s="3" t="str">
        <f>IFERROR(MID(VLOOKUP($B131,Seqs!$A:$B,2,FALSE),AI131,1),"")</f>
        <v>T</v>
      </c>
      <c r="AI131" s="3">
        <v>735</v>
      </c>
      <c r="AJ131" s="3" t="str">
        <f>IFERROR(MID(VLOOKUP($B131,Seqs!$A:$B,2,FALSE),AK131,1),"")</f>
        <v>N</v>
      </c>
      <c r="AK131" s="3">
        <v>737</v>
      </c>
      <c r="AL131" s="3" t="str">
        <f>IFERROR(MID(VLOOKUP($B131,Seqs!$A:$B,2,FALSE),AM131,1),"")</f>
        <v>T</v>
      </c>
      <c r="AM131" s="3">
        <v>761</v>
      </c>
      <c r="AN131" s="3" t="str">
        <f>IFERROR(MID(VLOOKUP($B131,Seqs!$A:$B,2,FALSE),AO131,1),"")</f>
        <v>E</v>
      </c>
      <c r="AO131" s="3">
        <v>770</v>
      </c>
      <c r="AP131" s="3" t="str">
        <f>IFERROR(MID(VLOOKUP($B131,Seqs!$A:$B,2,FALSE),AQ131,1),"")</f>
        <v>G</v>
      </c>
      <c r="AQ131" s="3">
        <v>794</v>
      </c>
      <c r="AR131" s="3" t="str">
        <f>IFERROR(MID(VLOOKUP($B131,Seqs!$A:$B,2,FALSE),AS131,1),"")</f>
        <v>K</v>
      </c>
      <c r="AS131" s="3">
        <v>798</v>
      </c>
      <c r="AT131" s="3" t="str">
        <f>IFERROR(MID(VLOOKUP($B131,Seqs!$A:$B,2,FALSE),AU131,1),"")</f>
        <v>A</v>
      </c>
      <c r="AU131" s="3">
        <v>827</v>
      </c>
      <c r="AV131" s="3" t="str">
        <f>IFERROR(MID(VLOOKUP($B131,Seqs!$A:$B,2,FALSE),AW131,1),"")</f>
        <v/>
      </c>
      <c r="AW131" s="3" t="s">
        <v>129</v>
      </c>
      <c r="AX131" s="3" t="str">
        <f>IFERROR(MID(VLOOKUP($B131,Seqs!$A:$B,2,FALSE),AY131,1),"")</f>
        <v/>
      </c>
      <c r="AY131" s="3" t="s">
        <v>129</v>
      </c>
      <c r="AZ131" s="83" t="str">
        <f>VLOOKUP(B131,Classification!A:D,2,FALSE)</f>
        <v>C</v>
      </c>
      <c r="BB131" s="35" t="s">
        <v>1315</v>
      </c>
      <c r="BC131" s="57">
        <f t="shared" si="120"/>
        <v>207</v>
      </c>
      <c r="BD131" s="63" t="b">
        <f t="shared" si="121"/>
        <v>1</v>
      </c>
      <c r="BE131" s="68" t="s">
        <v>1514</v>
      </c>
      <c r="BF131" s="75" t="s">
        <v>1514</v>
      </c>
      <c r="BG131" s="75" t="s">
        <v>1514</v>
      </c>
      <c r="BH131" s="75" t="s">
        <v>1514</v>
      </c>
      <c r="BI131" s="75" t="s">
        <v>1514</v>
      </c>
      <c r="BJ131" s="75" t="s">
        <v>1514</v>
      </c>
      <c r="BK131" s="75" t="s">
        <v>1514</v>
      </c>
      <c r="BL131" s="75" t="s">
        <v>1514</v>
      </c>
      <c r="BM131" s="75" t="s">
        <v>1514</v>
      </c>
      <c r="BN131" s="75" t="s">
        <v>1514</v>
      </c>
      <c r="BO131" s="75" t="s">
        <v>1514</v>
      </c>
      <c r="BP131" s="75" t="s">
        <v>1514</v>
      </c>
      <c r="BQ131" s="68">
        <f t="shared" si="122"/>
        <v>578</v>
      </c>
      <c r="BR131" s="69">
        <f t="shared" si="123"/>
        <v>607</v>
      </c>
      <c r="BS131" s="70">
        <f t="shared" si="124"/>
        <v>614</v>
      </c>
      <c r="BT131" s="69" t="str">
        <f t="shared" si="125"/>
        <v>-</v>
      </c>
      <c r="BU131" s="70">
        <f t="shared" si="126"/>
        <v>641</v>
      </c>
      <c r="BV131" s="69" t="str">
        <f t="shared" si="127"/>
        <v>-</v>
      </c>
      <c r="BW131" s="70">
        <f t="shared" si="128"/>
        <v>690</v>
      </c>
      <c r="BX131" s="69">
        <f t="shared" si="129"/>
        <v>733</v>
      </c>
      <c r="BY131" s="70">
        <f t="shared" si="130"/>
        <v>737</v>
      </c>
      <c r="BZ131" s="69">
        <f t="shared" si="131"/>
        <v>770</v>
      </c>
      <c r="CA131" s="70">
        <f t="shared" si="132"/>
        <v>798</v>
      </c>
      <c r="CB131" s="69" t="str">
        <f t="shared" si="133"/>
        <v>-</v>
      </c>
      <c r="CC131" s="68">
        <f t="shared" si="134"/>
        <v>604</v>
      </c>
      <c r="CD131" s="69">
        <f t="shared" si="135"/>
        <v>613</v>
      </c>
      <c r="CE131" s="70">
        <f t="shared" si="136"/>
        <v>636</v>
      </c>
      <c r="CF131" s="70" t="str">
        <f t="shared" si="137"/>
        <v>-</v>
      </c>
      <c r="CG131" s="70">
        <f t="shared" si="138"/>
        <v>678</v>
      </c>
      <c r="CH131" s="70" t="str">
        <f t="shared" si="139"/>
        <v>-</v>
      </c>
      <c r="CI131" s="70">
        <f t="shared" si="140"/>
        <v>715</v>
      </c>
      <c r="CJ131" s="70">
        <f t="shared" si="141"/>
        <v>735</v>
      </c>
      <c r="CK131" s="70">
        <f t="shared" si="142"/>
        <v>761</v>
      </c>
      <c r="CL131" s="70">
        <f t="shared" si="143"/>
        <v>794</v>
      </c>
      <c r="CM131" s="70">
        <f t="shared" si="144"/>
        <v>827</v>
      </c>
      <c r="CN131" s="70" t="str">
        <f t="shared" si="145"/>
        <v>-</v>
      </c>
      <c r="CO131" s="57">
        <f t="shared" si="118"/>
        <v>1</v>
      </c>
    </row>
    <row r="132" spans="1:93" x14ac:dyDescent="0.2">
      <c r="A132" s="3" t="str">
        <f t="shared" si="119"/>
        <v>grm5_human_5CGC</v>
      </c>
      <c r="B132" s="3" t="s">
        <v>224</v>
      </c>
      <c r="C132" s="3" t="s">
        <v>249</v>
      </c>
      <c r="D132" s="3" t="str">
        <f>IFERROR(MID(VLOOKUP($B132,Seqs!$A:$B,2,FALSE),E132,1),"")</f>
        <v>P</v>
      </c>
      <c r="E132" s="3">
        <v>578</v>
      </c>
      <c r="F132" s="3" t="str">
        <f>IFERROR(MID(VLOOKUP($B132,Seqs!$A:$B,2,FALSE),G132,1),"")</f>
        <v>Y</v>
      </c>
      <c r="G132" s="3">
        <v>604</v>
      </c>
      <c r="H132" s="3" t="str">
        <f>IFERROR(MID(VLOOKUP($B132,Seqs!$A:$B,2,FALSE),I132,1),"")</f>
        <v>T</v>
      </c>
      <c r="I132" s="57">
        <v>607</v>
      </c>
      <c r="J132" s="3" t="str">
        <f>IFERROR(MID(VLOOKUP($B132,Seqs!$A:$B,2,FALSE),K132,1),"")</f>
        <v>S</v>
      </c>
      <c r="K132" s="57">
        <v>613</v>
      </c>
      <c r="L132" s="3" t="str">
        <f>IFERROR(MID(VLOOKUP($B132,Seqs!$A:$B,2,FALSE),M132,1),"")</f>
        <v>S</v>
      </c>
      <c r="M132" s="3">
        <v>614</v>
      </c>
      <c r="N132" s="3" t="str">
        <f>IFERROR(MID(VLOOKUP($B132,Seqs!$A:$B,2,FALSE),O132,1),"")</f>
        <v>I</v>
      </c>
      <c r="O132" s="3">
        <v>636</v>
      </c>
      <c r="P132" s="3" t="str">
        <f>IFERROR(MID(VLOOKUP($B132,Seqs!$A:$B,2,FALSE),Q132,1),"")</f>
        <v/>
      </c>
      <c r="Q132" s="3" t="s">
        <v>129</v>
      </c>
      <c r="R132" s="3" t="str">
        <f>IFERROR(MID(VLOOKUP($B132,Seqs!$A:$B,2,FALSE),S132,1),"")</f>
        <v/>
      </c>
      <c r="S132" s="3" t="s">
        <v>129</v>
      </c>
      <c r="T132" s="3" t="str">
        <f>IFERROR(MID(VLOOKUP($B132,Seqs!$A:$B,2,FALSE),U132,1),"")</f>
        <v>Q</v>
      </c>
      <c r="U132" s="3">
        <v>641</v>
      </c>
      <c r="V132" s="3" t="str">
        <f>IFERROR(MID(VLOOKUP($B132,Seqs!$A:$B,2,FALSE),W132,1),"")</f>
        <v>K</v>
      </c>
      <c r="W132" s="3">
        <v>678</v>
      </c>
      <c r="X132" s="3" t="str">
        <f>IFERROR(MID(VLOOKUP($B132,Seqs!$A:$B,2,FALSE),Y132,1),"")</f>
        <v/>
      </c>
      <c r="Y132" s="3" t="s">
        <v>129</v>
      </c>
      <c r="Z132" s="3" t="str">
        <f>IFERROR(MID(VLOOKUP($B132,Seqs!$A:$B,2,FALSE),AA132,1),"")</f>
        <v/>
      </c>
      <c r="AA132" s="3" t="s">
        <v>129</v>
      </c>
      <c r="AB132" s="3" t="str">
        <f>IFERROR(MID(VLOOKUP($B132,Seqs!$A:$B,2,FALSE),AC132,1),"")</f>
        <v>A</v>
      </c>
      <c r="AC132" s="3">
        <v>690</v>
      </c>
      <c r="AD132" s="3" t="str">
        <f>IFERROR(MID(VLOOKUP($B132,Seqs!$A:$B,2,FALSE),AE132,1),"")</f>
        <v>E</v>
      </c>
      <c r="AE132" s="3">
        <v>715</v>
      </c>
      <c r="AF132" s="3" t="str">
        <f>IFERROR(MID(VLOOKUP($B132,Seqs!$A:$B,2,FALSE),AG132,1),"")</f>
        <v>C</v>
      </c>
      <c r="AG132" s="3">
        <v>733</v>
      </c>
      <c r="AH132" s="3" t="str">
        <f>IFERROR(MID(VLOOKUP($B132,Seqs!$A:$B,2,FALSE),AI132,1),"")</f>
        <v>T</v>
      </c>
      <c r="AI132" s="3">
        <v>735</v>
      </c>
      <c r="AJ132" s="3" t="str">
        <f>IFERROR(MID(VLOOKUP($B132,Seqs!$A:$B,2,FALSE),AK132,1),"")</f>
        <v>N</v>
      </c>
      <c r="AK132" s="3">
        <v>737</v>
      </c>
      <c r="AL132" s="3" t="str">
        <f>IFERROR(MID(VLOOKUP($B132,Seqs!$A:$B,2,FALSE),AM132,1),"")</f>
        <v>T</v>
      </c>
      <c r="AM132" s="3">
        <v>761</v>
      </c>
      <c r="AN132" s="3" t="str">
        <f>IFERROR(MID(VLOOKUP($B132,Seqs!$A:$B,2,FALSE),AO132,1),"")</f>
        <v>E</v>
      </c>
      <c r="AO132" s="3">
        <v>770</v>
      </c>
      <c r="AP132" s="3" t="str">
        <f>IFERROR(MID(VLOOKUP($B132,Seqs!$A:$B,2,FALSE),AQ132,1),"")</f>
        <v>G</v>
      </c>
      <c r="AQ132" s="3">
        <v>794</v>
      </c>
      <c r="AR132" s="3" t="str">
        <f>IFERROR(MID(VLOOKUP($B132,Seqs!$A:$B,2,FALSE),AS132,1),"")</f>
        <v>K</v>
      </c>
      <c r="AS132" s="3">
        <v>798</v>
      </c>
      <c r="AT132" s="3" t="str">
        <f>IFERROR(MID(VLOOKUP($B132,Seqs!$A:$B,2,FALSE),AU132,1),"")</f>
        <v>A</v>
      </c>
      <c r="AU132" s="3">
        <v>827</v>
      </c>
      <c r="AV132" s="3" t="str">
        <f>IFERROR(MID(VLOOKUP($B132,Seqs!$A:$B,2,FALSE),AW132,1),"")</f>
        <v/>
      </c>
      <c r="AW132" s="3" t="s">
        <v>129</v>
      </c>
      <c r="AX132" s="3" t="str">
        <f>IFERROR(MID(VLOOKUP($B132,Seqs!$A:$B,2,FALSE),AY132,1),"")</f>
        <v/>
      </c>
      <c r="AY132" s="3" t="s">
        <v>129</v>
      </c>
      <c r="AZ132" s="83" t="str">
        <f>VLOOKUP(B132,Classification!A:D,2,FALSE)</f>
        <v>C</v>
      </c>
      <c r="BC132" s="57">
        <f t="shared" si="120"/>
        <v>207</v>
      </c>
      <c r="BD132" s="63" t="b">
        <f t="shared" si="121"/>
        <v>1</v>
      </c>
      <c r="BE132" s="68" t="s">
        <v>1514</v>
      </c>
      <c r="BF132" s="75" t="s">
        <v>1514</v>
      </c>
      <c r="BG132" s="75" t="s">
        <v>1514</v>
      </c>
      <c r="BH132" s="75" t="s">
        <v>1514</v>
      </c>
      <c r="BI132" s="75" t="s">
        <v>1514</v>
      </c>
      <c r="BJ132" s="75" t="s">
        <v>1514</v>
      </c>
      <c r="BK132" s="75" t="s">
        <v>1514</v>
      </c>
      <c r="BL132" s="75" t="s">
        <v>1514</v>
      </c>
      <c r="BM132" s="75" t="s">
        <v>1514</v>
      </c>
      <c r="BN132" s="75" t="s">
        <v>1514</v>
      </c>
      <c r="BO132" s="75" t="s">
        <v>1514</v>
      </c>
      <c r="BP132" s="75" t="s">
        <v>1514</v>
      </c>
      <c r="BQ132" s="68">
        <f t="shared" si="122"/>
        <v>578</v>
      </c>
      <c r="BR132" s="69">
        <f t="shared" si="123"/>
        <v>607</v>
      </c>
      <c r="BS132" s="70">
        <f t="shared" si="124"/>
        <v>614</v>
      </c>
      <c r="BT132" s="69" t="str">
        <f t="shared" si="125"/>
        <v>-</v>
      </c>
      <c r="BU132" s="70">
        <f t="shared" si="126"/>
        <v>641</v>
      </c>
      <c r="BV132" s="69" t="str">
        <f t="shared" si="127"/>
        <v>-</v>
      </c>
      <c r="BW132" s="70">
        <f t="shared" si="128"/>
        <v>690</v>
      </c>
      <c r="BX132" s="69">
        <f t="shared" si="129"/>
        <v>733</v>
      </c>
      <c r="BY132" s="70">
        <f t="shared" si="130"/>
        <v>737</v>
      </c>
      <c r="BZ132" s="69">
        <f t="shared" si="131"/>
        <v>770</v>
      </c>
      <c r="CA132" s="70">
        <f t="shared" si="132"/>
        <v>798</v>
      </c>
      <c r="CB132" s="69" t="str">
        <f t="shared" si="133"/>
        <v>-</v>
      </c>
      <c r="CC132" s="68">
        <f t="shared" si="134"/>
        <v>604</v>
      </c>
      <c r="CD132" s="69">
        <f t="shared" si="135"/>
        <v>613</v>
      </c>
      <c r="CE132" s="70">
        <f t="shared" si="136"/>
        <v>636</v>
      </c>
      <c r="CF132" s="70" t="str">
        <f t="shared" si="137"/>
        <v>-</v>
      </c>
      <c r="CG132" s="70">
        <f t="shared" si="138"/>
        <v>678</v>
      </c>
      <c r="CH132" s="70" t="str">
        <f t="shared" si="139"/>
        <v>-</v>
      </c>
      <c r="CI132" s="70">
        <f t="shared" si="140"/>
        <v>715</v>
      </c>
      <c r="CJ132" s="70">
        <f t="shared" si="141"/>
        <v>735</v>
      </c>
      <c r="CK132" s="70">
        <f t="shared" si="142"/>
        <v>761</v>
      </c>
      <c r="CL132" s="70">
        <f t="shared" si="143"/>
        <v>794</v>
      </c>
      <c r="CM132" s="70">
        <f t="shared" si="144"/>
        <v>827</v>
      </c>
      <c r="CN132" s="70" t="str">
        <f t="shared" si="145"/>
        <v>-</v>
      </c>
      <c r="CO132" s="57">
        <f t="shared" si="118"/>
        <v>1</v>
      </c>
    </row>
    <row r="133" spans="1:93" x14ac:dyDescent="0.2">
      <c r="A133" s="3" t="str">
        <f t="shared" si="119"/>
        <v>grm5_human_5CGD</v>
      </c>
      <c r="B133" s="3" t="s">
        <v>224</v>
      </c>
      <c r="C133" s="3" t="s">
        <v>250</v>
      </c>
      <c r="D133" s="3" t="str">
        <f>IFERROR(MID(VLOOKUP($B133,Seqs!$A:$B,2,FALSE),E133,1),"")</f>
        <v>P</v>
      </c>
      <c r="E133" s="3">
        <v>578</v>
      </c>
      <c r="F133" s="3" t="str">
        <f>IFERROR(MID(VLOOKUP($B133,Seqs!$A:$B,2,FALSE),G133,1),"")</f>
        <v>Y</v>
      </c>
      <c r="G133" s="3">
        <v>604</v>
      </c>
      <c r="H133" s="3" t="str">
        <f>IFERROR(MID(VLOOKUP($B133,Seqs!$A:$B,2,FALSE),I133,1),"")</f>
        <v>T</v>
      </c>
      <c r="I133" s="57">
        <v>607</v>
      </c>
      <c r="J133" s="3" t="str">
        <f>IFERROR(MID(VLOOKUP($B133,Seqs!$A:$B,2,FALSE),K133,1),"")</f>
        <v>S</v>
      </c>
      <c r="K133" s="57">
        <v>613</v>
      </c>
      <c r="L133" s="3" t="str">
        <f>IFERROR(MID(VLOOKUP($B133,Seqs!$A:$B,2,FALSE),M133,1),"")</f>
        <v>S</v>
      </c>
      <c r="M133" s="3">
        <v>614</v>
      </c>
      <c r="N133" s="3" t="str">
        <f>IFERROR(MID(VLOOKUP($B133,Seqs!$A:$B,2,FALSE),O133,1),"")</f>
        <v>I</v>
      </c>
      <c r="O133" s="3">
        <v>636</v>
      </c>
      <c r="P133" s="3" t="str">
        <f>IFERROR(MID(VLOOKUP($B133,Seqs!$A:$B,2,FALSE),Q133,1),"")</f>
        <v/>
      </c>
      <c r="Q133" s="3" t="s">
        <v>129</v>
      </c>
      <c r="R133" s="3" t="str">
        <f>IFERROR(MID(VLOOKUP($B133,Seqs!$A:$B,2,FALSE),S133,1),"")</f>
        <v/>
      </c>
      <c r="S133" s="3" t="s">
        <v>129</v>
      </c>
      <c r="T133" s="3" t="str">
        <f>IFERROR(MID(VLOOKUP($B133,Seqs!$A:$B,2,FALSE),U133,1),"")</f>
        <v>Q</v>
      </c>
      <c r="U133" s="3">
        <v>641</v>
      </c>
      <c r="V133" s="3" t="str">
        <f>IFERROR(MID(VLOOKUP($B133,Seqs!$A:$B,2,FALSE),W133,1),"")</f>
        <v>K</v>
      </c>
      <c r="W133" s="3">
        <v>678</v>
      </c>
      <c r="X133" s="3" t="str">
        <f>IFERROR(MID(VLOOKUP($B133,Seqs!$A:$B,2,FALSE),Y133,1),"")</f>
        <v/>
      </c>
      <c r="Y133" s="3" t="s">
        <v>129</v>
      </c>
      <c r="Z133" s="3" t="str">
        <f>IFERROR(MID(VLOOKUP($B133,Seqs!$A:$B,2,FALSE),AA133,1),"")</f>
        <v/>
      </c>
      <c r="AA133" s="3" t="s">
        <v>129</v>
      </c>
      <c r="AB133" s="3" t="str">
        <f>IFERROR(MID(VLOOKUP($B133,Seqs!$A:$B,2,FALSE),AC133,1),"")</f>
        <v>A</v>
      </c>
      <c r="AC133" s="3">
        <v>690</v>
      </c>
      <c r="AD133" s="3" t="str">
        <f>IFERROR(MID(VLOOKUP($B133,Seqs!$A:$B,2,FALSE),AE133,1),"")</f>
        <v>E</v>
      </c>
      <c r="AE133" s="3">
        <v>715</v>
      </c>
      <c r="AF133" s="3" t="str">
        <f>IFERROR(MID(VLOOKUP($B133,Seqs!$A:$B,2,FALSE),AG133,1),"")</f>
        <v>C</v>
      </c>
      <c r="AG133" s="3">
        <v>733</v>
      </c>
      <c r="AH133" s="3" t="str">
        <f>IFERROR(MID(VLOOKUP($B133,Seqs!$A:$B,2,FALSE),AI133,1),"")</f>
        <v>T</v>
      </c>
      <c r="AI133" s="3">
        <v>735</v>
      </c>
      <c r="AJ133" s="3" t="str">
        <f>IFERROR(MID(VLOOKUP($B133,Seqs!$A:$B,2,FALSE),AK133,1),"")</f>
        <v>N</v>
      </c>
      <c r="AK133" s="3">
        <v>737</v>
      </c>
      <c r="AL133" s="3" t="str">
        <f>IFERROR(MID(VLOOKUP($B133,Seqs!$A:$B,2,FALSE),AM133,1),"")</f>
        <v>T</v>
      </c>
      <c r="AM133" s="3">
        <v>761</v>
      </c>
      <c r="AN133" s="3" t="str">
        <f>IFERROR(MID(VLOOKUP($B133,Seqs!$A:$B,2,FALSE),AO133,1),"")</f>
        <v>E</v>
      </c>
      <c r="AO133" s="3">
        <v>770</v>
      </c>
      <c r="AP133" s="3" t="str">
        <f>IFERROR(MID(VLOOKUP($B133,Seqs!$A:$B,2,FALSE),AQ133,1),"")</f>
        <v>G</v>
      </c>
      <c r="AQ133" s="3">
        <v>794</v>
      </c>
      <c r="AR133" s="3" t="str">
        <f>IFERROR(MID(VLOOKUP($B133,Seqs!$A:$B,2,FALSE),AS133,1),"")</f>
        <v>K</v>
      </c>
      <c r="AS133" s="3">
        <v>798</v>
      </c>
      <c r="AT133" s="3" t="str">
        <f>IFERROR(MID(VLOOKUP($B133,Seqs!$A:$B,2,FALSE),AU133,1),"")</f>
        <v>A</v>
      </c>
      <c r="AU133" s="3">
        <v>827</v>
      </c>
      <c r="AV133" s="3" t="str">
        <f>IFERROR(MID(VLOOKUP($B133,Seqs!$A:$B,2,FALSE),AW133,1),"")</f>
        <v/>
      </c>
      <c r="AW133" s="3" t="s">
        <v>129</v>
      </c>
      <c r="AX133" s="3" t="str">
        <f>IFERROR(MID(VLOOKUP($B133,Seqs!$A:$B,2,FALSE),AY133,1),"")</f>
        <v/>
      </c>
      <c r="AY133" s="3" t="s">
        <v>129</v>
      </c>
      <c r="AZ133" s="83" t="str">
        <f>VLOOKUP(B133,Classification!A:D,2,FALSE)</f>
        <v>C</v>
      </c>
      <c r="BC133" s="57">
        <f t="shared" si="120"/>
        <v>207</v>
      </c>
      <c r="BD133" s="63" t="b">
        <f t="shared" si="121"/>
        <v>1</v>
      </c>
      <c r="BE133" s="68" t="s">
        <v>1514</v>
      </c>
      <c r="BF133" s="75" t="s">
        <v>1514</v>
      </c>
      <c r="BG133" s="75" t="s">
        <v>1514</v>
      </c>
      <c r="BH133" s="75" t="s">
        <v>1514</v>
      </c>
      <c r="BI133" s="75" t="s">
        <v>1514</v>
      </c>
      <c r="BJ133" s="75" t="s">
        <v>1514</v>
      </c>
      <c r="BK133" s="75" t="s">
        <v>1514</v>
      </c>
      <c r="BL133" s="75" t="s">
        <v>1514</v>
      </c>
      <c r="BM133" s="75" t="s">
        <v>1514</v>
      </c>
      <c r="BN133" s="75" t="s">
        <v>1514</v>
      </c>
      <c r="BO133" s="75" t="s">
        <v>1514</v>
      </c>
      <c r="BP133" s="75" t="s">
        <v>1514</v>
      </c>
      <c r="BQ133" s="68">
        <f t="shared" si="122"/>
        <v>578</v>
      </c>
      <c r="BR133" s="69">
        <f t="shared" si="123"/>
        <v>607</v>
      </c>
      <c r="BS133" s="70">
        <f t="shared" si="124"/>
        <v>614</v>
      </c>
      <c r="BT133" s="69" t="str">
        <f t="shared" si="125"/>
        <v>-</v>
      </c>
      <c r="BU133" s="70">
        <f t="shared" si="126"/>
        <v>641</v>
      </c>
      <c r="BV133" s="69" t="str">
        <f t="shared" si="127"/>
        <v>-</v>
      </c>
      <c r="BW133" s="70">
        <f t="shared" si="128"/>
        <v>690</v>
      </c>
      <c r="BX133" s="69">
        <f t="shared" si="129"/>
        <v>733</v>
      </c>
      <c r="BY133" s="70">
        <f t="shared" si="130"/>
        <v>737</v>
      </c>
      <c r="BZ133" s="69">
        <f t="shared" si="131"/>
        <v>770</v>
      </c>
      <c r="CA133" s="70">
        <f t="shared" si="132"/>
        <v>798</v>
      </c>
      <c r="CB133" s="69" t="str">
        <f t="shared" si="133"/>
        <v>-</v>
      </c>
      <c r="CC133" s="68">
        <f t="shared" si="134"/>
        <v>604</v>
      </c>
      <c r="CD133" s="69">
        <f t="shared" si="135"/>
        <v>613</v>
      </c>
      <c r="CE133" s="70">
        <f t="shared" si="136"/>
        <v>636</v>
      </c>
      <c r="CF133" s="70" t="str">
        <f t="shared" si="137"/>
        <v>-</v>
      </c>
      <c r="CG133" s="70">
        <f t="shared" si="138"/>
        <v>678</v>
      </c>
      <c r="CH133" s="70" t="str">
        <f t="shared" si="139"/>
        <v>-</v>
      </c>
      <c r="CI133" s="70">
        <f t="shared" si="140"/>
        <v>715</v>
      </c>
      <c r="CJ133" s="70">
        <f t="shared" si="141"/>
        <v>735</v>
      </c>
      <c r="CK133" s="70">
        <f t="shared" si="142"/>
        <v>761</v>
      </c>
      <c r="CL133" s="70">
        <f t="shared" si="143"/>
        <v>794</v>
      </c>
      <c r="CM133" s="70">
        <f t="shared" si="144"/>
        <v>827</v>
      </c>
      <c r="CN133" s="70" t="str">
        <f t="shared" si="145"/>
        <v>-</v>
      </c>
      <c r="CO133" s="57">
        <f t="shared" si="118"/>
        <v>1</v>
      </c>
    </row>
    <row r="134" spans="1:93" x14ac:dyDescent="0.2">
      <c r="A134" s="3" t="str">
        <f t="shared" si="119"/>
        <v>smo_human__wt</v>
      </c>
      <c r="B134" s="3" t="s">
        <v>207</v>
      </c>
      <c r="C134" s="3" t="s">
        <v>294</v>
      </c>
      <c r="D134" s="3" t="str">
        <f>IFERROR(MID(VLOOKUP($B134,Seqs!$A:$B,2,FALSE),E134,1),"")</f>
        <v>E</v>
      </c>
      <c r="E134" s="3">
        <v>224</v>
      </c>
      <c r="F134" s="3" t="str">
        <f>IFERROR(MID(VLOOKUP($B134,Seqs!$A:$B,2,FALSE),G134,1),"")</f>
        <v>D</v>
      </c>
      <c r="G134" s="3">
        <v>255</v>
      </c>
      <c r="H134" s="3" t="str">
        <f>IFERROR(MID(VLOOKUP($B134,Seqs!$A:$B,2,FALSE),I134,1),"")</f>
        <v>W</v>
      </c>
      <c r="I134" s="57">
        <v>256</v>
      </c>
      <c r="J134" s="3" t="str">
        <f>IFERROR(MID(VLOOKUP($B134,Seqs!$A:$B,2,FALSE),K134,1),"")</f>
        <v>N</v>
      </c>
      <c r="K134" s="57">
        <v>260</v>
      </c>
      <c r="L134" s="3" t="str">
        <f>IFERROR(MID(VLOOKUP($B134,Seqs!$A:$B,2,FALSE),M134,1),"")</f>
        <v>R</v>
      </c>
      <c r="M134" s="3">
        <v>261</v>
      </c>
      <c r="N134" s="3" t="str">
        <f>IFERROR(MID(VLOOKUP($B134,Seqs!$A:$B,2,FALSE),O134,1),"")</f>
        <v>F</v>
      </c>
      <c r="O134" s="3">
        <v>285</v>
      </c>
      <c r="P134" s="3" t="str">
        <f>IFERROR(MID(VLOOKUP($B134,Seqs!$A:$B,2,FALSE),Q134,1),"")</f>
        <v/>
      </c>
      <c r="Q134" s="3" t="s">
        <v>129</v>
      </c>
      <c r="R134" s="3" t="str">
        <f>IFERROR(MID(VLOOKUP($B134,Seqs!$A:$B,2,FALSE),S134,1),"")</f>
        <v/>
      </c>
      <c r="S134" s="3" t="s">
        <v>129</v>
      </c>
      <c r="T134" s="3" t="str">
        <f>IFERROR(MID(VLOOKUP($B134,Seqs!$A:$B,2,FALSE),U134,1),"")</f>
        <v>L</v>
      </c>
      <c r="U134" s="3">
        <v>312</v>
      </c>
      <c r="V134" s="3" t="str">
        <f>IFERROR(MID(VLOOKUP($B134,Seqs!$A:$B,2,FALSE),W134,1),"")</f>
        <v>T</v>
      </c>
      <c r="W134" s="3">
        <v>348</v>
      </c>
      <c r="X134" s="3" t="str">
        <f>IFERROR(MID(VLOOKUP($B134,Seqs!$A:$B,2,FALSE),Y134,1),"")</f>
        <v/>
      </c>
      <c r="Y134" s="3" t="s">
        <v>129</v>
      </c>
      <c r="Z134" s="3" t="str">
        <f>IFERROR(MID(VLOOKUP($B134,Seqs!$A:$B,2,FALSE),AA134,1),"")</f>
        <v/>
      </c>
      <c r="AA134" s="3" t="s">
        <v>129</v>
      </c>
      <c r="AB134" s="3" t="str">
        <f>IFERROR(MID(VLOOKUP($B134,Seqs!$A:$B,2,FALSE),AC134,1),"")</f>
        <v>L</v>
      </c>
      <c r="AC134" s="3">
        <v>353</v>
      </c>
      <c r="AD134" s="3" t="str">
        <f>IFERROR(MID(VLOOKUP($B134,Seqs!$A:$B,2,FALSE),AE134,1),"")</f>
        <v>V</v>
      </c>
      <c r="AE134" s="3">
        <v>378</v>
      </c>
      <c r="AF134" s="3" t="str">
        <f>IFERROR(MID(VLOOKUP($B134,Seqs!$A:$B,2,FALSE),AG134,1),"")</f>
        <v>C</v>
      </c>
      <c r="AG134" s="3">
        <v>390</v>
      </c>
      <c r="AH134" s="3" t="str">
        <f>IFERROR(MID(VLOOKUP($B134,Seqs!$A:$B,2,FALSE),AI134,1),"")</f>
        <v>V</v>
      </c>
      <c r="AI134" s="3">
        <v>392</v>
      </c>
      <c r="AJ134" s="3" t="str">
        <f>IFERROR(MID(VLOOKUP($B134,Seqs!$A:$B,2,FALSE),AK134,1),"")</f>
        <v>Y</v>
      </c>
      <c r="AK134" s="3">
        <v>397</v>
      </c>
      <c r="AL134" s="3" t="str">
        <f>IFERROR(MID(VLOOKUP($B134,Seqs!$A:$B,2,FALSE),AM134,1),"")</f>
        <v>H</v>
      </c>
      <c r="AM134" s="3">
        <v>433</v>
      </c>
      <c r="AN134" s="3" t="str">
        <f>IFERROR(MID(VLOOKUP($B134,Seqs!$A:$B,2,FALSE),AO134,1),"")</f>
        <v>S</v>
      </c>
      <c r="AO134" s="3">
        <v>443</v>
      </c>
      <c r="AP134" s="3" t="str">
        <f>IFERROR(MID(VLOOKUP($B134,Seqs!$A:$B,2,FALSE),AQ134,1),"")</f>
        <v>N</v>
      </c>
      <c r="AQ134" s="3">
        <v>493</v>
      </c>
      <c r="AR134" s="3" t="str">
        <f>IFERROR(MID(VLOOKUP($B134,Seqs!$A:$B,2,FALSE),AS134,1),"")</f>
        <v>L</v>
      </c>
      <c r="AS134" s="3">
        <v>515</v>
      </c>
      <c r="AT134" s="3" t="str">
        <f>IFERROR(MID(VLOOKUP($B134,Seqs!$A:$B,2,FALSE),AU134,1),"")</f>
        <v>W</v>
      </c>
      <c r="AU134" s="3">
        <v>537</v>
      </c>
      <c r="AV134" s="3" t="str">
        <f>IFERROR(MID(VLOOKUP($B134,Seqs!$A:$B,2,FALSE),AW134,1),"")</f>
        <v>T</v>
      </c>
      <c r="AW134" s="3">
        <v>538</v>
      </c>
      <c r="AX134" s="3" t="str">
        <f>IFERROR(MID(VLOOKUP($B134,Seqs!$A:$B,2,FALSE),AY134,1),"")</f>
        <v>T</v>
      </c>
      <c r="AY134" s="3">
        <v>553</v>
      </c>
      <c r="AZ134" s="83" t="str">
        <f>VLOOKUP(B134,Classification!A:D,2,FALSE)</f>
        <v>F</v>
      </c>
      <c r="BB134" s="82" t="e">
        <f>S134-Q134+1</f>
        <v>#VALUE!</v>
      </c>
      <c r="BC134" s="57">
        <f t="shared" si="120"/>
        <v>257</v>
      </c>
      <c r="BD134" s="63" t="b">
        <f t="shared" si="121"/>
        <v>1</v>
      </c>
      <c r="BE134" s="68" t="s">
        <v>1514</v>
      </c>
      <c r="BF134" s="75" t="s">
        <v>1514</v>
      </c>
      <c r="BG134" s="75" t="s">
        <v>1514</v>
      </c>
      <c r="BH134" s="75" t="s">
        <v>1514</v>
      </c>
      <c r="BI134" s="75" t="s">
        <v>1514</v>
      </c>
      <c r="BJ134" s="75" t="s">
        <v>1514</v>
      </c>
      <c r="BK134" s="75" t="s">
        <v>1514</v>
      </c>
      <c r="BL134" s="75" t="s">
        <v>1514</v>
      </c>
      <c r="BM134" s="75" t="s">
        <v>1514</v>
      </c>
      <c r="BN134" s="75" t="s">
        <v>1514</v>
      </c>
      <c r="BO134" s="75" t="s">
        <v>1514</v>
      </c>
      <c r="BP134" s="75" t="s">
        <v>1514</v>
      </c>
      <c r="BQ134" s="68">
        <f t="shared" si="122"/>
        <v>224</v>
      </c>
      <c r="BR134" s="69">
        <f t="shared" si="123"/>
        <v>256</v>
      </c>
      <c r="BS134" s="70">
        <f t="shared" si="124"/>
        <v>261</v>
      </c>
      <c r="BT134" s="69" t="str">
        <f t="shared" si="125"/>
        <v>-</v>
      </c>
      <c r="BU134" s="70">
        <f t="shared" si="126"/>
        <v>312</v>
      </c>
      <c r="BV134" s="69" t="str">
        <f t="shared" si="127"/>
        <v>-</v>
      </c>
      <c r="BW134" s="70">
        <f t="shared" si="128"/>
        <v>353</v>
      </c>
      <c r="BX134" s="69">
        <f t="shared" si="129"/>
        <v>390</v>
      </c>
      <c r="BY134" s="70">
        <f t="shared" si="130"/>
        <v>397</v>
      </c>
      <c r="BZ134" s="69">
        <f t="shared" si="131"/>
        <v>443</v>
      </c>
      <c r="CA134" s="70">
        <f t="shared" si="132"/>
        <v>515</v>
      </c>
      <c r="CB134" s="69">
        <f t="shared" si="133"/>
        <v>538</v>
      </c>
      <c r="CC134" s="68">
        <f t="shared" si="134"/>
        <v>255</v>
      </c>
      <c r="CD134" s="69">
        <f t="shared" si="135"/>
        <v>260</v>
      </c>
      <c r="CE134" s="70">
        <f t="shared" si="136"/>
        <v>285</v>
      </c>
      <c r="CF134" s="70" t="str">
        <f t="shared" si="137"/>
        <v>-</v>
      </c>
      <c r="CG134" s="70">
        <f t="shared" si="138"/>
        <v>348</v>
      </c>
      <c r="CH134" s="70" t="str">
        <f t="shared" si="139"/>
        <v>-</v>
      </c>
      <c r="CI134" s="70">
        <f t="shared" si="140"/>
        <v>378</v>
      </c>
      <c r="CJ134" s="70">
        <f t="shared" si="141"/>
        <v>392</v>
      </c>
      <c r="CK134" s="70">
        <f t="shared" si="142"/>
        <v>433</v>
      </c>
      <c r="CL134" s="70">
        <f t="shared" si="143"/>
        <v>493</v>
      </c>
      <c r="CM134" s="70">
        <f t="shared" si="144"/>
        <v>537</v>
      </c>
      <c r="CN134" s="70">
        <f t="shared" si="145"/>
        <v>553</v>
      </c>
      <c r="CO134" s="57">
        <f t="shared" si="118"/>
        <v>1</v>
      </c>
    </row>
    <row r="135" spans="1:93" x14ac:dyDescent="0.2">
      <c r="A135" s="3" t="str">
        <f t="shared" si="119"/>
        <v>smo_human_4JKV</v>
      </c>
      <c r="B135" s="3" t="s">
        <v>207</v>
      </c>
      <c r="C135" s="3" t="s">
        <v>278</v>
      </c>
      <c r="D135" s="3" t="str">
        <f>IFERROR(MID(VLOOKUP($B135,Seqs!$A:$B,2,FALSE),E135,1),"")</f>
        <v>E</v>
      </c>
      <c r="E135" s="3">
        <v>224</v>
      </c>
      <c r="F135" s="3" t="str">
        <f>IFERROR(MID(VLOOKUP($B135,Seqs!$A:$B,2,FALSE),G135,1),"")</f>
        <v>D</v>
      </c>
      <c r="G135" s="3">
        <v>255</v>
      </c>
      <c r="H135" s="3" t="str">
        <f>IFERROR(MID(VLOOKUP($B135,Seqs!$A:$B,2,FALSE),I135,1),"")</f>
        <v>W</v>
      </c>
      <c r="I135" s="57">
        <v>256</v>
      </c>
      <c r="J135" s="3" t="str">
        <f>IFERROR(MID(VLOOKUP($B135,Seqs!$A:$B,2,FALSE),K135,1),"")</f>
        <v>N</v>
      </c>
      <c r="K135" s="57">
        <v>260</v>
      </c>
      <c r="L135" s="3" t="str">
        <f>IFERROR(MID(VLOOKUP($B135,Seqs!$A:$B,2,FALSE),M135,1),"")</f>
        <v>R</v>
      </c>
      <c r="M135" s="3">
        <v>261</v>
      </c>
      <c r="N135" s="3" t="str">
        <f>IFERROR(MID(VLOOKUP($B135,Seqs!$A:$B,2,FALSE),O135,1),"")</f>
        <v>F</v>
      </c>
      <c r="O135" s="3">
        <v>285</v>
      </c>
      <c r="P135" s="3" t="str">
        <f>IFERROR(MID(VLOOKUP($B135,Seqs!$A:$B,2,FALSE),Q135,1),"")</f>
        <v/>
      </c>
      <c r="Q135" s="3" t="s">
        <v>129</v>
      </c>
      <c r="R135" s="3" t="str">
        <f>IFERROR(MID(VLOOKUP($B135,Seqs!$A:$B,2,FALSE),S135,1),"")</f>
        <v/>
      </c>
      <c r="S135" s="3" t="s">
        <v>129</v>
      </c>
      <c r="T135" s="3" t="str">
        <f>IFERROR(MID(VLOOKUP($B135,Seqs!$A:$B,2,FALSE),U135,1),"")</f>
        <v>L</v>
      </c>
      <c r="U135" s="3">
        <v>312</v>
      </c>
      <c r="V135" s="3" t="str">
        <f>IFERROR(MID(VLOOKUP($B135,Seqs!$A:$B,2,FALSE),W135,1),"")</f>
        <v>T</v>
      </c>
      <c r="W135" s="3">
        <v>348</v>
      </c>
      <c r="X135" s="3" t="str">
        <f>IFERROR(MID(VLOOKUP($B135,Seqs!$A:$B,2,FALSE),Y135,1),"")</f>
        <v/>
      </c>
      <c r="Y135" s="3" t="s">
        <v>129</v>
      </c>
      <c r="Z135" s="3" t="str">
        <f>IFERROR(MID(VLOOKUP($B135,Seqs!$A:$B,2,FALSE),AA135,1),"")</f>
        <v/>
      </c>
      <c r="AA135" s="3" t="s">
        <v>129</v>
      </c>
      <c r="AB135" s="3" t="str">
        <f>IFERROR(MID(VLOOKUP($B135,Seqs!$A:$B,2,FALSE),AC135,1),"")</f>
        <v>F</v>
      </c>
      <c r="AC135" s="3">
        <v>360</v>
      </c>
      <c r="AD135" s="3" t="str">
        <f>IFERROR(MID(VLOOKUP($B135,Seqs!$A:$B,2,FALSE),AE135,1),"")</f>
        <v>V</v>
      </c>
      <c r="AE135" s="3">
        <v>378</v>
      </c>
      <c r="AF135" s="3" t="str">
        <f>IFERROR(MID(VLOOKUP($B135,Seqs!$A:$B,2,FALSE),AG135,1),"")</f>
        <v>C</v>
      </c>
      <c r="AG135" s="3">
        <v>390</v>
      </c>
      <c r="AH135" s="3" t="str">
        <f>IFERROR(MID(VLOOKUP($B135,Seqs!$A:$B,2,FALSE),AI135,1),"")</f>
        <v>V</v>
      </c>
      <c r="AI135" s="3">
        <v>392</v>
      </c>
      <c r="AJ135" s="3" t="str">
        <f>IFERROR(MID(VLOOKUP($B135,Seqs!$A:$B,2,FALSE),AK135,1),"")</f>
        <v>Y</v>
      </c>
      <c r="AK135" s="3">
        <v>397</v>
      </c>
      <c r="AL135" s="3" t="str">
        <f>IFERROR(MID(VLOOKUP($B135,Seqs!$A:$B,2,FALSE),AM135,1),"")</f>
        <v>H</v>
      </c>
      <c r="AM135" s="3">
        <v>433</v>
      </c>
      <c r="AN135" s="3" t="str">
        <f>IFERROR(MID(VLOOKUP($B135,Seqs!$A:$B,2,FALSE),AO135,1),"")</f>
        <v>S</v>
      </c>
      <c r="AO135" s="3">
        <v>443</v>
      </c>
      <c r="AP135" s="3" t="str">
        <f>IFERROR(MID(VLOOKUP($B135,Seqs!$A:$B,2,FALSE),AQ135,1),"")</f>
        <v>N</v>
      </c>
      <c r="AQ135" s="3">
        <v>493</v>
      </c>
      <c r="AR135" s="3" t="str">
        <f>IFERROR(MID(VLOOKUP($B135,Seqs!$A:$B,2,FALSE),AS135,1),"")</f>
        <v>L</v>
      </c>
      <c r="AS135" s="3">
        <v>515</v>
      </c>
      <c r="AT135" s="3" t="str">
        <f>IFERROR(MID(VLOOKUP($B135,Seqs!$A:$B,2,FALSE),AU135,1),"")</f>
        <v>W</v>
      </c>
      <c r="AU135" s="3">
        <v>537</v>
      </c>
      <c r="AV135" s="3" t="str">
        <f>IFERROR(MID(VLOOKUP($B135,Seqs!$A:$B,2,FALSE),AW135,1),"")</f>
        <v>T</v>
      </c>
      <c r="AW135" s="3">
        <v>538</v>
      </c>
      <c r="AX135" s="3" t="str">
        <f>IFERROR(MID(VLOOKUP($B135,Seqs!$A:$B,2,FALSE),AY135,1),"")</f>
        <v>C</v>
      </c>
      <c r="AY135" s="3">
        <v>550</v>
      </c>
      <c r="AZ135" s="83" t="str">
        <f>VLOOKUP(B135,Classification!A:D,2,FALSE)</f>
        <v>F</v>
      </c>
      <c r="BC135" s="57">
        <f t="shared" si="120"/>
        <v>247</v>
      </c>
      <c r="BD135" s="63" t="b">
        <f t="shared" si="121"/>
        <v>1</v>
      </c>
      <c r="BE135" s="68" t="s">
        <v>1514</v>
      </c>
      <c r="BF135" s="75" t="s">
        <v>1514</v>
      </c>
      <c r="BG135" s="75" t="s">
        <v>1514</v>
      </c>
      <c r="BH135" s="75" t="s">
        <v>1514</v>
      </c>
      <c r="BI135" s="75" t="s">
        <v>1514</v>
      </c>
      <c r="BJ135" s="75" t="s">
        <v>1514</v>
      </c>
      <c r="BK135" s="75" t="s">
        <v>1514</v>
      </c>
      <c r="BL135" s="75" t="s">
        <v>1514</v>
      </c>
      <c r="BM135" s="75" t="s">
        <v>1514</v>
      </c>
      <c r="BN135" s="75" t="s">
        <v>1514</v>
      </c>
      <c r="BO135" s="75" t="s">
        <v>1514</v>
      </c>
      <c r="BP135" s="75" t="s">
        <v>1514</v>
      </c>
      <c r="BQ135" s="68">
        <f t="shared" si="122"/>
        <v>224</v>
      </c>
      <c r="BR135" s="69">
        <f t="shared" si="123"/>
        <v>256</v>
      </c>
      <c r="BS135" s="70">
        <f t="shared" si="124"/>
        <v>261</v>
      </c>
      <c r="BT135" s="69" t="str">
        <f t="shared" si="125"/>
        <v>-</v>
      </c>
      <c r="BU135" s="70">
        <f t="shared" si="126"/>
        <v>312</v>
      </c>
      <c r="BV135" s="69" t="str">
        <f t="shared" si="127"/>
        <v>-</v>
      </c>
      <c r="BW135" s="70">
        <f t="shared" si="128"/>
        <v>360</v>
      </c>
      <c r="BX135" s="69">
        <f t="shared" si="129"/>
        <v>390</v>
      </c>
      <c r="BY135" s="70">
        <f t="shared" si="130"/>
        <v>397</v>
      </c>
      <c r="BZ135" s="69">
        <f t="shared" si="131"/>
        <v>443</v>
      </c>
      <c r="CA135" s="70">
        <f t="shared" si="132"/>
        <v>515</v>
      </c>
      <c r="CB135" s="69">
        <f t="shared" si="133"/>
        <v>538</v>
      </c>
      <c r="CC135" s="68">
        <f t="shared" si="134"/>
        <v>255</v>
      </c>
      <c r="CD135" s="69">
        <f t="shared" si="135"/>
        <v>260</v>
      </c>
      <c r="CE135" s="70">
        <f t="shared" si="136"/>
        <v>285</v>
      </c>
      <c r="CF135" s="70" t="str">
        <f t="shared" si="137"/>
        <v>-</v>
      </c>
      <c r="CG135" s="70">
        <f t="shared" si="138"/>
        <v>348</v>
      </c>
      <c r="CH135" s="70" t="str">
        <f t="shared" si="139"/>
        <v>-</v>
      </c>
      <c r="CI135" s="70">
        <f t="shared" si="140"/>
        <v>378</v>
      </c>
      <c r="CJ135" s="70">
        <f t="shared" si="141"/>
        <v>392</v>
      </c>
      <c r="CK135" s="70">
        <f t="shared" si="142"/>
        <v>433</v>
      </c>
      <c r="CL135" s="70">
        <f t="shared" si="143"/>
        <v>493</v>
      </c>
      <c r="CM135" s="70">
        <f t="shared" si="144"/>
        <v>537</v>
      </c>
      <c r="CN135" s="70">
        <f t="shared" si="145"/>
        <v>550</v>
      </c>
      <c r="CO135" s="57">
        <f t="shared" si="118"/>
        <v>1</v>
      </c>
    </row>
    <row r="136" spans="1:93" x14ac:dyDescent="0.2">
      <c r="A136" s="3" t="str">
        <f t="shared" ref="A136:A139" si="146">CONCATENATE(B136,"_",C136)</f>
        <v>smo_human_4N4W</v>
      </c>
      <c r="B136" s="3" t="s">
        <v>207</v>
      </c>
      <c r="C136" s="3" t="s">
        <v>1254</v>
      </c>
      <c r="D136" s="3" t="str">
        <f>IFERROR(MID(VLOOKUP($B136,Seqs!$A:$B,2,FALSE),E136,1),"")</f>
        <v>E</v>
      </c>
      <c r="E136" s="3">
        <v>224</v>
      </c>
      <c r="F136" s="3" t="str">
        <f>IFERROR(MID(VLOOKUP($B136,Seqs!$A:$B,2,FALSE),G136,1),"")</f>
        <v>D</v>
      </c>
      <c r="G136" s="3">
        <v>255</v>
      </c>
      <c r="H136" s="3" t="str">
        <f>IFERROR(MID(VLOOKUP($B136,Seqs!$A:$B,2,FALSE),I136,1),"")</f>
        <v>W</v>
      </c>
      <c r="I136" s="57">
        <v>256</v>
      </c>
      <c r="J136" s="3" t="str">
        <f>IFERROR(MID(VLOOKUP($B136,Seqs!$A:$B,2,FALSE),K136,1),"")</f>
        <v>N</v>
      </c>
      <c r="K136" s="57">
        <v>260</v>
      </c>
      <c r="L136" s="3" t="str">
        <f>IFERROR(MID(VLOOKUP($B136,Seqs!$A:$B,2,FALSE),M136,1),"")</f>
        <v>R</v>
      </c>
      <c r="M136" s="3">
        <v>261</v>
      </c>
      <c r="N136" s="3" t="str">
        <f>IFERROR(MID(VLOOKUP($B136,Seqs!$A:$B,2,FALSE),O136,1),"")</f>
        <v>F</v>
      </c>
      <c r="O136" s="3">
        <v>285</v>
      </c>
      <c r="P136" s="3" t="str">
        <f>IFERROR(MID(VLOOKUP($B136,Seqs!$A:$B,2,FALSE),Q136,1),"")</f>
        <v/>
      </c>
      <c r="Q136" s="3" t="s">
        <v>129</v>
      </c>
      <c r="R136" s="3" t="str">
        <f>IFERROR(MID(VLOOKUP($B136,Seqs!$A:$B,2,FALSE),S136,1),"")</f>
        <v/>
      </c>
      <c r="S136" s="3" t="s">
        <v>129</v>
      </c>
      <c r="T136" s="3" t="str">
        <f>IFERROR(MID(VLOOKUP($B136,Seqs!$A:$B,2,FALSE),U136,1),"")</f>
        <v>L</v>
      </c>
      <c r="U136" s="3">
        <v>312</v>
      </c>
      <c r="V136" s="3" t="str">
        <f>IFERROR(MID(VLOOKUP($B136,Seqs!$A:$B,2,FALSE),W136,1),"")</f>
        <v>A</v>
      </c>
      <c r="W136" s="3">
        <v>345</v>
      </c>
      <c r="X136" s="3" t="str">
        <f>IFERROR(MID(VLOOKUP($B136,Seqs!$A:$B,2,FALSE),Y136,1),"")</f>
        <v/>
      </c>
      <c r="Y136" s="3" t="s">
        <v>129</v>
      </c>
      <c r="Z136" s="3" t="str">
        <f>IFERROR(MID(VLOOKUP($B136,Seqs!$A:$B,2,FALSE),AA136,1),"")</f>
        <v/>
      </c>
      <c r="AA136" s="3" t="s">
        <v>129</v>
      </c>
      <c r="AB136" s="3" t="str">
        <f>IFERROR(MID(VLOOKUP($B136,Seqs!$A:$B,2,FALSE),AC136,1),"")</f>
        <v>K</v>
      </c>
      <c r="AC136" s="3">
        <v>356</v>
      </c>
      <c r="AD136" s="3" t="str">
        <f>IFERROR(MID(VLOOKUP($B136,Seqs!$A:$B,2,FALSE),AE136,1),"")</f>
        <v>V</v>
      </c>
      <c r="AE136" s="3">
        <v>378</v>
      </c>
      <c r="AF136" s="3" t="str">
        <f>IFERROR(MID(VLOOKUP($B136,Seqs!$A:$B,2,FALSE),AG136,1),"")</f>
        <v>C</v>
      </c>
      <c r="AG136" s="3">
        <v>390</v>
      </c>
      <c r="AH136" s="3" t="str">
        <f>IFERROR(MID(VLOOKUP($B136,Seqs!$A:$B,2,FALSE),AI136,1),"")</f>
        <v>V</v>
      </c>
      <c r="AI136" s="3">
        <v>392</v>
      </c>
      <c r="AJ136" s="3" t="str">
        <f>IFERROR(MID(VLOOKUP($B136,Seqs!$A:$B,2,FALSE),AK136,1),"")</f>
        <v>Y</v>
      </c>
      <c r="AK136" s="3">
        <v>397</v>
      </c>
      <c r="AL136" s="3" t="str">
        <f>IFERROR(MID(VLOOKUP($B136,Seqs!$A:$B,2,FALSE),AM136,1),"")</f>
        <v>H</v>
      </c>
      <c r="AM136" s="3">
        <v>433</v>
      </c>
      <c r="AN136" s="3" t="str">
        <f>IFERROR(MID(VLOOKUP($B136,Seqs!$A:$B,2,FALSE),AO136,1),"")</f>
        <v>S</v>
      </c>
      <c r="AO136" s="3">
        <v>443</v>
      </c>
      <c r="AP136" s="3" t="str">
        <f>IFERROR(MID(VLOOKUP($B136,Seqs!$A:$B,2,FALSE),AQ136,1),"")</f>
        <v>Q</v>
      </c>
      <c r="AQ136" s="3">
        <v>491</v>
      </c>
      <c r="AR136" s="3" t="str">
        <f>IFERROR(MID(VLOOKUP($B136,Seqs!$A:$B,2,FALSE),AS136,1),"")</f>
        <v>L</v>
      </c>
      <c r="AS136" s="3">
        <v>515</v>
      </c>
      <c r="AT136" s="3" t="str">
        <f>IFERROR(MID(VLOOKUP($B136,Seqs!$A:$B,2,FALSE),AU136,1),"")</f>
        <v>W</v>
      </c>
      <c r="AU136" s="3">
        <v>537</v>
      </c>
      <c r="AV136" s="3" t="str">
        <f>IFERROR(MID(VLOOKUP($B136,Seqs!$A:$B,2,FALSE),AW136,1),"")</f>
        <v>T</v>
      </c>
      <c r="AW136" s="3">
        <v>538</v>
      </c>
      <c r="AX136" s="3" t="str">
        <f>IFERROR(MID(VLOOKUP($B136,Seqs!$A:$B,2,FALSE),AY136,1),"")</f>
        <v>L</v>
      </c>
      <c r="AY136" s="3">
        <v>552</v>
      </c>
      <c r="AZ136" s="83" t="str">
        <f>VLOOKUP(B136,Classification!A:D,2,FALSE)</f>
        <v>F</v>
      </c>
      <c r="BB136" s="35" t="s">
        <v>1315</v>
      </c>
      <c r="BC136" s="57">
        <f t="shared" si="120"/>
        <v>248</v>
      </c>
      <c r="BD136" s="63" t="b">
        <f t="shared" si="121"/>
        <v>1</v>
      </c>
      <c r="BE136" s="68" t="s">
        <v>1514</v>
      </c>
      <c r="BF136" s="75" t="s">
        <v>1514</v>
      </c>
      <c r="BG136" s="75" t="s">
        <v>1514</v>
      </c>
      <c r="BH136" s="75" t="s">
        <v>1514</v>
      </c>
      <c r="BI136" s="75" t="s">
        <v>1514</v>
      </c>
      <c r="BJ136" s="75" t="s">
        <v>1514</v>
      </c>
      <c r="BK136" s="75" t="s">
        <v>1514</v>
      </c>
      <c r="BL136" s="75" t="s">
        <v>1514</v>
      </c>
      <c r="BM136" s="75" t="s">
        <v>1514</v>
      </c>
      <c r="BN136" s="75" t="s">
        <v>1514</v>
      </c>
      <c r="BO136" s="75" t="s">
        <v>1514</v>
      </c>
      <c r="BP136" s="75" t="s">
        <v>1514</v>
      </c>
      <c r="BQ136" s="68">
        <f t="shared" si="122"/>
        <v>224</v>
      </c>
      <c r="BR136" s="69">
        <f t="shared" si="123"/>
        <v>256</v>
      </c>
      <c r="BS136" s="70">
        <f t="shared" si="124"/>
        <v>261</v>
      </c>
      <c r="BT136" s="69" t="str">
        <f t="shared" si="125"/>
        <v>-</v>
      </c>
      <c r="BU136" s="70">
        <f t="shared" si="126"/>
        <v>312</v>
      </c>
      <c r="BV136" s="69" t="str">
        <f t="shared" si="127"/>
        <v>-</v>
      </c>
      <c r="BW136" s="70">
        <f t="shared" si="128"/>
        <v>356</v>
      </c>
      <c r="BX136" s="69">
        <f t="shared" si="129"/>
        <v>390</v>
      </c>
      <c r="BY136" s="70">
        <f t="shared" si="130"/>
        <v>397</v>
      </c>
      <c r="BZ136" s="69">
        <f t="shared" si="131"/>
        <v>443</v>
      </c>
      <c r="CA136" s="70">
        <f t="shared" si="132"/>
        <v>515</v>
      </c>
      <c r="CB136" s="69">
        <f t="shared" si="133"/>
        <v>538</v>
      </c>
      <c r="CC136" s="68">
        <f t="shared" si="134"/>
        <v>255</v>
      </c>
      <c r="CD136" s="69">
        <f t="shared" si="135"/>
        <v>260</v>
      </c>
      <c r="CE136" s="70">
        <f t="shared" si="136"/>
        <v>285</v>
      </c>
      <c r="CF136" s="70" t="str">
        <f t="shared" si="137"/>
        <v>-</v>
      </c>
      <c r="CG136" s="70">
        <f t="shared" si="138"/>
        <v>345</v>
      </c>
      <c r="CH136" s="70" t="str">
        <f t="shared" si="139"/>
        <v>-</v>
      </c>
      <c r="CI136" s="70">
        <f t="shared" si="140"/>
        <v>378</v>
      </c>
      <c r="CJ136" s="70">
        <f t="shared" si="141"/>
        <v>392</v>
      </c>
      <c r="CK136" s="70">
        <f t="shared" si="142"/>
        <v>433</v>
      </c>
      <c r="CL136" s="70">
        <f t="shared" si="143"/>
        <v>491</v>
      </c>
      <c r="CM136" s="70">
        <f t="shared" si="144"/>
        <v>537</v>
      </c>
      <c r="CN136" s="70">
        <f t="shared" si="145"/>
        <v>552</v>
      </c>
      <c r="CO136" s="57">
        <f t="shared" si="118"/>
        <v>1</v>
      </c>
    </row>
    <row r="137" spans="1:93" x14ac:dyDescent="0.2">
      <c r="A137" s="3" t="str">
        <f t="shared" si="146"/>
        <v>smo_human_4O9R</v>
      </c>
      <c r="B137" s="3" t="s">
        <v>207</v>
      </c>
      <c r="C137" s="3" t="s">
        <v>1256</v>
      </c>
      <c r="D137" s="3" t="str">
        <f>IFERROR(MID(VLOOKUP($B137,Seqs!$A:$B,2,FALSE),E137,1),"")</f>
        <v>E</v>
      </c>
      <c r="E137" s="3">
        <v>224</v>
      </c>
      <c r="F137" s="3" t="str">
        <f>IFERROR(MID(VLOOKUP($B137,Seqs!$A:$B,2,FALSE),G137,1),"")</f>
        <v>D</v>
      </c>
      <c r="G137" s="3">
        <v>255</v>
      </c>
      <c r="H137" s="3" t="str">
        <f>IFERROR(MID(VLOOKUP($B137,Seqs!$A:$B,2,FALSE),I137,1),"")</f>
        <v>W</v>
      </c>
      <c r="I137" s="57">
        <v>256</v>
      </c>
      <c r="J137" s="3" t="str">
        <f>IFERROR(MID(VLOOKUP($B137,Seqs!$A:$B,2,FALSE),K137,1),"")</f>
        <v>N</v>
      </c>
      <c r="K137" s="57">
        <v>260</v>
      </c>
      <c r="L137" s="3" t="str">
        <f>IFERROR(MID(VLOOKUP($B137,Seqs!$A:$B,2,FALSE),M137,1),"")</f>
        <v>R</v>
      </c>
      <c r="M137" s="3">
        <v>261</v>
      </c>
      <c r="N137" s="3" t="str">
        <f>IFERROR(MID(VLOOKUP($B137,Seqs!$A:$B,2,FALSE),O137,1),"")</f>
        <v>F</v>
      </c>
      <c r="O137" s="3">
        <v>285</v>
      </c>
      <c r="P137" s="3" t="str">
        <f>IFERROR(MID(VLOOKUP($B137,Seqs!$A:$B,2,FALSE),Q137,1),"")</f>
        <v/>
      </c>
      <c r="Q137" s="3" t="s">
        <v>129</v>
      </c>
      <c r="R137" s="3" t="str">
        <f>IFERROR(MID(VLOOKUP($B137,Seqs!$A:$B,2,FALSE),S137,1),"")</f>
        <v/>
      </c>
      <c r="S137" s="3" t="s">
        <v>129</v>
      </c>
      <c r="T137" s="3" t="str">
        <f>IFERROR(MID(VLOOKUP($B137,Seqs!$A:$B,2,FALSE),U137,1),"")</f>
        <v>L</v>
      </c>
      <c r="U137" s="3">
        <v>312</v>
      </c>
      <c r="V137" s="3" t="str">
        <f>IFERROR(MID(VLOOKUP($B137,Seqs!$A:$B,2,FALSE),W137,1),"")</f>
        <v>F</v>
      </c>
      <c r="W137" s="3">
        <v>343</v>
      </c>
      <c r="X137" s="3" t="str">
        <f>IFERROR(MID(VLOOKUP($B137,Seqs!$A:$B,2,FALSE),Y137,1),"")</f>
        <v/>
      </c>
      <c r="Y137" s="3" t="s">
        <v>129</v>
      </c>
      <c r="Z137" s="3" t="str">
        <f>IFERROR(MID(VLOOKUP($B137,Seqs!$A:$B,2,FALSE),AA137,1),"")</f>
        <v/>
      </c>
      <c r="AA137" s="3" t="s">
        <v>129</v>
      </c>
      <c r="AB137" s="3" t="str">
        <f>IFERROR(MID(VLOOKUP($B137,Seqs!$A:$B,2,FALSE),AC137,1),"")</f>
        <v>F</v>
      </c>
      <c r="AC137" s="3">
        <v>360</v>
      </c>
      <c r="AD137" s="3" t="str">
        <f>IFERROR(MID(VLOOKUP($B137,Seqs!$A:$B,2,FALSE),AE137,1),"")</f>
        <v>V</v>
      </c>
      <c r="AE137" s="3">
        <v>378</v>
      </c>
      <c r="AF137" s="3" t="str">
        <f>IFERROR(MID(VLOOKUP($B137,Seqs!$A:$B,2,FALSE),AG137,1),"")</f>
        <v>C</v>
      </c>
      <c r="AG137" s="3">
        <v>390</v>
      </c>
      <c r="AH137" s="3" t="str">
        <f>IFERROR(MID(VLOOKUP($B137,Seqs!$A:$B,2,FALSE),AI137,1),"")</f>
        <v>V</v>
      </c>
      <c r="AI137" s="3">
        <v>392</v>
      </c>
      <c r="AJ137" s="3" t="str">
        <f>IFERROR(MID(VLOOKUP($B137,Seqs!$A:$B,2,FALSE),AK137,1),"")</f>
        <v>Y</v>
      </c>
      <c r="AK137" s="3">
        <v>397</v>
      </c>
      <c r="AL137" s="3" t="str">
        <f>IFERROR(MID(VLOOKUP($B137,Seqs!$A:$B,2,FALSE),AM137,1),"")</f>
        <v>H</v>
      </c>
      <c r="AM137" s="3">
        <v>433</v>
      </c>
      <c r="AN137" s="3" t="str">
        <f>IFERROR(MID(VLOOKUP($B137,Seqs!$A:$B,2,FALSE),AO137,1),"")</f>
        <v>E</v>
      </c>
      <c r="AO137" s="3">
        <v>447</v>
      </c>
      <c r="AP137" s="3" t="str">
        <f>IFERROR(MID(VLOOKUP($B137,Seqs!$A:$B,2,FALSE),AQ137,1),"")</f>
        <v>N</v>
      </c>
      <c r="AQ137" s="3">
        <v>493</v>
      </c>
      <c r="AR137" s="3" t="str">
        <f>IFERROR(MID(VLOOKUP($B137,Seqs!$A:$B,2,FALSE),AS137,1),"")</f>
        <v>L</v>
      </c>
      <c r="AS137" s="3">
        <v>515</v>
      </c>
      <c r="AT137" s="3" t="str">
        <f>IFERROR(MID(VLOOKUP($B137,Seqs!$A:$B,2,FALSE),AU137,1),"")</f>
        <v>W</v>
      </c>
      <c r="AU137" s="3">
        <v>537</v>
      </c>
      <c r="AV137" s="3" t="str">
        <f>IFERROR(MID(VLOOKUP($B137,Seqs!$A:$B,2,FALSE),AW137,1),"")</f>
        <v>T</v>
      </c>
      <c r="AW137" s="3">
        <v>538</v>
      </c>
      <c r="AX137" s="3" t="str">
        <f>IFERROR(MID(VLOOKUP($B137,Seqs!$A:$B,2,FALSE),AY137,1),"")</f>
        <v>W</v>
      </c>
      <c r="AY137" s="3">
        <v>549</v>
      </c>
      <c r="AZ137" s="83" t="str">
        <f>VLOOKUP(B137,Classification!A:D,2,FALSE)</f>
        <v>F</v>
      </c>
      <c r="BC137" s="57">
        <f t="shared" si="120"/>
        <v>237</v>
      </c>
      <c r="BD137" s="63" t="b">
        <f t="shared" si="121"/>
        <v>1</v>
      </c>
      <c r="BE137" s="68" t="s">
        <v>1514</v>
      </c>
      <c r="BF137" s="75" t="s">
        <v>1514</v>
      </c>
      <c r="BG137" s="75" t="s">
        <v>1514</v>
      </c>
      <c r="BH137" s="75" t="s">
        <v>1514</v>
      </c>
      <c r="BI137" s="75" t="s">
        <v>1514</v>
      </c>
      <c r="BJ137" s="75" t="s">
        <v>1514</v>
      </c>
      <c r="BK137" s="75" t="s">
        <v>1514</v>
      </c>
      <c r="BL137" s="75" t="s">
        <v>1514</v>
      </c>
      <c r="BM137" s="75" t="s">
        <v>1514</v>
      </c>
      <c r="BN137" s="75" t="s">
        <v>1514</v>
      </c>
      <c r="BO137" s="75" t="s">
        <v>1514</v>
      </c>
      <c r="BP137" s="75" t="s">
        <v>1514</v>
      </c>
      <c r="BQ137" s="68">
        <f t="shared" si="122"/>
        <v>224</v>
      </c>
      <c r="BR137" s="69">
        <f t="shared" si="123"/>
        <v>256</v>
      </c>
      <c r="BS137" s="70">
        <f t="shared" si="124"/>
        <v>261</v>
      </c>
      <c r="BT137" s="69" t="str">
        <f t="shared" si="125"/>
        <v>-</v>
      </c>
      <c r="BU137" s="70">
        <f t="shared" si="126"/>
        <v>312</v>
      </c>
      <c r="BV137" s="69" t="str">
        <f t="shared" si="127"/>
        <v>-</v>
      </c>
      <c r="BW137" s="70">
        <f t="shared" si="128"/>
        <v>360</v>
      </c>
      <c r="BX137" s="69">
        <f t="shared" si="129"/>
        <v>390</v>
      </c>
      <c r="BY137" s="70">
        <f t="shared" si="130"/>
        <v>397</v>
      </c>
      <c r="BZ137" s="69">
        <f t="shared" si="131"/>
        <v>447</v>
      </c>
      <c r="CA137" s="70">
        <f t="shared" si="132"/>
        <v>515</v>
      </c>
      <c r="CB137" s="69">
        <f t="shared" si="133"/>
        <v>538</v>
      </c>
      <c r="CC137" s="68">
        <f t="shared" si="134"/>
        <v>255</v>
      </c>
      <c r="CD137" s="69">
        <f t="shared" si="135"/>
        <v>260</v>
      </c>
      <c r="CE137" s="70">
        <f t="shared" si="136"/>
        <v>285</v>
      </c>
      <c r="CF137" s="70" t="str">
        <f t="shared" si="137"/>
        <v>-</v>
      </c>
      <c r="CG137" s="70">
        <f t="shared" si="138"/>
        <v>343</v>
      </c>
      <c r="CH137" s="70" t="str">
        <f t="shared" si="139"/>
        <v>-</v>
      </c>
      <c r="CI137" s="70">
        <f t="shared" si="140"/>
        <v>378</v>
      </c>
      <c r="CJ137" s="70">
        <f t="shared" si="141"/>
        <v>392</v>
      </c>
      <c r="CK137" s="70">
        <f t="shared" si="142"/>
        <v>433</v>
      </c>
      <c r="CL137" s="70">
        <f t="shared" si="143"/>
        <v>493</v>
      </c>
      <c r="CM137" s="70">
        <f t="shared" si="144"/>
        <v>537</v>
      </c>
      <c r="CN137" s="70">
        <f t="shared" si="145"/>
        <v>549</v>
      </c>
      <c r="CO137" s="57">
        <f t="shared" ref="CO137:CO139" si="147">M137-K137</f>
        <v>1</v>
      </c>
    </row>
    <row r="138" spans="1:93" x14ac:dyDescent="0.2">
      <c r="A138" s="3" t="str">
        <f t="shared" si="146"/>
        <v>smo_human_4QIM</v>
      </c>
      <c r="B138" s="3" t="s">
        <v>207</v>
      </c>
      <c r="C138" s="3" t="s">
        <v>1258</v>
      </c>
      <c r="D138" s="3" t="str">
        <f>IFERROR(MID(VLOOKUP($B138,Seqs!$A:$B,2,FALSE),E138,1),"")</f>
        <v>E</v>
      </c>
      <c r="E138" s="3">
        <v>224</v>
      </c>
      <c r="F138" s="3" t="str">
        <f>IFERROR(MID(VLOOKUP($B138,Seqs!$A:$B,2,FALSE),G138,1),"")</f>
        <v>D</v>
      </c>
      <c r="G138" s="3">
        <v>255</v>
      </c>
      <c r="H138" s="3" t="str">
        <f>IFERROR(MID(VLOOKUP($B138,Seqs!$A:$B,2,FALSE),I138,1),"")</f>
        <v>W</v>
      </c>
      <c r="I138" s="57">
        <v>256</v>
      </c>
      <c r="J138" s="3" t="str">
        <f>IFERROR(MID(VLOOKUP($B138,Seqs!$A:$B,2,FALSE),K138,1),"")</f>
        <v>N</v>
      </c>
      <c r="K138" s="57">
        <v>260</v>
      </c>
      <c r="L138" s="3" t="str">
        <f>IFERROR(MID(VLOOKUP($B138,Seqs!$A:$B,2,FALSE),M138,1),"")</f>
        <v>R</v>
      </c>
      <c r="M138" s="3">
        <v>261</v>
      </c>
      <c r="N138" s="3" t="str">
        <f>IFERROR(MID(VLOOKUP($B138,Seqs!$A:$B,2,FALSE),O138,1),"")</f>
        <v>F</v>
      </c>
      <c r="O138" s="3">
        <v>285</v>
      </c>
      <c r="P138" s="3" t="str">
        <f>IFERROR(MID(VLOOKUP($B138,Seqs!$A:$B,2,FALSE),Q138,1),"")</f>
        <v/>
      </c>
      <c r="Q138" s="3" t="s">
        <v>129</v>
      </c>
      <c r="R138" s="3" t="str">
        <f>IFERROR(MID(VLOOKUP($B138,Seqs!$A:$B,2,FALSE),S138,1),"")</f>
        <v/>
      </c>
      <c r="S138" s="3" t="s">
        <v>129</v>
      </c>
      <c r="T138" s="3" t="str">
        <f>IFERROR(MID(VLOOKUP($B138,Seqs!$A:$B,2,FALSE),U138,1),"")</f>
        <v>L</v>
      </c>
      <c r="U138" s="3">
        <v>312</v>
      </c>
      <c r="V138" s="3" t="str">
        <f>IFERROR(MID(VLOOKUP($B138,Seqs!$A:$B,2,FALSE),W138,1),"")</f>
        <v>A</v>
      </c>
      <c r="W138" s="3">
        <v>345</v>
      </c>
      <c r="X138" s="3" t="str">
        <f>IFERROR(MID(VLOOKUP($B138,Seqs!$A:$B,2,FALSE),Y138,1),"")</f>
        <v/>
      </c>
      <c r="Y138" s="3" t="s">
        <v>129</v>
      </c>
      <c r="Z138" s="3" t="str">
        <f>IFERROR(MID(VLOOKUP($B138,Seqs!$A:$B,2,FALSE),AA138,1),"")</f>
        <v/>
      </c>
      <c r="AA138" s="3" t="s">
        <v>129</v>
      </c>
      <c r="AB138" s="3" t="str">
        <f>IFERROR(MID(VLOOKUP($B138,Seqs!$A:$B,2,FALSE),AC138,1),"")</f>
        <v>K</v>
      </c>
      <c r="AC138" s="3">
        <v>356</v>
      </c>
      <c r="AD138" s="3" t="str">
        <f>IFERROR(MID(VLOOKUP($B138,Seqs!$A:$B,2,FALSE),AE138,1),"")</f>
        <v>V</v>
      </c>
      <c r="AE138" s="3">
        <v>378</v>
      </c>
      <c r="AF138" s="3" t="str">
        <f>IFERROR(MID(VLOOKUP($B138,Seqs!$A:$B,2,FALSE),AG138,1),"")</f>
        <v>C</v>
      </c>
      <c r="AG138" s="3">
        <v>390</v>
      </c>
      <c r="AH138" s="3" t="str">
        <f>IFERROR(MID(VLOOKUP($B138,Seqs!$A:$B,2,FALSE),AI138,1),"")</f>
        <v>V</v>
      </c>
      <c r="AI138" s="3">
        <v>392</v>
      </c>
      <c r="AJ138" s="3" t="str">
        <f>IFERROR(MID(VLOOKUP($B138,Seqs!$A:$B,2,FALSE),AK138,1),"")</f>
        <v>Y</v>
      </c>
      <c r="AK138" s="3">
        <v>397</v>
      </c>
      <c r="AL138" s="3" t="str">
        <f>IFERROR(MID(VLOOKUP($B138,Seqs!$A:$B,2,FALSE),AM138,1),"")</f>
        <v>H</v>
      </c>
      <c r="AM138" s="3">
        <v>433</v>
      </c>
      <c r="AN138" s="3" t="str">
        <f>IFERROR(MID(VLOOKUP($B138,Seqs!$A:$B,2,FALSE),AO138,1),"")</f>
        <v>E</v>
      </c>
      <c r="AO138" s="3">
        <v>447</v>
      </c>
      <c r="AP138" s="3" t="str">
        <f>IFERROR(MID(VLOOKUP($B138,Seqs!$A:$B,2,FALSE),AQ138,1),"")</f>
        <v>N</v>
      </c>
      <c r="AQ138" s="3">
        <v>493</v>
      </c>
      <c r="AR138" s="3" t="str">
        <f>IFERROR(MID(VLOOKUP($B138,Seqs!$A:$B,2,FALSE),AS138,1),"")</f>
        <v>L</v>
      </c>
      <c r="AS138" s="3">
        <v>515</v>
      </c>
      <c r="AT138" s="3" t="str">
        <f>IFERROR(MID(VLOOKUP($B138,Seqs!$A:$B,2,FALSE),AU138,1),"")</f>
        <v>W</v>
      </c>
      <c r="AU138" s="3">
        <v>537</v>
      </c>
      <c r="AV138" s="3" t="str">
        <f>IFERROR(MID(VLOOKUP($B138,Seqs!$A:$B,2,FALSE),AW138,1),"")</f>
        <v>T</v>
      </c>
      <c r="AW138" s="3">
        <v>538</v>
      </c>
      <c r="AX138" s="3" t="str">
        <f>IFERROR(MID(VLOOKUP($B138,Seqs!$A:$B,2,FALSE),AY138,1),"")</f>
        <v>T</v>
      </c>
      <c r="AY138" s="3">
        <v>553</v>
      </c>
      <c r="AZ138" s="83" t="str">
        <f>VLOOKUP(B138,Classification!A:D,2,FALSE)</f>
        <v>F</v>
      </c>
      <c r="BC138" s="57">
        <f t="shared" si="120"/>
        <v>247</v>
      </c>
      <c r="BD138" s="63" t="b">
        <f t="shared" si="121"/>
        <v>1</v>
      </c>
      <c r="BE138" s="68" t="s">
        <v>1514</v>
      </c>
      <c r="BF138" s="75" t="s">
        <v>1514</v>
      </c>
      <c r="BG138" s="75" t="s">
        <v>1514</v>
      </c>
      <c r="BH138" s="75" t="s">
        <v>1514</v>
      </c>
      <c r="BI138" s="75" t="s">
        <v>1514</v>
      </c>
      <c r="BJ138" s="75" t="s">
        <v>1514</v>
      </c>
      <c r="BK138" s="75" t="s">
        <v>1514</v>
      </c>
      <c r="BL138" s="75" t="s">
        <v>1514</v>
      </c>
      <c r="BM138" s="75" t="s">
        <v>1514</v>
      </c>
      <c r="BN138" s="75" t="s">
        <v>1514</v>
      </c>
      <c r="BO138" s="75" t="s">
        <v>1514</v>
      </c>
      <c r="BP138" s="75" t="s">
        <v>1514</v>
      </c>
      <c r="BQ138" s="68">
        <f t="shared" si="122"/>
        <v>224</v>
      </c>
      <c r="BR138" s="69">
        <f t="shared" si="123"/>
        <v>256</v>
      </c>
      <c r="BS138" s="70">
        <f t="shared" si="124"/>
        <v>261</v>
      </c>
      <c r="BT138" s="69" t="str">
        <f t="shared" si="125"/>
        <v>-</v>
      </c>
      <c r="BU138" s="70">
        <f t="shared" si="126"/>
        <v>312</v>
      </c>
      <c r="BV138" s="69" t="str">
        <f t="shared" si="127"/>
        <v>-</v>
      </c>
      <c r="BW138" s="70">
        <f t="shared" si="128"/>
        <v>356</v>
      </c>
      <c r="BX138" s="69">
        <f t="shared" si="129"/>
        <v>390</v>
      </c>
      <c r="BY138" s="70">
        <f t="shared" si="130"/>
        <v>397</v>
      </c>
      <c r="BZ138" s="69">
        <f t="shared" si="131"/>
        <v>447</v>
      </c>
      <c r="CA138" s="70">
        <f t="shared" si="132"/>
        <v>515</v>
      </c>
      <c r="CB138" s="69">
        <f t="shared" si="133"/>
        <v>538</v>
      </c>
      <c r="CC138" s="68">
        <f t="shared" si="134"/>
        <v>255</v>
      </c>
      <c r="CD138" s="69">
        <f t="shared" si="135"/>
        <v>260</v>
      </c>
      <c r="CE138" s="70">
        <f t="shared" si="136"/>
        <v>285</v>
      </c>
      <c r="CF138" s="70" t="str">
        <f t="shared" si="137"/>
        <v>-</v>
      </c>
      <c r="CG138" s="70">
        <f t="shared" si="138"/>
        <v>345</v>
      </c>
      <c r="CH138" s="70" t="str">
        <f t="shared" si="139"/>
        <v>-</v>
      </c>
      <c r="CI138" s="70">
        <f t="shared" si="140"/>
        <v>378</v>
      </c>
      <c r="CJ138" s="70">
        <f t="shared" si="141"/>
        <v>392</v>
      </c>
      <c r="CK138" s="70">
        <f t="shared" si="142"/>
        <v>433</v>
      </c>
      <c r="CL138" s="70">
        <f t="shared" si="143"/>
        <v>493</v>
      </c>
      <c r="CM138" s="70">
        <f t="shared" si="144"/>
        <v>537</v>
      </c>
      <c r="CN138" s="70">
        <f t="shared" si="145"/>
        <v>553</v>
      </c>
      <c r="CO138" s="57">
        <f t="shared" si="147"/>
        <v>1</v>
      </c>
    </row>
    <row r="139" spans="1:93" x14ac:dyDescent="0.2">
      <c r="A139" s="3" t="str">
        <f t="shared" si="146"/>
        <v>smo_human_4QIN</v>
      </c>
      <c r="B139" s="3" t="s">
        <v>207</v>
      </c>
      <c r="C139" s="3" t="s">
        <v>247</v>
      </c>
      <c r="D139" s="3" t="str">
        <f>IFERROR(MID(VLOOKUP($B139,Seqs!$A:$B,2,FALSE),E139,1),"")</f>
        <v>E</v>
      </c>
      <c r="E139" s="3">
        <v>224</v>
      </c>
      <c r="F139" s="3" t="str">
        <f>IFERROR(MID(VLOOKUP($B139,Seqs!$A:$B,2,FALSE),G139,1),"")</f>
        <v>D</v>
      </c>
      <c r="G139" s="3">
        <v>255</v>
      </c>
      <c r="H139" s="3" t="str">
        <f>IFERROR(MID(VLOOKUP($B139,Seqs!$A:$B,2,FALSE),I139,1),"")</f>
        <v>W</v>
      </c>
      <c r="I139" s="57">
        <v>256</v>
      </c>
      <c r="J139" s="3" t="str">
        <f>IFERROR(MID(VLOOKUP($B139,Seqs!$A:$B,2,FALSE),K139,1),"")</f>
        <v>N</v>
      </c>
      <c r="K139" s="57">
        <v>260</v>
      </c>
      <c r="L139" s="3" t="str">
        <f>IFERROR(MID(VLOOKUP($B139,Seqs!$A:$B,2,FALSE),M139,1),"")</f>
        <v>R</v>
      </c>
      <c r="M139" s="3">
        <v>261</v>
      </c>
      <c r="N139" s="3" t="str">
        <f>IFERROR(MID(VLOOKUP($B139,Seqs!$A:$B,2,FALSE),O139,1),"")</f>
        <v>F</v>
      </c>
      <c r="O139" s="3">
        <v>285</v>
      </c>
      <c r="P139" s="3" t="str">
        <f>IFERROR(MID(VLOOKUP($B139,Seqs!$A:$B,2,FALSE),Q139,1),"")</f>
        <v/>
      </c>
      <c r="Q139" s="3" t="s">
        <v>129</v>
      </c>
      <c r="R139" s="3" t="str">
        <f>IFERROR(MID(VLOOKUP($B139,Seqs!$A:$B,2,FALSE),S139,1),"")</f>
        <v/>
      </c>
      <c r="S139" s="3" t="s">
        <v>129</v>
      </c>
      <c r="T139" s="3" t="str">
        <f>IFERROR(MID(VLOOKUP($B139,Seqs!$A:$B,2,FALSE),U139,1),"")</f>
        <v>L</v>
      </c>
      <c r="U139" s="3">
        <v>312</v>
      </c>
      <c r="V139" s="3" t="str">
        <f>IFERROR(MID(VLOOKUP($B139,Seqs!$A:$B,2,FALSE),W139,1),"")</f>
        <v>A</v>
      </c>
      <c r="W139" s="3">
        <v>345</v>
      </c>
      <c r="X139" s="3" t="str">
        <f>IFERROR(MID(VLOOKUP($B139,Seqs!$A:$B,2,FALSE),Y139,1),"")</f>
        <v/>
      </c>
      <c r="Y139" s="3" t="s">
        <v>129</v>
      </c>
      <c r="Z139" s="3" t="str">
        <f>IFERROR(MID(VLOOKUP($B139,Seqs!$A:$B,2,FALSE),AA139,1),"")</f>
        <v/>
      </c>
      <c r="AA139" s="3" t="s">
        <v>129</v>
      </c>
      <c r="AB139" s="3" t="str">
        <f>IFERROR(MID(VLOOKUP($B139,Seqs!$A:$B,2,FALSE),AC139,1),"")</f>
        <v>L</v>
      </c>
      <c r="AC139" s="3">
        <v>353</v>
      </c>
      <c r="AD139" s="3" t="str">
        <f>IFERROR(MID(VLOOKUP($B139,Seqs!$A:$B,2,FALSE),AE139,1),"")</f>
        <v>V</v>
      </c>
      <c r="AE139" s="3">
        <v>378</v>
      </c>
      <c r="AF139" s="3" t="str">
        <f>IFERROR(MID(VLOOKUP($B139,Seqs!$A:$B,2,FALSE),AG139,1),"")</f>
        <v>C</v>
      </c>
      <c r="AG139" s="3">
        <v>390</v>
      </c>
      <c r="AH139" s="3" t="str">
        <f>IFERROR(MID(VLOOKUP($B139,Seqs!$A:$B,2,FALSE),AI139,1),"")</f>
        <v>V</v>
      </c>
      <c r="AI139" s="3">
        <v>392</v>
      </c>
      <c r="AJ139" s="3" t="str">
        <f>IFERROR(MID(VLOOKUP($B139,Seqs!$A:$B,2,FALSE),AK139,1),"")</f>
        <v>Y</v>
      </c>
      <c r="AK139" s="3">
        <v>397</v>
      </c>
      <c r="AL139" s="3" t="str">
        <f>IFERROR(MID(VLOOKUP($B139,Seqs!$A:$B,2,FALSE),AM139,1),"")</f>
        <v>H</v>
      </c>
      <c r="AM139" s="3">
        <v>433</v>
      </c>
      <c r="AN139" s="3" t="str">
        <f>IFERROR(MID(VLOOKUP($B139,Seqs!$A:$B,2,FALSE),AO139,1),"")</f>
        <v>E</v>
      </c>
      <c r="AO139" s="3">
        <v>447</v>
      </c>
      <c r="AP139" s="3" t="str">
        <f>IFERROR(MID(VLOOKUP($B139,Seqs!$A:$B,2,FALSE),AQ139,1),"")</f>
        <v>A</v>
      </c>
      <c r="AQ139" s="3">
        <v>492</v>
      </c>
      <c r="AR139" s="3" t="str">
        <f>IFERROR(MID(VLOOKUP($B139,Seqs!$A:$B,2,FALSE),AS139,1),"")</f>
        <v>L</v>
      </c>
      <c r="AS139" s="3">
        <v>515</v>
      </c>
      <c r="AT139" s="3" t="str">
        <f>IFERROR(MID(VLOOKUP($B139,Seqs!$A:$B,2,FALSE),AU139,1),"")</f>
        <v>W</v>
      </c>
      <c r="AU139" s="3">
        <v>537</v>
      </c>
      <c r="AV139" s="3" t="str">
        <f>IFERROR(MID(VLOOKUP($B139,Seqs!$A:$B,2,FALSE),AW139,1),"")</f>
        <v>T</v>
      </c>
      <c r="AW139" s="3">
        <v>538</v>
      </c>
      <c r="AX139" s="3" t="str">
        <f>IFERROR(MID(VLOOKUP($B139,Seqs!$A:$B,2,FALSE),AY139,1),"")</f>
        <v>R</v>
      </c>
      <c r="AY139" s="3">
        <v>551</v>
      </c>
      <c r="AZ139" s="83" t="str">
        <f>VLOOKUP(B139,Classification!A:D,2,FALSE)</f>
        <v>F</v>
      </c>
      <c r="BC139" s="57">
        <f t="shared" si="120"/>
        <v>247</v>
      </c>
      <c r="BD139" s="63" t="b">
        <f t="shared" si="121"/>
        <v>1</v>
      </c>
      <c r="BE139" s="68" t="s">
        <v>1514</v>
      </c>
      <c r="BF139" s="75" t="s">
        <v>1514</v>
      </c>
      <c r="BG139" s="75" t="s">
        <v>1514</v>
      </c>
      <c r="BH139" s="75" t="s">
        <v>1514</v>
      </c>
      <c r="BI139" s="75" t="s">
        <v>1514</v>
      </c>
      <c r="BJ139" s="75" t="s">
        <v>1514</v>
      </c>
      <c r="BK139" s="75" t="s">
        <v>1514</v>
      </c>
      <c r="BL139" s="75" t="s">
        <v>1514</v>
      </c>
      <c r="BM139" s="75" t="s">
        <v>1514</v>
      </c>
      <c r="BN139" s="75" t="s">
        <v>1514</v>
      </c>
      <c r="BO139" s="75" t="s">
        <v>1514</v>
      </c>
      <c r="BP139" s="75" t="s">
        <v>1514</v>
      </c>
      <c r="BQ139" s="68">
        <f t="shared" si="122"/>
        <v>224</v>
      </c>
      <c r="BR139" s="69">
        <f t="shared" si="123"/>
        <v>256</v>
      </c>
      <c r="BS139" s="70">
        <f t="shared" si="124"/>
        <v>261</v>
      </c>
      <c r="BT139" s="69" t="str">
        <f t="shared" si="125"/>
        <v>-</v>
      </c>
      <c r="BU139" s="70">
        <f t="shared" si="126"/>
        <v>312</v>
      </c>
      <c r="BV139" s="69" t="str">
        <f t="shared" si="127"/>
        <v>-</v>
      </c>
      <c r="BW139" s="70">
        <f t="shared" si="128"/>
        <v>353</v>
      </c>
      <c r="BX139" s="69">
        <f t="shared" si="129"/>
        <v>390</v>
      </c>
      <c r="BY139" s="70">
        <f t="shared" si="130"/>
        <v>397</v>
      </c>
      <c r="BZ139" s="69">
        <f t="shared" si="131"/>
        <v>447</v>
      </c>
      <c r="CA139" s="70">
        <f t="shared" si="132"/>
        <v>515</v>
      </c>
      <c r="CB139" s="69">
        <f t="shared" si="133"/>
        <v>538</v>
      </c>
      <c r="CC139" s="68">
        <f t="shared" si="134"/>
        <v>255</v>
      </c>
      <c r="CD139" s="69">
        <f t="shared" si="135"/>
        <v>260</v>
      </c>
      <c r="CE139" s="70">
        <f t="shared" si="136"/>
        <v>285</v>
      </c>
      <c r="CF139" s="70" t="str">
        <f t="shared" si="137"/>
        <v>-</v>
      </c>
      <c r="CG139" s="70">
        <f t="shared" si="138"/>
        <v>345</v>
      </c>
      <c r="CH139" s="70" t="str">
        <f t="shared" si="139"/>
        <v>-</v>
      </c>
      <c r="CI139" s="70">
        <f t="shared" si="140"/>
        <v>378</v>
      </c>
      <c r="CJ139" s="70">
        <f t="shared" si="141"/>
        <v>392</v>
      </c>
      <c r="CK139" s="70">
        <f t="shared" si="142"/>
        <v>433</v>
      </c>
      <c r="CL139" s="70">
        <f t="shared" si="143"/>
        <v>492</v>
      </c>
      <c r="CM139" s="70">
        <f t="shared" si="144"/>
        <v>537</v>
      </c>
      <c r="CN139" s="70">
        <f t="shared" si="145"/>
        <v>551</v>
      </c>
      <c r="CO139" s="57">
        <f t="shared" si="147"/>
        <v>1</v>
      </c>
    </row>
    <row r="140" spans="1:93" x14ac:dyDescent="0.2">
      <c r="BD140" s="63"/>
    </row>
    <row r="141" spans="1:93" x14ac:dyDescent="0.2">
      <c r="BD141" s="63"/>
    </row>
    <row r="142" spans="1:93" x14ac:dyDescent="0.2">
      <c r="BD142" s="63"/>
    </row>
    <row r="143" spans="1:93" x14ac:dyDescent="0.2">
      <c r="BD143" s="63"/>
    </row>
    <row r="144" spans="1:93" x14ac:dyDescent="0.2">
      <c r="BD144" s="63"/>
    </row>
    <row r="145" spans="56:56" x14ac:dyDescent="0.2">
      <c r="BD145" s="63"/>
    </row>
    <row r="146" spans="56:56" x14ac:dyDescent="0.2">
      <c r="BD146" s="63"/>
    </row>
  </sheetData>
  <sortState ref="A2:CO139">
    <sortCondition ref="AZ2:AZ139"/>
    <sortCondition ref="B2:B139"/>
    <sortCondition ref="C2:C13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D8:BD17 BD122:BD124 BD1:BD5 BD126:BD146 BD21:BD56 BD18:BP18 BD58:BD119 BE21:BP1048576">
    <cfRule type="cellIs" dxfId="58" priority="24" operator="equal">
      <formula>FALSE</formula>
    </cfRule>
  </conditionalFormatting>
  <conditionalFormatting sqref="BD57">
    <cfRule type="cellIs" dxfId="57" priority="23" operator="equal">
      <formula>FALSE</formula>
    </cfRule>
  </conditionalFormatting>
  <conditionalFormatting sqref="BD120:BD121">
    <cfRule type="cellIs" dxfId="56" priority="22" operator="equal">
      <formula>FALSE</formula>
    </cfRule>
  </conditionalFormatting>
  <conditionalFormatting sqref="BD7">
    <cfRule type="cellIs" dxfId="55" priority="21" operator="equal">
      <formula>FALSE</formula>
    </cfRule>
  </conditionalFormatting>
  <conditionalFormatting sqref="BE1:BP5 BE7:BP17">
    <cfRule type="cellIs" dxfId="54" priority="19" operator="equal">
      <formula>FALSE</formula>
    </cfRule>
  </conditionalFormatting>
  <conditionalFormatting sqref="D126:AX1048576 D1:AX5 D7:AX10 D21:AX124 D11:P18 R11:AX18 Q11:Q20">
    <cfRule type="cellIs" dxfId="53" priority="17" operator="equal">
      <formula>"G"</formula>
    </cfRule>
    <cfRule type="cellIs" dxfId="52" priority="18" operator="equal">
      <formula>"P"</formula>
    </cfRule>
  </conditionalFormatting>
  <conditionalFormatting sqref="BD125">
    <cfRule type="cellIs" dxfId="51" priority="16" operator="equal">
      <formula>FALSE</formula>
    </cfRule>
  </conditionalFormatting>
  <conditionalFormatting sqref="D125:AX125">
    <cfRule type="cellIs" dxfId="50" priority="13" operator="equal">
      <formula>"G"</formula>
    </cfRule>
    <cfRule type="cellIs" dxfId="49" priority="14" operator="equal">
      <formula>"P"</formula>
    </cfRule>
  </conditionalFormatting>
  <conditionalFormatting sqref="BD19">
    <cfRule type="cellIs" dxfId="48" priority="12" operator="equal">
      <formula>FALSE</formula>
    </cfRule>
  </conditionalFormatting>
  <conditionalFormatting sqref="BE19:BP19">
    <cfRule type="cellIs" dxfId="47" priority="11" operator="equal">
      <formula>FALSE</formula>
    </cfRule>
  </conditionalFormatting>
  <conditionalFormatting sqref="D19:P19 R19:AX19">
    <cfRule type="cellIs" dxfId="46" priority="9" operator="equal">
      <formula>"G"</formula>
    </cfRule>
    <cfRule type="cellIs" dxfId="45" priority="10" operator="equal">
      <formula>"P"</formula>
    </cfRule>
  </conditionalFormatting>
  <conditionalFormatting sqref="BD20">
    <cfRule type="cellIs" dxfId="44" priority="8" operator="equal">
      <formula>FALSE</formula>
    </cfRule>
  </conditionalFormatting>
  <conditionalFormatting sqref="BE20:BP20">
    <cfRule type="cellIs" dxfId="43" priority="7" operator="equal">
      <formula>FALSE</formula>
    </cfRule>
  </conditionalFormatting>
  <conditionalFormatting sqref="D20:P20 R20:AX20">
    <cfRule type="cellIs" dxfId="42" priority="5" operator="equal">
      <formula>"G"</formula>
    </cfRule>
    <cfRule type="cellIs" dxfId="41" priority="6" operator="equal">
      <formula>"P"</formula>
    </cfRule>
  </conditionalFormatting>
  <conditionalFormatting sqref="BD6">
    <cfRule type="cellIs" dxfId="40" priority="4" operator="equal">
      <formula>FALSE</formula>
    </cfRule>
  </conditionalFormatting>
  <conditionalFormatting sqref="BE6:BP6">
    <cfRule type="cellIs" dxfId="39" priority="3" operator="equal">
      <formula>FALSE</formula>
    </cfRule>
  </conditionalFormatting>
  <conditionalFormatting sqref="D6:AX6">
    <cfRule type="cellIs" dxfId="38" priority="1" operator="equal">
      <formula>"G"</formula>
    </cfRule>
    <cfRule type="cellIs" dxfId="37" priority="2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2" activePane="bottomLeft" state="frozenSplit"/>
      <selection pane="bottomLeft" activeCell="T19" sqref="T19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21" bestFit="1" customWidth="1"/>
    <col min="21" max="26" width="4.6640625" style="4" bestFit="1" customWidth="1"/>
    <col min="27" max="27" width="2.6640625" style="103" bestFit="1" customWidth="1"/>
    <col min="28" max="29" width="5.6640625" style="103" bestFit="1" customWidth="1"/>
    <col min="30" max="32" width="6" style="103" customWidth="1"/>
    <col min="33" max="34" width="4.6640625" style="103" customWidth="1"/>
    <col min="35" max="36" width="5.5" style="103" customWidth="1"/>
    <col min="37" max="37" width="5.33203125" style="4" customWidth="1"/>
    <col min="38" max="38" width="6" style="88" bestFit="1" customWidth="1"/>
    <col min="39" max="39" width="5" style="4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4" customWidth="1"/>
    <col min="63" max="16384" width="10.83203125" style="4"/>
  </cols>
  <sheetData>
    <row r="1" spans="1:62" x14ac:dyDescent="0.2">
      <c r="A1" s="73" t="s">
        <v>1283</v>
      </c>
      <c r="B1" s="73" t="s">
        <v>205</v>
      </c>
      <c r="C1" s="73" t="s">
        <v>1267</v>
      </c>
      <c r="D1" s="73" t="s">
        <v>1268</v>
      </c>
      <c r="E1" s="73" t="s">
        <v>1284</v>
      </c>
      <c r="F1" s="73" t="s">
        <v>1285</v>
      </c>
      <c r="G1" s="73" t="s">
        <v>1269</v>
      </c>
      <c r="H1" s="73" t="s">
        <v>1270</v>
      </c>
      <c r="I1" s="73" t="s">
        <v>1286</v>
      </c>
      <c r="J1" s="73" t="s">
        <v>1287</v>
      </c>
      <c r="K1" s="73" t="s">
        <v>1271</v>
      </c>
      <c r="L1" s="73" t="s">
        <v>1272</v>
      </c>
      <c r="M1" s="73" t="s">
        <v>1299</v>
      </c>
      <c r="N1" s="73" t="s">
        <v>1300</v>
      </c>
      <c r="O1" s="73" t="s">
        <v>1273</v>
      </c>
      <c r="P1" s="73" t="s">
        <v>1274</v>
      </c>
      <c r="Q1" s="73" t="s">
        <v>1302</v>
      </c>
      <c r="R1" s="73" t="s">
        <v>1303</v>
      </c>
      <c r="S1" s="73" t="s">
        <v>1275</v>
      </c>
      <c r="T1" s="101" t="s">
        <v>1276</v>
      </c>
      <c r="U1" s="73" t="s">
        <v>1277</v>
      </c>
      <c r="V1" s="73" t="s">
        <v>1278</v>
      </c>
      <c r="W1" s="73" t="s">
        <v>1279</v>
      </c>
      <c r="X1" s="73" t="s">
        <v>1280</v>
      </c>
      <c r="Y1" s="73" t="s">
        <v>1281</v>
      </c>
      <c r="Z1" s="73" t="s">
        <v>1282</v>
      </c>
      <c r="AA1" s="73" t="s">
        <v>292</v>
      </c>
      <c r="AB1" s="73" t="s">
        <v>1516</v>
      </c>
      <c r="AC1" s="73" t="s">
        <v>1515</v>
      </c>
      <c r="AD1" s="73" t="s">
        <v>1509</v>
      </c>
      <c r="AE1" s="73" t="s">
        <v>1452</v>
      </c>
      <c r="AF1" s="73" t="s">
        <v>1510</v>
      </c>
      <c r="AG1" s="73" t="s">
        <v>1463</v>
      </c>
      <c r="AH1" s="73" t="s">
        <v>1512</v>
      </c>
      <c r="AI1" s="73" t="s">
        <v>1511</v>
      </c>
      <c r="AJ1" s="73" t="s">
        <v>1517</v>
      </c>
      <c r="AK1" s="73" t="s">
        <v>1461</v>
      </c>
      <c r="AL1" s="87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</row>
    <row r="2" spans="1:62" s="102" customFormat="1" x14ac:dyDescent="0.2">
      <c r="A2" s="2" t="s">
        <v>1481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89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102" t="str">
        <f>VLOOKUP(B2,Classification!A:D,2,FALSE)</f>
        <v>C</v>
      </c>
      <c r="AB2" s="102">
        <f>VLOOKUP(B2,'NonXtal_SegEnds_Prot#'!A:AL,6,FALSE)-VLOOKUP(B2,'NonXtal_SegEnds_Prot#'!A:AL,5,FALSE)</f>
        <v>3</v>
      </c>
      <c r="AC2" s="102">
        <f>VLOOKUP(B2,'NonXtal_SegEnds_Prot#'!A:AL,9,FALSE)-VLOOKUP(B2,'NonXtal_SegEnds_Prot#'!A:AL,8,FALSE)</f>
        <v>1</v>
      </c>
      <c r="AD2" s="102" t="e">
        <f>VLOOKUP(B2,'NonXtal_SegEnds_Prot#'!A:AL,13,FALSE)-VLOOKUP(B2,'NonXtal_SegEnds_Prot#'!A:AL,10,FALSE)</f>
        <v>#VALUE!</v>
      </c>
      <c r="AE2" s="102" t="e">
        <f>VLOOKUP(B2,'NonXtal_SegEnds_Prot#'!A:AL,12,FALSE)-VLOOKUP(B2,'NonXtal_SegEnds_Prot#'!A:AL,11,FALSE)</f>
        <v>#VALUE!</v>
      </c>
      <c r="AF2" s="102" t="e">
        <f>VLOOKUP(B2,'NonXtal_SegEnds_Prot#'!A:AL,13,FALSE)-VLOOKUP(B2,'NonXtal_SegEnds_Prot#'!A:AL,11,FALSE)</f>
        <v>#VALUE!</v>
      </c>
      <c r="AG2" s="102">
        <f>VLOOKUP(B2,'NonXtal_SegEnds_Prot#'!A:AL,16,FALSE)-VLOOKUP(B2,'NonXtal_SegEnds_Prot#'!A:AL,10,FALSE)</f>
        <v>44</v>
      </c>
      <c r="AH2" s="102">
        <f>VLOOKUP(B2,'NonXtal_SegEnds_Prot#'!A:AL,16,FALSE)-VLOOKUP(B2,'NonXtal_SegEnds_Prot#'!A:AL,11,FALSE)</f>
        <v>33</v>
      </c>
      <c r="AI2" s="102" t="e">
        <f>VLOOKUP(B2,'NonXtal_SegEnds_Prot#'!A:AL,15,FALSE)-VLOOKUP(B2,'NonXtal_SegEnds_Prot#'!A:AL,14,FALSE)</f>
        <v>#VALUE!</v>
      </c>
      <c r="AJ2" s="102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86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">
      <c r="A3" s="2" t="s">
        <v>1482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89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102" t="str">
        <f>VLOOKUP(B3,Classification!A:D,2,FALSE)</f>
        <v>C</v>
      </c>
      <c r="AB3" s="102">
        <f>VLOOKUP(B3,'NonXtal_SegEnds_Prot#'!A:AL,6,FALSE)-VLOOKUP(B3,'NonXtal_SegEnds_Prot#'!A:AL,5,FALSE)</f>
        <v>3</v>
      </c>
      <c r="AC3" s="102">
        <f>VLOOKUP(B3,'NonXtal_SegEnds_Prot#'!A:AL,9,FALSE)-VLOOKUP(B3,'NonXtal_SegEnds_Prot#'!A:AL,8,FALSE)</f>
        <v>1</v>
      </c>
      <c r="AD3" s="102" t="e">
        <f>VLOOKUP(B3,'NonXtal_SegEnds_Prot#'!A:AL,13,FALSE)-VLOOKUP(B3,'NonXtal_SegEnds_Prot#'!A:AL,10,FALSE)</f>
        <v>#VALUE!</v>
      </c>
      <c r="AE3" s="102" t="e">
        <f>VLOOKUP(B3,'NonXtal_SegEnds_Prot#'!A:AL,12,FALSE)-VLOOKUP(B3,'NonXtal_SegEnds_Prot#'!A:AL,11,FALSE)</f>
        <v>#VALUE!</v>
      </c>
      <c r="AF3" s="102" t="e">
        <f>VLOOKUP(B3,'NonXtal_SegEnds_Prot#'!A:AL,13,FALSE)-VLOOKUP(B3,'NonXtal_SegEnds_Prot#'!A:AL,11,FALSE)</f>
        <v>#VALUE!</v>
      </c>
      <c r="AG3" s="102">
        <f>VLOOKUP(B3,'NonXtal_SegEnds_Prot#'!A:AL,16,FALSE)-VLOOKUP(B3,'NonXtal_SegEnds_Prot#'!A:AL,10,FALSE)</f>
        <v>44</v>
      </c>
      <c r="AH3" s="102">
        <f>VLOOKUP(B3,'NonXtal_SegEnds_Prot#'!A:AL,16,FALSE)-VLOOKUP(B3,'NonXtal_SegEnds_Prot#'!A:AL,11,FALSE)</f>
        <v>33</v>
      </c>
      <c r="AI3" s="102" t="e">
        <f>VLOOKUP(B3,'NonXtal_SegEnds_Prot#'!A:AL,15,FALSE)-VLOOKUP(B3,'NonXtal_SegEnds_Prot#'!A:AL,14,FALSE)</f>
        <v>#VALUE!</v>
      </c>
      <c r="AJ3" s="102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86"/>
    </row>
    <row r="4" spans="1:62" s="2" customFormat="1" x14ac:dyDescent="0.2">
      <c r="A4" s="2" t="s">
        <v>1476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89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102" t="str">
        <f>VLOOKUP(B4,Classification!A:D,2,FALSE)</f>
        <v>B1</v>
      </c>
      <c r="AB4" s="102">
        <f>VLOOKUP(B4,'NonXtal_SegEnds_Prot#'!A:AL,6,FALSE)-VLOOKUP(B4,'NonXtal_SegEnds_Prot#'!A:AL,5,FALSE)</f>
        <v>1</v>
      </c>
      <c r="AC4" s="102">
        <f>VLOOKUP(B4,'NonXtal_SegEnds_Prot#'!A:AL,9,FALSE)-VLOOKUP(B4,'NonXtal_SegEnds_Prot#'!A:AL,8,FALSE)</f>
        <v>1</v>
      </c>
      <c r="AD4" s="102" t="e">
        <f>VLOOKUP(B4,'NonXtal_SegEnds_Prot#'!A:AL,13,FALSE)-VLOOKUP(B4,'NonXtal_SegEnds_Prot#'!A:AL,10,FALSE)</f>
        <v>#VALUE!</v>
      </c>
      <c r="AE4" s="102" t="e">
        <f>VLOOKUP(B4,'NonXtal_SegEnds_Prot#'!A:AL,12,FALSE)-VLOOKUP(B4,'NonXtal_SegEnds_Prot#'!A:AL,11,FALSE)</f>
        <v>#VALUE!</v>
      </c>
      <c r="AF4" s="102" t="e">
        <f>VLOOKUP(B4,'NonXtal_SegEnds_Prot#'!A:AL,13,FALSE)-VLOOKUP(B4,'NonXtal_SegEnds_Prot#'!A:AL,11,FALSE)</f>
        <v>#VALUE!</v>
      </c>
      <c r="AG4" s="102">
        <f>VLOOKUP(B4,'NonXtal_SegEnds_Prot#'!A:AL,16,FALSE)-VLOOKUP(B4,'NonXtal_SegEnds_Prot#'!A:AL,10,FALSE)</f>
        <v>51</v>
      </c>
      <c r="AH4" s="102">
        <f>VLOOKUP(B4,'NonXtal_SegEnds_Prot#'!A:AL,16,FALSE)-VLOOKUP(B4,'NonXtal_SegEnds_Prot#'!A:AL,11,FALSE)</f>
        <v>38</v>
      </c>
      <c r="AI4" s="102" t="e">
        <f>VLOOKUP(B4,'NonXtal_SegEnds_Prot#'!A:AL,15,FALSE)-VLOOKUP(B4,'NonXtal_SegEnds_Prot#'!A:AL,14,FALSE)</f>
        <v>#VALUE!</v>
      </c>
      <c r="AJ4" s="102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86"/>
    </row>
    <row r="5" spans="1:62" s="2" customFormat="1" x14ac:dyDescent="0.2">
      <c r="A5" s="2" t="s">
        <v>1480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89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102" t="str">
        <f>VLOOKUP(B5,Classification!A:D,2,FALSE)</f>
        <v>B1</v>
      </c>
      <c r="AB5" s="102">
        <f>VLOOKUP(B5,'NonXtal_SegEnds_Prot#'!A:AL,6,FALSE)-VLOOKUP(B5,'NonXtal_SegEnds_Prot#'!A:AL,5,FALSE)</f>
        <v>1</v>
      </c>
      <c r="AC5" s="102">
        <f>VLOOKUP(B5,'NonXtal_SegEnds_Prot#'!A:AL,9,FALSE)-VLOOKUP(B5,'NonXtal_SegEnds_Prot#'!A:AL,8,FALSE)</f>
        <v>1</v>
      </c>
      <c r="AD5" s="102" t="e">
        <f>VLOOKUP(B5,'NonXtal_SegEnds_Prot#'!A:AL,13,FALSE)-VLOOKUP(B5,'NonXtal_SegEnds_Prot#'!A:AL,10,FALSE)</f>
        <v>#VALUE!</v>
      </c>
      <c r="AE5" s="102" t="e">
        <f>VLOOKUP(B5,'NonXtal_SegEnds_Prot#'!A:AL,12,FALSE)-VLOOKUP(B5,'NonXtal_SegEnds_Prot#'!A:AL,11,FALSE)</f>
        <v>#VALUE!</v>
      </c>
      <c r="AF5" s="102" t="e">
        <f>VLOOKUP(B5,'NonXtal_SegEnds_Prot#'!A:AL,13,FALSE)-VLOOKUP(B5,'NonXtal_SegEnds_Prot#'!A:AL,11,FALSE)</f>
        <v>#VALUE!</v>
      </c>
      <c r="AG5" s="102">
        <f>VLOOKUP(B5,'NonXtal_SegEnds_Prot#'!A:AL,16,FALSE)-VLOOKUP(B5,'NonXtal_SegEnds_Prot#'!A:AL,10,FALSE)</f>
        <v>65</v>
      </c>
      <c r="AH5" s="102">
        <f>VLOOKUP(B5,'NonXtal_SegEnds_Prot#'!A:AL,16,FALSE)-VLOOKUP(B5,'NonXtal_SegEnds_Prot#'!A:AL,11,FALSE)</f>
        <v>50</v>
      </c>
      <c r="AI5" s="102" t="e">
        <f>VLOOKUP(B5,'NonXtal_SegEnds_Prot#'!A:AL,15,FALSE)-VLOOKUP(B5,'NonXtal_SegEnds_Prot#'!A:AL,14,FALSE)</f>
        <v>#VALUE!</v>
      </c>
      <c r="AJ5" s="102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86"/>
    </row>
    <row r="6" spans="1:62" s="2" customFormat="1" x14ac:dyDescent="0.2">
      <c r="A6" s="2" t="s">
        <v>1479</v>
      </c>
      <c r="B6" s="2" t="s">
        <v>1392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89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102" t="str">
        <f>VLOOKUP(B6,Classification!A:D,2,FALSE)</f>
        <v>A</v>
      </c>
      <c r="AB6" s="102" t="e">
        <f>VLOOKUP(B6,'NonXtal_SegEnds_Prot#'!A:AL,6,FALSE)-VLOOKUP(B6,'NonXtal_SegEnds_Prot#'!A:AL,5,FALSE)</f>
        <v>#VALUE!</v>
      </c>
      <c r="AC6" s="102" t="e">
        <f>VLOOKUP(B6,'NonXtal_SegEnds_Prot#'!A:AL,9,FALSE)-VLOOKUP(B6,'NonXtal_SegEnds_Prot#'!A:AL,8,FALSE)</f>
        <v>#VALUE!</v>
      </c>
      <c r="AD6" s="102">
        <f>VLOOKUP(B6,'NonXtal_SegEnds_Prot#'!A:AL,13,FALSE)-VLOOKUP(B6,'NonXtal_SegEnds_Prot#'!A:AL,10,FALSE)</f>
        <v>20</v>
      </c>
      <c r="AE6" s="102">
        <f>VLOOKUP(B6,'NonXtal_SegEnds_Prot#'!A:AL,12,FALSE)-VLOOKUP(B6,'NonXtal_SegEnds_Prot#'!A:AL,11,FALSE)</f>
        <v>3</v>
      </c>
      <c r="AF6" s="102">
        <f>VLOOKUP(B6,'NonXtal_SegEnds_Prot#'!A:AL,13,FALSE)-VLOOKUP(B6,'NonXtal_SegEnds_Prot#'!A:AL,11,FALSE)</f>
        <v>4</v>
      </c>
      <c r="AG6" s="102">
        <f>VLOOKUP(B6,'NonXtal_SegEnds_Prot#'!A:AL,16,FALSE)-VLOOKUP(B6,'NonXtal_SegEnds_Prot#'!A:AL,10,FALSE)</f>
        <v>52</v>
      </c>
      <c r="AH6" s="102">
        <f>VLOOKUP(B6,'NonXtal_SegEnds_Prot#'!A:AL,16,FALSE)-VLOOKUP(B6,'NonXtal_SegEnds_Prot#'!A:AL,11,FALSE)</f>
        <v>36</v>
      </c>
      <c r="AI6" s="102">
        <f>VLOOKUP(B6,'NonXtal_SegEnds_Prot#'!A:AL,15,FALSE)-VLOOKUP(B6,'NonXtal_SegEnds_Prot#'!A:AL,14,FALSE)</f>
        <v>1</v>
      </c>
      <c r="AJ6" s="102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86"/>
      <c r="AM6" s="2" t="s">
        <v>1505</v>
      </c>
      <c r="AN6" s="2" t="s">
        <v>1507</v>
      </c>
    </row>
    <row r="7" spans="1:62" x14ac:dyDescent="0.2">
      <c r="A7" s="2" t="s">
        <v>1470</v>
      </c>
      <c r="B7" s="2" t="s">
        <v>1106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89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102" t="str">
        <f>VLOOKUP(B7,Classification!A:D,2,FALSE)</f>
        <v>A</v>
      </c>
      <c r="AB7" s="102">
        <f>VLOOKUP(B7,'NonXtal_SegEnds_Prot#'!A:AL,6,FALSE)-VLOOKUP(B7,'NonXtal_SegEnds_Prot#'!A:AL,5,FALSE)</f>
        <v>1</v>
      </c>
      <c r="AC7" s="102">
        <f>VLOOKUP(B7,'NonXtal_SegEnds_Prot#'!A:AL,9,FALSE)-VLOOKUP(B7,'NonXtal_SegEnds_Prot#'!A:AL,8,FALSE)</f>
        <v>1</v>
      </c>
      <c r="AD7" s="102">
        <f>VLOOKUP(B7,'NonXtal_SegEnds_Prot#'!A:AL,13,FALSE)-VLOOKUP(B7,'NonXtal_SegEnds_Prot#'!A:AL,10,FALSE)</f>
        <v>20</v>
      </c>
      <c r="AE7" s="102">
        <f>VLOOKUP(B7,'NonXtal_SegEnds_Prot#'!A:AL,12,FALSE)-VLOOKUP(B7,'NonXtal_SegEnds_Prot#'!A:AL,11,FALSE)</f>
        <v>2</v>
      </c>
      <c r="AF7" s="102">
        <f>VLOOKUP(B7,'NonXtal_SegEnds_Prot#'!A:AL,13,FALSE)-VLOOKUP(B7,'NonXtal_SegEnds_Prot#'!A:AL,11,FALSE)</f>
        <v>3</v>
      </c>
      <c r="AG7" s="102">
        <f>VLOOKUP(B7,'NonXtal_SegEnds_Prot#'!A:AL,16,FALSE)-VLOOKUP(B7,'NonXtal_SegEnds_Prot#'!A:AL,10,FALSE)</f>
        <v>52</v>
      </c>
      <c r="AH7" s="102">
        <f>VLOOKUP(B7,'NonXtal_SegEnds_Prot#'!A:AL,16,FALSE)-VLOOKUP(B7,'NonXtal_SegEnds_Prot#'!A:AL,11,FALSE)</f>
        <v>35</v>
      </c>
      <c r="AI7" s="102">
        <f>VLOOKUP(B7,'NonXtal_SegEnds_Prot#'!A:AL,15,FALSE)-VLOOKUP(B7,'NonXtal_SegEnds_Prot#'!A:AL,14,FALSE)</f>
        <v>1</v>
      </c>
      <c r="AJ7" s="102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86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">
      <c r="A8" s="2" t="s">
        <v>1484</v>
      </c>
      <c r="B8" s="2" t="s">
        <v>297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89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102" t="str">
        <f>VLOOKUP(B8,Classification!A:D,2,FALSE)</f>
        <v>A</v>
      </c>
      <c r="AB8" s="102">
        <f>VLOOKUP(B8,'NonXtal_SegEnds_Prot#'!A:AL,6,FALSE)-VLOOKUP(B8,'NonXtal_SegEnds_Prot#'!A:AL,5,FALSE)</f>
        <v>1</v>
      </c>
      <c r="AC8" s="102">
        <f>VLOOKUP(B8,'NonXtal_SegEnds_Prot#'!A:AL,9,FALSE)-VLOOKUP(B8,'NonXtal_SegEnds_Prot#'!A:AL,8,FALSE)</f>
        <v>1</v>
      </c>
      <c r="AD8" s="102">
        <f>VLOOKUP(B8,'NonXtal_SegEnds_Prot#'!A:AL,13,FALSE)-VLOOKUP(B8,'NonXtal_SegEnds_Prot#'!A:AL,10,FALSE)</f>
        <v>18</v>
      </c>
      <c r="AE8" s="102">
        <f>VLOOKUP(B8,'NonXtal_SegEnds_Prot#'!A:AL,12,FALSE)-VLOOKUP(B8,'NonXtal_SegEnds_Prot#'!A:AL,11,FALSE)</f>
        <v>2</v>
      </c>
      <c r="AF8" s="102">
        <f>VLOOKUP(B8,'NonXtal_SegEnds_Prot#'!A:AL,13,FALSE)-VLOOKUP(B8,'NonXtal_SegEnds_Prot#'!A:AL,11,FALSE)</f>
        <v>5</v>
      </c>
      <c r="AG8" s="102">
        <f>VLOOKUP(B8,'NonXtal_SegEnds_Prot#'!A:AL,16,FALSE)-VLOOKUP(B8,'NonXtal_SegEnds_Prot#'!A:AL,10,FALSE)</f>
        <v>51</v>
      </c>
      <c r="AH8" s="102">
        <f>VLOOKUP(B8,'NonXtal_SegEnds_Prot#'!A:AL,16,FALSE)-VLOOKUP(B8,'NonXtal_SegEnds_Prot#'!A:AL,11,FALSE)</f>
        <v>38</v>
      </c>
      <c r="AI8" s="102">
        <f>VLOOKUP(B8,'NonXtal_SegEnds_Prot#'!A:AL,15,FALSE)-VLOOKUP(B8,'NonXtal_SegEnds_Prot#'!A:AL,14,FALSE)</f>
        <v>1</v>
      </c>
      <c r="AJ8" s="102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86"/>
    </row>
    <row r="9" spans="1:62" s="2" customFormat="1" x14ac:dyDescent="0.2">
      <c r="A9" s="2" t="s">
        <v>1472</v>
      </c>
      <c r="B9" s="2" t="s">
        <v>1108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89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102" t="str">
        <f>VLOOKUP(B9,Classification!A:D,2,FALSE)</f>
        <v>A</v>
      </c>
      <c r="AB9" s="102">
        <f>VLOOKUP(B9,'NonXtal_SegEnds_Prot#'!A:AL,6,FALSE)-VLOOKUP(B9,'NonXtal_SegEnds_Prot#'!A:AL,5,FALSE)</f>
        <v>1</v>
      </c>
      <c r="AC9" s="102">
        <f>VLOOKUP(B9,'NonXtal_SegEnds_Prot#'!A:AL,9,FALSE)-VLOOKUP(B9,'NonXtal_SegEnds_Prot#'!A:AL,8,FALSE)</f>
        <v>1</v>
      </c>
      <c r="AD9" s="102">
        <f>VLOOKUP(B9,'NonXtal_SegEnds_Prot#'!A:AL,13,FALSE)-VLOOKUP(B9,'NonXtal_SegEnds_Prot#'!A:AL,10,FALSE)</f>
        <v>20</v>
      </c>
      <c r="AE9" s="102">
        <f>VLOOKUP(B9,'NonXtal_SegEnds_Prot#'!A:AL,12,FALSE)-VLOOKUP(B9,'NonXtal_SegEnds_Prot#'!A:AL,11,FALSE)</f>
        <v>2</v>
      </c>
      <c r="AF9" s="102">
        <f>VLOOKUP(B9,'NonXtal_SegEnds_Prot#'!A:AL,13,FALSE)-VLOOKUP(B9,'NonXtal_SegEnds_Prot#'!A:AL,11,FALSE)</f>
        <v>3</v>
      </c>
      <c r="AG9" s="102">
        <f>VLOOKUP(B9,'NonXtal_SegEnds_Prot#'!A:AL,16,FALSE)-VLOOKUP(B9,'NonXtal_SegEnds_Prot#'!A:AL,10,FALSE)</f>
        <v>52</v>
      </c>
      <c r="AH9" s="102">
        <f>VLOOKUP(B9,'NonXtal_SegEnds_Prot#'!A:AL,16,FALSE)-VLOOKUP(B9,'NonXtal_SegEnds_Prot#'!A:AL,11,FALSE)</f>
        <v>35</v>
      </c>
      <c r="AI9" s="102">
        <f>VLOOKUP(B9,'NonXtal_SegEnds_Prot#'!A:AL,15,FALSE)-VLOOKUP(B9,'NonXtal_SegEnds_Prot#'!A:AL,14,FALSE)</f>
        <v>1</v>
      </c>
      <c r="AJ9" s="102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86"/>
    </row>
    <row r="10" spans="1:62" s="2" customFormat="1" x14ac:dyDescent="0.2">
      <c r="A10" s="2" t="s">
        <v>1473</v>
      </c>
      <c r="B10" s="2" t="s">
        <v>320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89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102" t="str">
        <f>VLOOKUP(B10,Classification!A:D,2,FALSE)</f>
        <v>A</v>
      </c>
      <c r="AB10" s="102">
        <f>VLOOKUP(B10,'NonXtal_SegEnds_Prot#'!A:AL,6,FALSE)-VLOOKUP(B10,'NonXtal_SegEnds_Prot#'!A:AL,5,FALSE)</f>
        <v>1</v>
      </c>
      <c r="AC10" s="102">
        <f>VLOOKUP(B10,'NonXtal_SegEnds_Prot#'!A:AL,9,FALSE)-VLOOKUP(B10,'NonXtal_SegEnds_Prot#'!A:AL,8,FALSE)</f>
        <v>1</v>
      </c>
      <c r="AD10" s="102">
        <f>VLOOKUP(B10,'NonXtal_SegEnds_Prot#'!A:AL,13,FALSE)-VLOOKUP(B10,'NonXtal_SegEnds_Prot#'!A:AL,10,FALSE)</f>
        <v>20</v>
      </c>
      <c r="AE10" s="102">
        <f>VLOOKUP(B10,'NonXtal_SegEnds_Prot#'!A:AL,12,FALSE)-VLOOKUP(B10,'NonXtal_SegEnds_Prot#'!A:AL,11,FALSE)</f>
        <v>2</v>
      </c>
      <c r="AF10" s="102">
        <f>VLOOKUP(B10,'NonXtal_SegEnds_Prot#'!A:AL,13,FALSE)-VLOOKUP(B10,'NonXtal_SegEnds_Prot#'!A:AL,11,FALSE)</f>
        <v>3</v>
      </c>
      <c r="AG10" s="102">
        <f>VLOOKUP(B10,'NonXtal_SegEnds_Prot#'!A:AL,16,FALSE)-VLOOKUP(B10,'NonXtal_SegEnds_Prot#'!A:AL,10,FALSE)</f>
        <v>52</v>
      </c>
      <c r="AH10" s="102">
        <f>VLOOKUP(B10,'NonXtal_SegEnds_Prot#'!A:AL,16,FALSE)-VLOOKUP(B10,'NonXtal_SegEnds_Prot#'!A:AL,11,FALSE)</f>
        <v>35</v>
      </c>
      <c r="AI10" s="102">
        <f>VLOOKUP(B10,'NonXtal_SegEnds_Prot#'!A:AL,15,FALSE)-VLOOKUP(B10,'NonXtal_SegEnds_Prot#'!A:AL,14,FALSE)</f>
        <v>1</v>
      </c>
      <c r="AJ10" s="102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86"/>
    </row>
    <row r="11" spans="1:62" s="2" customFormat="1" x14ac:dyDescent="0.2">
      <c r="A11" s="2" t="s">
        <v>1471</v>
      </c>
      <c r="B11" s="2" t="s">
        <v>343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89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102" t="str">
        <f>VLOOKUP(B11,Classification!A:D,2,FALSE)</f>
        <v>A</v>
      </c>
      <c r="AB11" s="102">
        <f>VLOOKUP(B11,'NonXtal_SegEnds_Prot#'!A:AL,6,FALSE)-VLOOKUP(B11,'NonXtal_SegEnds_Prot#'!A:AL,5,FALSE)</f>
        <v>1</v>
      </c>
      <c r="AC11" s="102">
        <f>VLOOKUP(B11,'NonXtal_SegEnds_Prot#'!A:AL,9,FALSE)-VLOOKUP(B11,'NonXtal_SegEnds_Prot#'!A:AL,8,FALSE)</f>
        <v>1</v>
      </c>
      <c r="AD11" s="102">
        <f>VLOOKUP(B11,'NonXtal_SegEnds_Prot#'!A:AL,13,FALSE)-VLOOKUP(B11,'NonXtal_SegEnds_Prot#'!A:AL,10,FALSE)</f>
        <v>20</v>
      </c>
      <c r="AE11" s="102">
        <f>VLOOKUP(B11,'NonXtal_SegEnds_Prot#'!A:AL,12,FALSE)-VLOOKUP(B11,'NonXtal_SegEnds_Prot#'!A:AL,11,FALSE)</f>
        <v>2</v>
      </c>
      <c r="AF11" s="102">
        <f>VLOOKUP(B11,'NonXtal_SegEnds_Prot#'!A:AL,13,FALSE)-VLOOKUP(B11,'NonXtal_SegEnds_Prot#'!A:AL,11,FALSE)</f>
        <v>3</v>
      </c>
      <c r="AG11" s="102">
        <f>VLOOKUP(B11,'NonXtal_SegEnds_Prot#'!A:AL,16,FALSE)-VLOOKUP(B11,'NonXtal_SegEnds_Prot#'!A:AL,10,FALSE)</f>
        <v>52</v>
      </c>
      <c r="AH11" s="102">
        <f>VLOOKUP(B11,'NonXtal_SegEnds_Prot#'!A:AL,16,FALSE)-VLOOKUP(B11,'NonXtal_SegEnds_Prot#'!A:AL,11,FALSE)</f>
        <v>35</v>
      </c>
      <c r="AI11" s="102">
        <f>VLOOKUP(B11,'NonXtal_SegEnds_Prot#'!A:AL,15,FALSE)-VLOOKUP(B11,'NonXtal_SegEnds_Prot#'!A:AL,14,FALSE)</f>
        <v>1</v>
      </c>
      <c r="AJ11" s="102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86"/>
    </row>
    <row r="12" spans="1:62" s="2" customFormat="1" x14ac:dyDescent="0.2">
      <c r="A12" s="2" t="s">
        <v>1469</v>
      </c>
      <c r="B12" s="2" t="s">
        <v>341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89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102" t="str">
        <f>VLOOKUP(B12,Classification!A:D,2,FALSE)</f>
        <v>A</v>
      </c>
      <c r="AB12" s="102">
        <f>VLOOKUP(B12,'NonXtal_SegEnds_Prot#'!A:AL,6,FALSE)-VLOOKUP(B12,'NonXtal_SegEnds_Prot#'!A:AL,5,FALSE)</f>
        <v>1</v>
      </c>
      <c r="AC12" s="102">
        <f>VLOOKUP(B12,'NonXtal_SegEnds_Prot#'!A:AL,9,FALSE)-VLOOKUP(B12,'NonXtal_SegEnds_Prot#'!A:AL,8,FALSE)</f>
        <v>1</v>
      </c>
      <c r="AD12" s="102">
        <f>VLOOKUP(B12,'NonXtal_SegEnds_Prot#'!A:AL,13,FALSE)-VLOOKUP(B12,'NonXtal_SegEnds_Prot#'!A:AL,10,FALSE)</f>
        <v>20</v>
      </c>
      <c r="AE12" s="102">
        <f>VLOOKUP(B12,'NonXtal_SegEnds_Prot#'!A:AL,12,FALSE)-VLOOKUP(B12,'NonXtal_SegEnds_Prot#'!A:AL,11,FALSE)</f>
        <v>2</v>
      </c>
      <c r="AF12" s="102">
        <f>VLOOKUP(B12,'NonXtal_SegEnds_Prot#'!A:AL,13,FALSE)-VLOOKUP(B12,'NonXtal_SegEnds_Prot#'!A:AL,11,FALSE)</f>
        <v>3</v>
      </c>
      <c r="AG12" s="102">
        <f>VLOOKUP(B12,'NonXtal_SegEnds_Prot#'!A:AL,16,FALSE)-VLOOKUP(B12,'NonXtal_SegEnds_Prot#'!A:AL,10,FALSE)</f>
        <v>52</v>
      </c>
      <c r="AH12" s="102">
        <f>VLOOKUP(B12,'NonXtal_SegEnds_Prot#'!A:AL,16,FALSE)-VLOOKUP(B12,'NonXtal_SegEnds_Prot#'!A:AL,11,FALSE)</f>
        <v>35</v>
      </c>
      <c r="AI12" s="102">
        <f>VLOOKUP(B12,'NonXtal_SegEnds_Prot#'!A:AL,15,FALSE)-VLOOKUP(B12,'NonXtal_SegEnds_Prot#'!A:AL,14,FALSE)</f>
        <v>1</v>
      </c>
      <c r="AJ12" s="102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86"/>
    </row>
    <row r="13" spans="1:62" s="2" customFormat="1" x14ac:dyDescent="0.2">
      <c r="A13" s="2" t="s">
        <v>1468</v>
      </c>
      <c r="B13" s="2" t="s">
        <v>340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89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102" t="str">
        <f>VLOOKUP(B13,Classification!A:D,2,FALSE)</f>
        <v>A</v>
      </c>
      <c r="AB13" s="102">
        <f>VLOOKUP(B13,'NonXtal_SegEnds_Prot#'!A:AL,6,FALSE)-VLOOKUP(B13,'NonXtal_SegEnds_Prot#'!A:AL,5,FALSE)</f>
        <v>1</v>
      </c>
      <c r="AC13" s="102">
        <f>VLOOKUP(B13,'NonXtal_SegEnds_Prot#'!A:AL,9,FALSE)-VLOOKUP(B13,'NonXtal_SegEnds_Prot#'!A:AL,8,FALSE)</f>
        <v>1</v>
      </c>
      <c r="AD13" s="102">
        <f>VLOOKUP(B13,'NonXtal_SegEnds_Prot#'!A:AL,13,FALSE)-VLOOKUP(B13,'NonXtal_SegEnds_Prot#'!A:AL,10,FALSE)</f>
        <v>20</v>
      </c>
      <c r="AE13" s="102">
        <f>VLOOKUP(B13,'NonXtal_SegEnds_Prot#'!A:AL,12,FALSE)-VLOOKUP(B13,'NonXtal_SegEnds_Prot#'!A:AL,11,FALSE)</f>
        <v>2</v>
      </c>
      <c r="AF13" s="102">
        <f>VLOOKUP(B13,'NonXtal_SegEnds_Prot#'!A:AL,13,FALSE)-VLOOKUP(B13,'NonXtal_SegEnds_Prot#'!A:AL,11,FALSE)</f>
        <v>3</v>
      </c>
      <c r="AG13" s="102">
        <f>VLOOKUP(B13,'NonXtal_SegEnds_Prot#'!A:AL,16,FALSE)-VLOOKUP(B13,'NonXtal_SegEnds_Prot#'!A:AL,10,FALSE)</f>
        <v>52</v>
      </c>
      <c r="AH13" s="102">
        <f>VLOOKUP(B13,'NonXtal_SegEnds_Prot#'!A:AL,16,FALSE)-VLOOKUP(B13,'NonXtal_SegEnds_Prot#'!A:AL,11,FALSE)</f>
        <v>35</v>
      </c>
      <c r="AI13" s="102">
        <f>VLOOKUP(B13,'NonXtal_SegEnds_Prot#'!A:AL,15,FALSE)-VLOOKUP(B13,'NonXtal_SegEnds_Prot#'!A:AL,14,FALSE)</f>
        <v>1</v>
      </c>
      <c r="AJ13" s="102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86"/>
    </row>
    <row r="14" spans="1:62" s="2" customFormat="1" x14ac:dyDescent="0.2">
      <c r="A14" s="2" t="s">
        <v>1483</v>
      </c>
      <c r="B14" s="2" t="s">
        <v>472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89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102" t="str">
        <f>VLOOKUP(B14,Classification!A:D,2,FALSE)</f>
        <v>A</v>
      </c>
      <c r="AB14" s="102">
        <f>VLOOKUP(B14,'NonXtal_SegEnds_Prot#'!A:AL,6,FALSE)-VLOOKUP(B14,'NonXtal_SegEnds_Prot#'!A:AL,5,FALSE)</f>
        <v>1</v>
      </c>
      <c r="AC14" s="102">
        <f>VLOOKUP(B14,'NonXtal_SegEnds_Prot#'!A:AL,9,FALSE)-VLOOKUP(B14,'NonXtal_SegEnds_Prot#'!A:AL,8,FALSE)</f>
        <v>1</v>
      </c>
      <c r="AD14" s="102">
        <f>VLOOKUP(B14,'NonXtal_SegEnds_Prot#'!A:AL,13,FALSE)-VLOOKUP(B14,'NonXtal_SegEnds_Prot#'!A:AL,10,FALSE)</f>
        <v>20</v>
      </c>
      <c r="AE14" s="102">
        <f>VLOOKUP(B14,'NonXtal_SegEnds_Prot#'!A:AL,12,FALSE)-VLOOKUP(B14,'NonXtal_SegEnds_Prot#'!A:AL,11,FALSE)</f>
        <v>2</v>
      </c>
      <c r="AF14" s="102">
        <f>VLOOKUP(B14,'NonXtal_SegEnds_Prot#'!A:AL,13,FALSE)-VLOOKUP(B14,'NonXtal_SegEnds_Prot#'!A:AL,11,FALSE)</f>
        <v>3</v>
      </c>
      <c r="AG14" s="102">
        <f>VLOOKUP(B14,'NonXtal_SegEnds_Prot#'!A:AL,16,FALSE)-VLOOKUP(B14,'NonXtal_SegEnds_Prot#'!A:AL,10,FALSE)</f>
        <v>52</v>
      </c>
      <c r="AH14" s="102">
        <f>VLOOKUP(B14,'NonXtal_SegEnds_Prot#'!A:AL,16,FALSE)-VLOOKUP(B14,'NonXtal_SegEnds_Prot#'!A:AL,11,FALSE)</f>
        <v>35</v>
      </c>
      <c r="AI14" s="102">
        <f>VLOOKUP(B14,'NonXtal_SegEnds_Prot#'!A:AL,15,FALSE)-VLOOKUP(B14,'NonXtal_SegEnds_Prot#'!A:AL,14,FALSE)</f>
        <v>1</v>
      </c>
      <c r="AJ14" s="102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86"/>
    </row>
    <row r="15" spans="1:62" s="2" customFormat="1" x14ac:dyDescent="0.2">
      <c r="A15" s="2" t="s">
        <v>1493</v>
      </c>
      <c r="B15" s="2" t="s">
        <v>1118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89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102" t="str">
        <f>VLOOKUP(B15,Classification!A:D,2,FALSE)</f>
        <v>A</v>
      </c>
      <c r="AB15" s="102">
        <f>VLOOKUP(B15,'NonXtal_SegEnds_Prot#'!A:AL,6,FALSE)-VLOOKUP(B15,'NonXtal_SegEnds_Prot#'!A:AL,5,FALSE)</f>
        <v>1</v>
      </c>
      <c r="AC15" s="102">
        <f>VLOOKUP(B15,'NonXtal_SegEnds_Prot#'!A:AL,9,FALSE)-VLOOKUP(B15,'NonXtal_SegEnds_Prot#'!A:AL,8,FALSE)</f>
        <v>1</v>
      </c>
      <c r="AD15" s="102">
        <f>VLOOKUP(B15,'NonXtal_SegEnds_Prot#'!A:AL,13,FALSE)-VLOOKUP(B15,'NonXtal_SegEnds_Prot#'!A:AL,10,FALSE)</f>
        <v>21</v>
      </c>
      <c r="AE15" s="102">
        <f>VLOOKUP(B15,'NonXtal_SegEnds_Prot#'!A:AL,12,FALSE)-VLOOKUP(B15,'NonXtal_SegEnds_Prot#'!A:AL,11,FALSE)</f>
        <v>1</v>
      </c>
      <c r="AF15" s="102">
        <f>VLOOKUP(B15,'NonXtal_SegEnds_Prot#'!A:AL,13,FALSE)-VLOOKUP(B15,'NonXtal_SegEnds_Prot#'!A:AL,11,FALSE)</f>
        <v>2</v>
      </c>
      <c r="AG15" s="102">
        <f>VLOOKUP(B15,'NonXtal_SegEnds_Prot#'!A:AL,16,FALSE)-VLOOKUP(B15,'NonXtal_SegEnds_Prot#'!A:AL,10,FALSE)</f>
        <v>53</v>
      </c>
      <c r="AH15" s="102">
        <f>VLOOKUP(B15,'NonXtal_SegEnds_Prot#'!A:AL,16,FALSE)-VLOOKUP(B15,'NonXtal_SegEnds_Prot#'!A:AL,11,FALSE)</f>
        <v>34</v>
      </c>
      <c r="AI15" s="102">
        <f>VLOOKUP(B15,'NonXtal_SegEnds_Prot#'!A:AL,15,FALSE)-VLOOKUP(B15,'NonXtal_SegEnds_Prot#'!A:AL,14,FALSE)</f>
        <v>1</v>
      </c>
      <c r="AJ15" s="102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86"/>
    </row>
    <row r="16" spans="1:62" s="2" customFormat="1" x14ac:dyDescent="0.2">
      <c r="A16" s="2" t="s">
        <v>1492</v>
      </c>
      <c r="B16" s="2" t="s">
        <v>533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89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102" t="str">
        <f>VLOOKUP(B16,Classification!A:D,2,FALSE)</f>
        <v>A</v>
      </c>
      <c r="AB16" s="102">
        <f>VLOOKUP(B16,'NonXtal_SegEnds_Prot#'!A:AL,6,FALSE)-VLOOKUP(B16,'NonXtal_SegEnds_Prot#'!A:AL,5,FALSE)</f>
        <v>1</v>
      </c>
      <c r="AC16" s="102">
        <f>VLOOKUP(B16,'NonXtal_SegEnds_Prot#'!A:AL,9,FALSE)-VLOOKUP(B16,'NonXtal_SegEnds_Prot#'!A:AL,8,FALSE)</f>
        <v>1</v>
      </c>
      <c r="AD16" s="102">
        <f>VLOOKUP(B16,'NonXtal_SegEnds_Prot#'!A:AL,13,FALSE)-VLOOKUP(B16,'NonXtal_SegEnds_Prot#'!A:AL,10,FALSE)</f>
        <v>20</v>
      </c>
      <c r="AE16" s="102">
        <f>VLOOKUP(B16,'NonXtal_SegEnds_Prot#'!A:AL,12,FALSE)-VLOOKUP(B16,'NonXtal_SegEnds_Prot#'!A:AL,11,FALSE)</f>
        <v>2</v>
      </c>
      <c r="AF16" s="102">
        <f>VLOOKUP(B16,'NonXtal_SegEnds_Prot#'!A:AL,13,FALSE)-VLOOKUP(B16,'NonXtal_SegEnds_Prot#'!A:AL,11,FALSE)</f>
        <v>3</v>
      </c>
      <c r="AG16" s="102">
        <f>VLOOKUP(B16,'NonXtal_SegEnds_Prot#'!A:AL,16,FALSE)-VLOOKUP(B16,'NonXtal_SegEnds_Prot#'!A:AL,10,FALSE)</f>
        <v>52</v>
      </c>
      <c r="AH16" s="102">
        <f>VLOOKUP(B16,'NonXtal_SegEnds_Prot#'!A:AL,16,FALSE)-VLOOKUP(B16,'NonXtal_SegEnds_Prot#'!A:AL,11,FALSE)</f>
        <v>35</v>
      </c>
      <c r="AI16" s="102">
        <f>VLOOKUP(B16,'NonXtal_SegEnds_Prot#'!A:AL,15,FALSE)-VLOOKUP(B16,'NonXtal_SegEnds_Prot#'!A:AL,14,FALSE)</f>
        <v>1</v>
      </c>
      <c r="AJ16" s="102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86"/>
    </row>
    <row r="17" spans="1:62" s="2" customFormat="1" x14ac:dyDescent="0.2">
      <c r="A17" s="2" t="s">
        <v>1491</v>
      </c>
      <c r="B17" s="2" t="s">
        <v>1116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89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102" t="str">
        <f>VLOOKUP(B17,Classification!A:D,2,FALSE)</f>
        <v>A</v>
      </c>
      <c r="AB17" s="102">
        <f>VLOOKUP(B17,'NonXtal_SegEnds_Prot#'!A:AL,6,FALSE)-VLOOKUP(B17,'NonXtal_SegEnds_Prot#'!A:AL,5,FALSE)</f>
        <v>1</v>
      </c>
      <c r="AC17" s="102">
        <f>VLOOKUP(B17,'NonXtal_SegEnds_Prot#'!A:AL,9,FALSE)-VLOOKUP(B17,'NonXtal_SegEnds_Prot#'!A:AL,8,FALSE)</f>
        <v>1</v>
      </c>
      <c r="AD17" s="102">
        <f>VLOOKUP(B17,'NonXtal_SegEnds_Prot#'!A:AL,13,FALSE)-VLOOKUP(B17,'NonXtal_SegEnds_Prot#'!A:AL,10,FALSE)</f>
        <v>20</v>
      </c>
      <c r="AE17" s="102">
        <f>VLOOKUP(B17,'NonXtal_SegEnds_Prot#'!A:AL,12,FALSE)-VLOOKUP(B17,'NonXtal_SegEnds_Prot#'!A:AL,11,FALSE)</f>
        <v>2</v>
      </c>
      <c r="AF17" s="102">
        <f>VLOOKUP(B17,'NonXtal_SegEnds_Prot#'!A:AL,13,FALSE)-VLOOKUP(B17,'NonXtal_SegEnds_Prot#'!A:AL,11,FALSE)</f>
        <v>3</v>
      </c>
      <c r="AG17" s="102">
        <f>VLOOKUP(B17,'NonXtal_SegEnds_Prot#'!A:AL,16,FALSE)-VLOOKUP(B17,'NonXtal_SegEnds_Prot#'!A:AL,10,FALSE)</f>
        <v>52</v>
      </c>
      <c r="AH17" s="102">
        <f>VLOOKUP(B17,'NonXtal_SegEnds_Prot#'!A:AL,16,FALSE)-VLOOKUP(B17,'NonXtal_SegEnds_Prot#'!A:AL,11,FALSE)</f>
        <v>35</v>
      </c>
      <c r="AI17" s="102">
        <f>VLOOKUP(B17,'NonXtal_SegEnds_Prot#'!A:AL,15,FALSE)-VLOOKUP(B17,'NonXtal_SegEnds_Prot#'!A:AL,14,FALSE)</f>
        <v>1</v>
      </c>
      <c r="AJ17" s="102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86"/>
    </row>
    <row r="18" spans="1:62" s="2" customFormat="1" x14ac:dyDescent="0.2">
      <c r="A18" s="2" t="s">
        <v>1478</v>
      </c>
      <c r="B18" s="2" t="s">
        <v>386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89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102" t="str">
        <f>VLOOKUP(B18,Classification!A:D,2,FALSE)</f>
        <v>A</v>
      </c>
      <c r="AB18" s="102">
        <f>VLOOKUP(B18,'NonXtal_SegEnds_Prot#'!A:AL,6,FALSE)-VLOOKUP(B18,'NonXtal_SegEnds_Prot#'!A:AL,5,FALSE)</f>
        <v>1</v>
      </c>
      <c r="AC18" s="102">
        <f>VLOOKUP(B18,'NonXtal_SegEnds_Prot#'!A:AL,9,FALSE)-VLOOKUP(B18,'NonXtal_SegEnds_Prot#'!A:AL,8,FALSE)</f>
        <v>1</v>
      </c>
      <c r="AD18" s="102">
        <f>VLOOKUP(B18,'NonXtal_SegEnds_Prot#'!A:AL,13,FALSE)-VLOOKUP(B18,'NonXtal_SegEnds_Prot#'!A:AL,10,FALSE)</f>
        <v>21</v>
      </c>
      <c r="AE18" s="102">
        <f>VLOOKUP(B18,'NonXtal_SegEnds_Prot#'!A:AL,12,FALSE)-VLOOKUP(B18,'NonXtal_SegEnds_Prot#'!A:AL,11,FALSE)</f>
        <v>3</v>
      </c>
      <c r="AF18" s="102">
        <f>VLOOKUP(B18,'NonXtal_SegEnds_Prot#'!A:AL,13,FALSE)-VLOOKUP(B18,'NonXtal_SegEnds_Prot#'!A:AL,11,FALSE)</f>
        <v>4</v>
      </c>
      <c r="AG18" s="102">
        <f>VLOOKUP(B18,'NonXtal_SegEnds_Prot#'!A:AL,16,FALSE)-VLOOKUP(B18,'NonXtal_SegEnds_Prot#'!A:AL,10,FALSE)</f>
        <v>53</v>
      </c>
      <c r="AH18" s="102">
        <f>VLOOKUP(B18,'NonXtal_SegEnds_Prot#'!A:AL,16,FALSE)-VLOOKUP(B18,'NonXtal_SegEnds_Prot#'!A:AL,11,FALSE)</f>
        <v>36</v>
      </c>
      <c r="AI18" s="102">
        <f>VLOOKUP(B18,'NonXtal_SegEnds_Prot#'!A:AL,15,FALSE)-VLOOKUP(B18,'NonXtal_SegEnds_Prot#'!A:AL,14,FALSE)</f>
        <v>1</v>
      </c>
      <c r="AJ18" s="102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86"/>
      <c r="AM18" s="2" t="s">
        <v>1504</v>
      </c>
    </row>
    <row r="19" spans="1:62" s="89" customFormat="1" x14ac:dyDescent="0.2">
      <c r="A19" s="89" t="s">
        <v>1465</v>
      </c>
      <c r="B19" s="89" t="s">
        <v>208</v>
      </c>
      <c r="C19" s="89">
        <f>IFERROR(50+VLOOKUP($A19,'Xtal_SegEnds_Prot#'!$A:$AY,5,FALSE)-VLOOKUP($B19,'NonXtal_SegEnds_Prot#'!$A:$AL,4,FALSE),"-")</f>
        <v>29</v>
      </c>
      <c r="D19" s="89">
        <f>IFERROR(50+VLOOKUP($A19,'Xtal_SegEnds_Prot#'!$A:$AY,7,FALSE)-VLOOKUP($B19,'NonXtal_SegEnds_Prot#'!$A:$AL,4,FALSE),"-")</f>
        <v>60</v>
      </c>
      <c r="E19" s="89">
        <f>IFERROR(50+VLOOKUP($A19,'Xtal_SegEnds_Prot#'!$A:$AY,9,FALSE)-VLOOKUP($B19,'NonXtal_SegEnds_Prot#'!$A:$AL,7,FALSE),"-")</f>
        <v>48</v>
      </c>
      <c r="F19" s="89">
        <f>IFERROR(50+VLOOKUP($A19,'Xtal_SegEnds_Prot#'!$A:$AY,11,FALSE)-VLOOKUP($B19,'NonXtal_SegEnds_Prot#'!$A:$AL,7,FALSE),"-")</f>
        <v>51</v>
      </c>
      <c r="G19" s="89">
        <f>IFERROR(50+VLOOKUP($A19,'Xtal_SegEnds_Prot#'!$A:$AY,13,FALSE)-VLOOKUP($B19,'NonXtal_SegEnds_Prot#'!$A:$AL,10,FALSE),"-")</f>
        <v>37</v>
      </c>
      <c r="H19" s="89">
        <f>IFERROR(50+VLOOKUP($A19,'Xtal_SegEnds_Prot#'!$A:$AY,15,FALSE)-VLOOKUP($B19,'NonXtal_SegEnds_Prot#'!$A:$AL,10,FALSE),"-")</f>
        <v>67</v>
      </c>
      <c r="I19" s="89">
        <f>IFERROR(50+VLOOKUP($A19,'Xtal_SegEnds_Prot#'!$A:$AY,17,FALSE)-VLOOKUP($B19,'NonXtal_SegEnds_Prot#'!$A:$AL,13,FALSE),"-")</f>
        <v>49</v>
      </c>
      <c r="J19" s="89">
        <f>IFERROR(50+VLOOKUP($A19,'Xtal_SegEnds_Prot#'!$A:$AY,19,FALSE)-VLOOKUP($B19,'NonXtal_SegEnds_Prot#'!$A:$AL,13,FALSE),"-")</f>
        <v>52</v>
      </c>
      <c r="K19" s="89">
        <f>IFERROR(50+VLOOKUP($A19,'Xtal_SegEnds_Prot#'!$A:$AY,21,FALSE)-VLOOKUP($B19,'NonXtal_SegEnds_Prot#'!$A:$AL,16,FALSE),"-")</f>
        <v>21</v>
      </c>
      <c r="L19" s="89">
        <f>IFERROR(50+VLOOKUP($A19,'Xtal_SegEnds_Prot#'!$A:$AY,23,FALSE)-VLOOKUP($B19,'NonXtal_SegEnds_Prot#'!$A:$AL,16,FALSE),"-")</f>
        <v>56</v>
      </c>
      <c r="M19" s="89">
        <f>IFERROR(50+VLOOKUP($A19,'Xtal_SegEnds_Prot#'!$A:$AY,25,FALSE)-VLOOKUP($B19,'NonXtal_SegEnds_Prot#'!$A:$AL,19,FALSE),"-")</f>
        <v>50</v>
      </c>
      <c r="N19" s="89">
        <f>IFERROR(50+VLOOKUP($A19,'Xtal_SegEnds_Prot#'!$A:$AY,27,FALSE)-VLOOKUP($B19,'NonXtal_SegEnds_Prot#'!$A:$AL,19,FALSE),"-")</f>
        <v>57</v>
      </c>
      <c r="O19" s="89">
        <f>IFERROR(50+VLOOKUP($A19,'Xtal_SegEnds_Prot#'!$A:$AY,29,FALSE)-VLOOKUP($B19,'NonXtal_SegEnds_Prot#'!$A:$AL,22,FALSE),"-")</f>
        <v>39</v>
      </c>
      <c r="P19" s="89">
        <f>IFERROR(50+VLOOKUP($A19,'Xtal_SegEnds_Prot#'!$A:$AY,31,FALSE)-VLOOKUP($B19,'NonXtal_SegEnds_Prot#'!$A:$AL,22,FALSE),"-")</f>
        <v>63</v>
      </c>
      <c r="Q19" s="89">
        <f>IFERROR(50+VLOOKUP($A19,'Xtal_SegEnds_Prot#'!$A:$AY,33,FALSE)-VLOOKUP($B19,'NonXtal_SegEnds_Prot#'!$A:$AL,25,FALSE),"-")</f>
        <v>50</v>
      </c>
      <c r="R19" s="89">
        <f>IFERROR(50+VLOOKUP($A19,'Xtal_SegEnds_Prot#'!$A:$AY,35,FALSE)-VLOOKUP($B19,'NonXtal_SegEnds_Prot#'!$A:$AL,25,FALSE),"-")</f>
        <v>52</v>
      </c>
      <c r="S19" s="89">
        <f>IFERROR(50+VLOOKUP($A19,'Xtal_SegEnds_Prot#'!$A:$AY,37,FALSE)-VLOOKUP($B19,'NonXtal_SegEnds_Prot#'!$A:$AL,28,FALSE),"-")</f>
        <v>35</v>
      </c>
      <c r="T19" s="89">
        <f>IFERROR(50+VLOOKUP($A19,'Xtal_SegEnds_Prot#'!$A:$AY,39,FALSE)-VLOOKUP($B19,'NonXtal_SegEnds_Prot#'!$A:$AL,28,FALSE),"-")</f>
        <v>74</v>
      </c>
      <c r="U19" s="89">
        <f>IFERROR(50+VLOOKUP($A19,'Xtal_SegEnds_Prot#'!$A:$AY,41,FALSE)-VLOOKUP($B19,'NonXtal_SegEnds_Prot#'!$A:$AL,31,FALSE),"-")</f>
        <v>24</v>
      </c>
      <c r="V19" s="89">
        <f>IFERROR(50+VLOOKUP($A19,'Xtal_SegEnds_Prot#'!$A:$AY,43,FALSE)-VLOOKUP($B19,'NonXtal_SegEnds_Prot#'!$A:$AL,31,FALSE),"-")</f>
        <v>60</v>
      </c>
      <c r="W19" s="89">
        <f>IFERROR(50+VLOOKUP($A19,'Xtal_SegEnds_Prot#'!$A:$AY,45,FALSE)-VLOOKUP($B19,'NonXtal_SegEnds_Prot#'!$A:$AL,34,FALSE),"-")</f>
        <v>31</v>
      </c>
      <c r="X19" s="89">
        <f>IFERROR(50+VLOOKUP($A19,'Xtal_SegEnds_Prot#'!$A:$AY,47,FALSE)-VLOOKUP($B19,'NonXtal_SegEnds_Prot#'!$A:$AL,34,FALSE),"-")</f>
        <v>56</v>
      </c>
      <c r="Y19" s="89">
        <f>IFERROR(50+VLOOKUP($A19,'Xtal_SegEnds_Prot#'!$A:$AY,49,FALSE)-VLOOKUP($B19,'NonXtal_SegEnds_Prot#'!$A:$AL,37,FALSE),"-")</f>
        <v>47</v>
      </c>
      <c r="Z19" s="89">
        <f>IFERROR(50+VLOOKUP($A19,'Xtal_SegEnds_Prot#'!$A:$AY,51,FALSE)-VLOOKUP($B19,'NonXtal_SegEnds_Prot#'!$A:$AL,37,FALSE),"-")</f>
        <v>58</v>
      </c>
      <c r="AA19" s="104" t="str">
        <f>VLOOKUP(B19,Classification!A:D,2,FALSE)</f>
        <v>A</v>
      </c>
      <c r="AB19" s="104">
        <f>VLOOKUP(B19,'NonXtal_SegEnds_Prot#'!A:AL,6,FALSE)-VLOOKUP(B19,'NonXtal_SegEnds_Prot#'!A:AL,5,FALSE)</f>
        <v>1</v>
      </c>
      <c r="AC19" s="104">
        <f>VLOOKUP(B19,'NonXtal_SegEnds_Prot#'!A:AL,9,FALSE)-VLOOKUP(B19,'NonXtal_SegEnds_Prot#'!A:AL,8,FALSE)</f>
        <v>1</v>
      </c>
      <c r="AD19" s="104">
        <f>VLOOKUP(B19,'NonXtal_SegEnds_Prot#'!A:AL,13,FALSE)-VLOOKUP(B19,'NonXtal_SegEnds_Prot#'!A:AL,10,FALSE)</f>
        <v>20</v>
      </c>
      <c r="AE19" s="104">
        <f>VLOOKUP(B19,'NonXtal_SegEnds_Prot#'!A:AL,12,FALSE)-VLOOKUP(B19,'NonXtal_SegEnds_Prot#'!A:AL,11,FALSE)</f>
        <v>2</v>
      </c>
      <c r="AF19" s="104">
        <f>VLOOKUP(B19,'NonXtal_SegEnds_Prot#'!A:AL,13,FALSE)-VLOOKUP(B19,'NonXtal_SegEnds_Prot#'!A:AL,11,FALSE)</f>
        <v>3</v>
      </c>
      <c r="AG19" s="104">
        <f>VLOOKUP(B19,'NonXtal_SegEnds_Prot#'!A:AL,16,FALSE)-VLOOKUP(B19,'NonXtal_SegEnds_Prot#'!A:AL,10,FALSE)</f>
        <v>52</v>
      </c>
      <c r="AH19" s="104">
        <f>VLOOKUP(B19,'NonXtal_SegEnds_Prot#'!A:AL,16,FALSE)-VLOOKUP(B19,'NonXtal_SegEnds_Prot#'!A:AL,11,FALSE)</f>
        <v>35</v>
      </c>
      <c r="AI19" s="104">
        <f>VLOOKUP(B19,'NonXtal_SegEnds_Prot#'!A:AL,15,FALSE)-VLOOKUP(B19,'NonXtal_SegEnds_Prot#'!A:AL,14,FALSE)</f>
        <v>1</v>
      </c>
      <c r="AJ19" s="104">
        <f>VLOOKUP(B19,'NonXtal_SegEnds_Prot#'!A:AL,18,FALSE)-VLOOKUP(B19,'NonXtal_SegEnds_Prot#'!A:AL,17,FALSE)</f>
        <v>1</v>
      </c>
      <c r="AK19" s="89">
        <f>VLOOKUP(B19,'NonXtal_SegEnds_Prot#'!A:AL,34,FALSE)-VLOOKUP(B19,'NonXtal_SegEnds_Prot#'!A:AL,31,FALSE)</f>
        <v>37</v>
      </c>
      <c r="AL19" s="111"/>
    </row>
    <row r="20" spans="1:62" s="2" customFormat="1" x14ac:dyDescent="0.2">
      <c r="A20" s="2" t="s">
        <v>1499</v>
      </c>
      <c r="B20" s="2" t="s">
        <v>298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89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102" t="str">
        <f>VLOOKUP(B20,Classification!A:D,2,FALSE)</f>
        <v>A</v>
      </c>
      <c r="AB20" s="102">
        <f>VLOOKUP(B20,'NonXtal_SegEnds_Prot#'!A:AL,6,FALSE)-VLOOKUP(B20,'NonXtal_SegEnds_Prot#'!A:AL,5,FALSE)</f>
        <v>1</v>
      </c>
      <c r="AC20" s="102">
        <f>VLOOKUP(B20,'NonXtal_SegEnds_Prot#'!A:AL,9,FALSE)-VLOOKUP(B20,'NonXtal_SegEnds_Prot#'!A:AL,8,FALSE)</f>
        <v>1</v>
      </c>
      <c r="AD20" s="102">
        <f>VLOOKUP(B20,'NonXtal_SegEnds_Prot#'!A:AL,13,FALSE)-VLOOKUP(B20,'NonXtal_SegEnds_Prot#'!A:AL,10,FALSE)</f>
        <v>18</v>
      </c>
      <c r="AE20" s="102">
        <f>VLOOKUP(B20,'NonXtal_SegEnds_Prot#'!A:AL,12,FALSE)-VLOOKUP(B20,'NonXtal_SegEnds_Prot#'!A:AL,11,FALSE)</f>
        <v>2</v>
      </c>
      <c r="AF20" s="102">
        <f>VLOOKUP(B20,'NonXtal_SegEnds_Prot#'!A:AL,13,FALSE)-VLOOKUP(B20,'NonXtal_SegEnds_Prot#'!A:AL,11,FALSE)</f>
        <v>5</v>
      </c>
      <c r="AG20" s="102">
        <f>VLOOKUP(B20,'NonXtal_SegEnds_Prot#'!A:AL,16,FALSE)-VLOOKUP(B20,'NonXtal_SegEnds_Prot#'!A:AL,10,FALSE)</f>
        <v>51</v>
      </c>
      <c r="AH20" s="102">
        <f>VLOOKUP(B20,'NonXtal_SegEnds_Prot#'!A:AL,16,FALSE)-VLOOKUP(B20,'NonXtal_SegEnds_Prot#'!A:AL,11,FALSE)</f>
        <v>38</v>
      </c>
      <c r="AI20" s="102">
        <f>VLOOKUP(B20,'NonXtal_SegEnds_Prot#'!A:AL,15,FALSE)-VLOOKUP(B20,'NonXtal_SegEnds_Prot#'!A:AL,14,FALSE)</f>
        <v>1</v>
      </c>
      <c r="AJ20" s="102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86"/>
    </row>
    <row r="21" spans="1:62" s="2" customFormat="1" x14ac:dyDescent="0.2">
      <c r="A21" s="2" t="s">
        <v>1467</v>
      </c>
      <c r="B21" s="2" t="s">
        <v>333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89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102" t="str">
        <f>VLOOKUP(B21,Classification!A:D,2,FALSE)</f>
        <v>A</v>
      </c>
      <c r="AB21" s="102">
        <f>VLOOKUP(B21,'NonXtal_SegEnds_Prot#'!A:AL,6,FALSE)-VLOOKUP(B21,'NonXtal_SegEnds_Prot#'!A:AL,5,FALSE)</f>
        <v>1</v>
      </c>
      <c r="AC21" s="102">
        <f>VLOOKUP(B21,'NonXtal_SegEnds_Prot#'!A:AL,9,FALSE)-VLOOKUP(B21,'NonXtal_SegEnds_Prot#'!A:AL,8,FALSE)</f>
        <v>1</v>
      </c>
      <c r="AD21" s="102">
        <f>VLOOKUP(B21,'NonXtal_SegEnds_Prot#'!A:AL,13,FALSE)-VLOOKUP(B21,'NonXtal_SegEnds_Prot#'!A:AL,10,FALSE)</f>
        <v>18</v>
      </c>
      <c r="AE21" s="102">
        <f>VLOOKUP(B21,'NonXtal_SegEnds_Prot#'!A:AL,12,FALSE)-VLOOKUP(B21,'NonXtal_SegEnds_Prot#'!A:AL,11,FALSE)</f>
        <v>1</v>
      </c>
      <c r="AF21" s="102">
        <f>VLOOKUP(B21,'NonXtal_SegEnds_Prot#'!A:AL,13,FALSE)-VLOOKUP(B21,'NonXtal_SegEnds_Prot#'!A:AL,11,FALSE)</f>
        <v>1</v>
      </c>
      <c r="AG21" s="102">
        <f>VLOOKUP(B21,'NonXtal_SegEnds_Prot#'!A:AL,16,FALSE)-VLOOKUP(B21,'NonXtal_SegEnds_Prot#'!A:AL,10,FALSE)</f>
        <v>50</v>
      </c>
      <c r="AH21" s="102">
        <f>VLOOKUP(B21,'NonXtal_SegEnds_Prot#'!A:AL,16,FALSE)-VLOOKUP(B21,'NonXtal_SegEnds_Prot#'!A:AL,11,FALSE)</f>
        <v>33</v>
      </c>
      <c r="AI21" s="102">
        <f>VLOOKUP(B21,'NonXtal_SegEnds_Prot#'!A:AL,15,FALSE)-VLOOKUP(B21,'NonXtal_SegEnds_Prot#'!A:AL,14,FALSE)</f>
        <v>1</v>
      </c>
      <c r="AJ21" s="102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86"/>
    </row>
    <row r="22" spans="1:62" s="2" customFormat="1" x14ac:dyDescent="0.2">
      <c r="A22" s="2" t="s">
        <v>1466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89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102" t="str">
        <f>VLOOKUP(B22,Classification!A:D,2,FALSE)</f>
        <v>A</v>
      </c>
      <c r="AB22" s="102">
        <f>VLOOKUP(B22,'NonXtal_SegEnds_Prot#'!A:AL,6,FALSE)-VLOOKUP(B22,'NonXtal_SegEnds_Prot#'!A:AL,5,FALSE)</f>
        <v>1</v>
      </c>
      <c r="AC22" s="102">
        <f>VLOOKUP(B22,'NonXtal_SegEnds_Prot#'!A:AL,9,FALSE)-VLOOKUP(B22,'NonXtal_SegEnds_Prot#'!A:AL,8,FALSE)</f>
        <v>1</v>
      </c>
      <c r="AD22" s="102">
        <f>VLOOKUP(B22,'NonXtal_SegEnds_Prot#'!A:AL,13,FALSE)-VLOOKUP(B22,'NonXtal_SegEnds_Prot#'!A:AL,10,FALSE)</f>
        <v>21</v>
      </c>
      <c r="AE22" s="102">
        <f>VLOOKUP(B22,'NonXtal_SegEnds_Prot#'!A:AL,12,FALSE)-VLOOKUP(B22,'NonXtal_SegEnds_Prot#'!A:AL,11,FALSE)</f>
        <v>3</v>
      </c>
      <c r="AF22" s="102">
        <f>VLOOKUP(B22,'NonXtal_SegEnds_Prot#'!A:AL,13,FALSE)-VLOOKUP(B22,'NonXtal_SegEnds_Prot#'!A:AL,11,FALSE)</f>
        <v>4</v>
      </c>
      <c r="AG22" s="102">
        <f>VLOOKUP(B22,'NonXtal_SegEnds_Prot#'!A:AL,16,FALSE)-VLOOKUP(B22,'NonXtal_SegEnds_Prot#'!A:AL,10,FALSE)</f>
        <v>53</v>
      </c>
      <c r="AH22" s="102">
        <f>VLOOKUP(B22,'NonXtal_SegEnds_Prot#'!A:AL,16,FALSE)-VLOOKUP(B22,'NonXtal_SegEnds_Prot#'!A:AL,11,FALSE)</f>
        <v>36</v>
      </c>
      <c r="AI22" s="102">
        <f>VLOOKUP(B22,'NonXtal_SegEnds_Prot#'!A:AL,15,FALSE)-VLOOKUP(B22,'NonXtal_SegEnds_Prot#'!A:AL,14,FALSE)</f>
        <v>1</v>
      </c>
      <c r="AJ22" s="102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86"/>
    </row>
    <row r="23" spans="1:62" s="2" customFormat="1" x14ac:dyDescent="0.2">
      <c r="A23" s="2" t="s">
        <v>1490</v>
      </c>
      <c r="B23" s="2" t="s">
        <v>1393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89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102" t="str">
        <f>VLOOKUP(B23,Classification!A:D,2,FALSE)</f>
        <v>A</v>
      </c>
      <c r="AB23" s="102">
        <f>VLOOKUP(B23,'NonXtal_SegEnds_Prot#'!A:AL,6,FALSE)-VLOOKUP(B23,'NonXtal_SegEnds_Prot#'!A:AL,5,FALSE)</f>
        <v>1</v>
      </c>
      <c r="AC23" s="102">
        <f>VLOOKUP(B23,'NonXtal_SegEnds_Prot#'!A:AL,9,FALSE)-VLOOKUP(B23,'NonXtal_SegEnds_Prot#'!A:AL,8,FALSE)</f>
        <v>1</v>
      </c>
      <c r="AD23" s="102">
        <f>VLOOKUP(B23,'NonXtal_SegEnds_Prot#'!A:AL,13,FALSE)-VLOOKUP(B23,'NonXtal_SegEnds_Prot#'!A:AL,10,FALSE)</f>
        <v>19</v>
      </c>
      <c r="AE23" s="102">
        <f>VLOOKUP(B23,'NonXtal_SegEnds_Prot#'!A:AL,12,FALSE)-VLOOKUP(B23,'NonXtal_SegEnds_Prot#'!A:AL,11,FALSE)</f>
        <v>2</v>
      </c>
      <c r="AF23" s="102">
        <f>VLOOKUP(B23,'NonXtal_SegEnds_Prot#'!A:AL,13,FALSE)-VLOOKUP(B23,'NonXtal_SegEnds_Prot#'!A:AL,11,FALSE)</f>
        <v>3</v>
      </c>
      <c r="AG23" s="102">
        <f>VLOOKUP(B23,'NonXtal_SegEnds_Prot#'!A:AL,16,FALSE)-VLOOKUP(B23,'NonXtal_SegEnds_Prot#'!A:AL,10,FALSE)</f>
        <v>51</v>
      </c>
      <c r="AH23" s="102">
        <f>VLOOKUP(B23,'NonXtal_SegEnds_Prot#'!A:AL,16,FALSE)-VLOOKUP(B23,'NonXtal_SegEnds_Prot#'!A:AL,11,FALSE)</f>
        <v>35</v>
      </c>
      <c r="AI23" s="102">
        <f>VLOOKUP(B23,'NonXtal_SegEnds_Prot#'!A:AL,15,FALSE)-VLOOKUP(B23,'NonXtal_SegEnds_Prot#'!A:AL,14,FALSE)</f>
        <v>1</v>
      </c>
      <c r="AJ23" s="102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86"/>
    </row>
    <row r="24" spans="1:62" s="2" customFormat="1" x14ac:dyDescent="0.2">
      <c r="A24" s="2" t="s">
        <v>1489</v>
      </c>
      <c r="B24" s="2" t="s">
        <v>1114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89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102" t="str">
        <f>VLOOKUP(B24,Classification!A:D,2,FALSE)</f>
        <v>A</v>
      </c>
      <c r="AB24" s="102">
        <f>VLOOKUP(B24,'NonXtal_SegEnds_Prot#'!A:AL,6,FALSE)-VLOOKUP(B24,'NonXtal_SegEnds_Prot#'!A:AL,5,FALSE)</f>
        <v>1</v>
      </c>
      <c r="AC24" s="102">
        <f>VLOOKUP(B24,'NonXtal_SegEnds_Prot#'!A:AL,9,FALSE)-VLOOKUP(B24,'NonXtal_SegEnds_Prot#'!A:AL,8,FALSE)</f>
        <v>1</v>
      </c>
      <c r="AD24" s="102">
        <f>VLOOKUP(B24,'NonXtal_SegEnds_Prot#'!A:AL,13,FALSE)-VLOOKUP(B24,'NonXtal_SegEnds_Prot#'!A:AL,10,FALSE)</f>
        <v>19</v>
      </c>
      <c r="AE24" s="102">
        <f>VLOOKUP(B24,'NonXtal_SegEnds_Prot#'!A:AL,12,FALSE)-VLOOKUP(B24,'NonXtal_SegEnds_Prot#'!A:AL,11,FALSE)</f>
        <v>2</v>
      </c>
      <c r="AF24" s="102">
        <f>VLOOKUP(B24,'NonXtal_SegEnds_Prot#'!A:AL,13,FALSE)-VLOOKUP(B24,'NonXtal_SegEnds_Prot#'!A:AL,11,FALSE)</f>
        <v>3</v>
      </c>
      <c r="AG24" s="102">
        <f>VLOOKUP(B24,'NonXtal_SegEnds_Prot#'!A:AL,16,FALSE)-VLOOKUP(B24,'NonXtal_SegEnds_Prot#'!A:AL,10,FALSE)</f>
        <v>51</v>
      </c>
      <c r="AH24" s="102">
        <f>VLOOKUP(B24,'NonXtal_SegEnds_Prot#'!A:AL,16,FALSE)-VLOOKUP(B24,'NonXtal_SegEnds_Prot#'!A:AL,11,FALSE)</f>
        <v>35</v>
      </c>
      <c r="AI24" s="102">
        <f>VLOOKUP(B24,'NonXtal_SegEnds_Prot#'!A:AL,15,FALSE)-VLOOKUP(B24,'NonXtal_SegEnds_Prot#'!A:AL,14,FALSE)</f>
        <v>1</v>
      </c>
      <c r="AJ24" s="102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86"/>
    </row>
    <row r="25" spans="1:62" s="2" customFormat="1" x14ac:dyDescent="0.2">
      <c r="A25" s="2" t="s">
        <v>1488</v>
      </c>
      <c r="B25" s="2" t="s">
        <v>530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89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102" t="str">
        <f>VLOOKUP(B25,Classification!A:D,2,FALSE)</f>
        <v>A</v>
      </c>
      <c r="AB25" s="102">
        <f>VLOOKUP(B25,'NonXtal_SegEnds_Prot#'!A:AL,6,FALSE)-VLOOKUP(B25,'NonXtal_SegEnds_Prot#'!A:AL,5,FALSE)</f>
        <v>1</v>
      </c>
      <c r="AC25" s="102">
        <f>VLOOKUP(B25,'NonXtal_SegEnds_Prot#'!A:AL,9,FALSE)-VLOOKUP(B25,'NonXtal_SegEnds_Prot#'!A:AL,8,FALSE)</f>
        <v>1</v>
      </c>
      <c r="AD25" s="102">
        <f>VLOOKUP(B25,'NonXtal_SegEnds_Prot#'!A:AL,13,FALSE)-VLOOKUP(B25,'NonXtal_SegEnds_Prot#'!A:AL,10,FALSE)</f>
        <v>19</v>
      </c>
      <c r="AE25" s="102">
        <f>VLOOKUP(B25,'NonXtal_SegEnds_Prot#'!A:AL,12,FALSE)-VLOOKUP(B25,'NonXtal_SegEnds_Prot#'!A:AL,11,FALSE)</f>
        <v>2</v>
      </c>
      <c r="AF25" s="102">
        <f>VLOOKUP(B25,'NonXtal_SegEnds_Prot#'!A:AL,13,FALSE)-VLOOKUP(B25,'NonXtal_SegEnds_Prot#'!A:AL,11,FALSE)</f>
        <v>3</v>
      </c>
      <c r="AG25" s="102">
        <f>VLOOKUP(B25,'NonXtal_SegEnds_Prot#'!A:AL,16,FALSE)-VLOOKUP(B25,'NonXtal_SegEnds_Prot#'!A:AL,10,FALSE)</f>
        <v>51</v>
      </c>
      <c r="AH25" s="102">
        <f>VLOOKUP(B25,'NonXtal_SegEnds_Prot#'!A:AL,16,FALSE)-VLOOKUP(B25,'NonXtal_SegEnds_Prot#'!A:AL,11,FALSE)</f>
        <v>35</v>
      </c>
      <c r="AI25" s="102">
        <f>VLOOKUP(B25,'NonXtal_SegEnds_Prot#'!A:AL,15,FALSE)-VLOOKUP(B25,'NonXtal_SegEnds_Prot#'!A:AL,14,FALSE)</f>
        <v>1</v>
      </c>
      <c r="AJ25" s="102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86"/>
    </row>
    <row r="26" spans="1:62" s="2" customFormat="1" x14ac:dyDescent="0.2">
      <c r="A26" s="2" t="s">
        <v>1486</v>
      </c>
      <c r="B26" s="2" t="s">
        <v>529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89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102" t="str">
        <f>VLOOKUP(B26,Classification!A:D,2,FALSE)</f>
        <v>A</v>
      </c>
      <c r="AB26" s="102">
        <f>VLOOKUP(B26,'NonXtal_SegEnds_Prot#'!A:AL,6,FALSE)-VLOOKUP(B26,'NonXtal_SegEnds_Prot#'!A:AL,5,FALSE)</f>
        <v>1</v>
      </c>
      <c r="AC26" s="102">
        <f>VLOOKUP(B26,'NonXtal_SegEnds_Prot#'!A:AL,9,FALSE)-VLOOKUP(B26,'NonXtal_SegEnds_Prot#'!A:AL,8,FALSE)</f>
        <v>1</v>
      </c>
      <c r="AD26" s="102">
        <f>VLOOKUP(B26,'NonXtal_SegEnds_Prot#'!A:AL,13,FALSE)-VLOOKUP(B26,'NonXtal_SegEnds_Prot#'!A:AL,10,FALSE)</f>
        <v>19</v>
      </c>
      <c r="AE26" s="102">
        <f>VLOOKUP(B26,'NonXtal_SegEnds_Prot#'!A:AL,12,FALSE)-VLOOKUP(B26,'NonXtal_SegEnds_Prot#'!A:AL,11,FALSE)</f>
        <v>2</v>
      </c>
      <c r="AF26" s="102">
        <f>VLOOKUP(B26,'NonXtal_SegEnds_Prot#'!A:AL,13,FALSE)-VLOOKUP(B26,'NonXtal_SegEnds_Prot#'!A:AL,11,FALSE)</f>
        <v>3</v>
      </c>
      <c r="AG26" s="102">
        <f>VLOOKUP(B26,'NonXtal_SegEnds_Prot#'!A:AL,16,FALSE)-VLOOKUP(B26,'NonXtal_SegEnds_Prot#'!A:AL,10,FALSE)</f>
        <v>51</v>
      </c>
      <c r="AH26" s="102">
        <f>VLOOKUP(B26,'NonXtal_SegEnds_Prot#'!A:AL,16,FALSE)-VLOOKUP(B26,'NonXtal_SegEnds_Prot#'!A:AL,11,FALSE)</f>
        <v>35</v>
      </c>
      <c r="AI26" s="102">
        <f>VLOOKUP(B26,'NonXtal_SegEnds_Prot#'!A:AL,15,FALSE)-VLOOKUP(B26,'NonXtal_SegEnds_Prot#'!A:AL,14,FALSE)</f>
        <v>1</v>
      </c>
      <c r="AJ26" s="102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86"/>
    </row>
    <row r="27" spans="1:62" s="2" customFormat="1" x14ac:dyDescent="0.2">
      <c r="A27" s="2" t="s">
        <v>1487</v>
      </c>
      <c r="B27" s="2" t="s">
        <v>1112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89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102" t="str">
        <f>VLOOKUP(B27,Classification!A:D,2,FALSE)</f>
        <v>A</v>
      </c>
      <c r="AB27" s="102">
        <f>VLOOKUP(B27,'NonXtal_SegEnds_Prot#'!A:AL,6,FALSE)-VLOOKUP(B27,'NonXtal_SegEnds_Prot#'!A:AL,5,FALSE)</f>
        <v>1</v>
      </c>
      <c r="AC27" s="102">
        <f>VLOOKUP(B27,'NonXtal_SegEnds_Prot#'!A:AL,9,FALSE)-VLOOKUP(B27,'NonXtal_SegEnds_Prot#'!A:AL,8,FALSE)</f>
        <v>1</v>
      </c>
      <c r="AD27" s="102">
        <f>VLOOKUP(B27,'NonXtal_SegEnds_Prot#'!A:AL,13,FALSE)-VLOOKUP(B27,'NonXtal_SegEnds_Prot#'!A:AL,10,FALSE)</f>
        <v>19</v>
      </c>
      <c r="AE27" s="102">
        <f>VLOOKUP(B27,'NonXtal_SegEnds_Prot#'!A:AL,12,FALSE)-VLOOKUP(B27,'NonXtal_SegEnds_Prot#'!A:AL,11,FALSE)</f>
        <v>2</v>
      </c>
      <c r="AF27" s="102">
        <f>VLOOKUP(B27,'NonXtal_SegEnds_Prot#'!A:AL,13,FALSE)-VLOOKUP(B27,'NonXtal_SegEnds_Prot#'!A:AL,11,FALSE)</f>
        <v>3</v>
      </c>
      <c r="AG27" s="102">
        <f>VLOOKUP(B27,'NonXtal_SegEnds_Prot#'!A:AL,16,FALSE)-VLOOKUP(B27,'NonXtal_SegEnds_Prot#'!A:AL,10,FALSE)</f>
        <v>51</v>
      </c>
      <c r="AH27" s="102">
        <f>VLOOKUP(B27,'NonXtal_SegEnds_Prot#'!A:AL,16,FALSE)-VLOOKUP(B27,'NonXtal_SegEnds_Prot#'!A:AL,11,FALSE)</f>
        <v>35</v>
      </c>
      <c r="AI27" s="102">
        <f>VLOOKUP(B27,'NonXtal_SegEnds_Prot#'!A:AL,15,FALSE)-VLOOKUP(B27,'NonXtal_SegEnds_Prot#'!A:AL,14,FALSE)</f>
        <v>1</v>
      </c>
      <c r="AJ27" s="102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86"/>
    </row>
    <row r="28" spans="1:62" s="2" customFormat="1" x14ac:dyDescent="0.2">
      <c r="A28" s="2" t="s">
        <v>1498</v>
      </c>
      <c r="B28" s="2" t="s">
        <v>549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89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102" t="str">
        <f>VLOOKUP(B28,Classification!A:D,2,FALSE)</f>
        <v>A</v>
      </c>
      <c r="AB28" s="102">
        <f>VLOOKUP(B28,'NonXtal_SegEnds_Prot#'!A:AL,6,FALSE)-VLOOKUP(B28,'NonXtal_SegEnds_Prot#'!A:AL,5,FALSE)</f>
        <v>1</v>
      </c>
      <c r="AC28" s="102">
        <f>VLOOKUP(B28,'NonXtal_SegEnds_Prot#'!A:AL,9,FALSE)-VLOOKUP(B28,'NonXtal_SegEnds_Prot#'!A:AL,8,FALSE)</f>
        <v>1</v>
      </c>
      <c r="AD28" s="102">
        <f>VLOOKUP(B28,'NonXtal_SegEnds_Prot#'!A:AL,13,FALSE)-VLOOKUP(B28,'NonXtal_SegEnds_Prot#'!A:AL,10,FALSE)</f>
        <v>20</v>
      </c>
      <c r="AE28" s="102">
        <f>VLOOKUP(B28,'NonXtal_SegEnds_Prot#'!A:AL,12,FALSE)-VLOOKUP(B28,'NonXtal_SegEnds_Prot#'!A:AL,11,FALSE)</f>
        <v>3</v>
      </c>
      <c r="AF28" s="102">
        <f>VLOOKUP(B28,'NonXtal_SegEnds_Prot#'!A:AL,13,FALSE)-VLOOKUP(B28,'NonXtal_SegEnds_Prot#'!A:AL,11,FALSE)</f>
        <v>4</v>
      </c>
      <c r="AG28" s="102">
        <f>VLOOKUP(B28,'NonXtal_SegEnds_Prot#'!A:AL,16,FALSE)-VLOOKUP(B28,'NonXtal_SegEnds_Prot#'!A:AL,10,FALSE)</f>
        <v>52</v>
      </c>
      <c r="AH28" s="102">
        <f>VLOOKUP(B28,'NonXtal_SegEnds_Prot#'!A:AL,16,FALSE)-VLOOKUP(B28,'NonXtal_SegEnds_Prot#'!A:AL,11,FALSE)</f>
        <v>36</v>
      </c>
      <c r="AI28" s="102">
        <f>VLOOKUP(B28,'NonXtal_SegEnds_Prot#'!A:AL,15,FALSE)-VLOOKUP(B28,'NonXtal_SegEnds_Prot#'!A:AL,14,FALSE)</f>
        <v>1</v>
      </c>
      <c r="AJ28" s="102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86"/>
    </row>
    <row r="29" spans="1:62" s="2" customFormat="1" x14ac:dyDescent="0.2">
      <c r="A29" s="2" t="s">
        <v>1495</v>
      </c>
      <c r="B29" s="2" t="s">
        <v>1395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89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102" t="str">
        <f>VLOOKUP(B29,Classification!A:D,2,FALSE)</f>
        <v>A</v>
      </c>
      <c r="AB29" s="102">
        <f>VLOOKUP(B29,'NonXtal_SegEnds_Prot#'!A:AL,6,FALSE)-VLOOKUP(B29,'NonXtal_SegEnds_Prot#'!A:AL,5,FALSE)</f>
        <v>1</v>
      </c>
      <c r="AC29" s="102">
        <f>VLOOKUP(B29,'NonXtal_SegEnds_Prot#'!A:AL,9,FALSE)-VLOOKUP(B29,'NonXtal_SegEnds_Prot#'!A:AL,8,FALSE)</f>
        <v>1</v>
      </c>
      <c r="AD29" s="102">
        <f>VLOOKUP(B29,'NonXtal_SegEnds_Prot#'!A:AL,13,FALSE)-VLOOKUP(B29,'NonXtal_SegEnds_Prot#'!A:AL,10,FALSE)</f>
        <v>20</v>
      </c>
      <c r="AE29" s="102">
        <f>VLOOKUP(B29,'NonXtal_SegEnds_Prot#'!A:AL,12,FALSE)-VLOOKUP(B29,'NonXtal_SegEnds_Prot#'!A:AL,11,FALSE)</f>
        <v>2</v>
      </c>
      <c r="AF29" s="102">
        <f>VLOOKUP(B29,'NonXtal_SegEnds_Prot#'!A:AL,13,FALSE)-VLOOKUP(B29,'NonXtal_SegEnds_Prot#'!A:AL,11,FALSE)</f>
        <v>3</v>
      </c>
      <c r="AG29" s="102">
        <f>VLOOKUP(B29,'NonXtal_SegEnds_Prot#'!A:AL,16,FALSE)-VLOOKUP(B29,'NonXtal_SegEnds_Prot#'!A:AL,10,FALSE)</f>
        <v>52</v>
      </c>
      <c r="AH29" s="102">
        <f>VLOOKUP(B29,'NonXtal_SegEnds_Prot#'!A:AL,16,FALSE)-VLOOKUP(B29,'NonXtal_SegEnds_Prot#'!A:AL,11,FALSE)</f>
        <v>35</v>
      </c>
      <c r="AI29" s="102">
        <f>VLOOKUP(B29,'NonXtal_SegEnds_Prot#'!A:AL,15,FALSE)-VLOOKUP(B29,'NonXtal_SegEnds_Prot#'!A:AL,14,FALSE)</f>
        <v>1</v>
      </c>
      <c r="AJ29" s="102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86"/>
    </row>
    <row r="30" spans="1:62" s="2" customFormat="1" x14ac:dyDescent="0.2">
      <c r="A30" s="2" t="s">
        <v>1494</v>
      </c>
      <c r="B30" s="2" t="s">
        <v>1394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89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102" t="str">
        <f>VLOOKUP(B30,Classification!A:D,2,FALSE)</f>
        <v>A</v>
      </c>
      <c r="AB30" s="102">
        <f>VLOOKUP(B30,'NonXtal_SegEnds_Prot#'!A:AL,6,FALSE)-VLOOKUP(B30,'NonXtal_SegEnds_Prot#'!A:AL,5,FALSE)</f>
        <v>1</v>
      </c>
      <c r="AC30" s="102">
        <f>VLOOKUP(B30,'NonXtal_SegEnds_Prot#'!A:AL,9,FALSE)-VLOOKUP(B30,'NonXtal_SegEnds_Prot#'!A:AL,8,FALSE)</f>
        <v>1</v>
      </c>
      <c r="AD30" s="102">
        <f>VLOOKUP(B30,'NonXtal_SegEnds_Prot#'!A:AL,13,FALSE)-VLOOKUP(B30,'NonXtal_SegEnds_Prot#'!A:AL,10,FALSE)</f>
        <v>20</v>
      </c>
      <c r="AE30" s="102">
        <f>VLOOKUP(B30,'NonXtal_SegEnds_Prot#'!A:AL,12,FALSE)-VLOOKUP(B30,'NonXtal_SegEnds_Prot#'!A:AL,11,FALSE)</f>
        <v>2</v>
      </c>
      <c r="AF30" s="102">
        <f>VLOOKUP(B30,'NonXtal_SegEnds_Prot#'!A:AL,13,FALSE)-VLOOKUP(B30,'NonXtal_SegEnds_Prot#'!A:AL,11,FALSE)</f>
        <v>3</v>
      </c>
      <c r="AG30" s="102">
        <f>VLOOKUP(B30,'NonXtal_SegEnds_Prot#'!A:AL,16,FALSE)-VLOOKUP(B30,'NonXtal_SegEnds_Prot#'!A:AL,10,FALSE)</f>
        <v>52</v>
      </c>
      <c r="AH30" s="102">
        <f>VLOOKUP(B30,'NonXtal_SegEnds_Prot#'!A:AL,16,FALSE)-VLOOKUP(B30,'NonXtal_SegEnds_Prot#'!A:AL,11,FALSE)</f>
        <v>35</v>
      </c>
      <c r="AI30" s="102">
        <f>VLOOKUP(B30,'NonXtal_SegEnds_Prot#'!A:AL,15,FALSE)-VLOOKUP(B30,'NonXtal_SegEnds_Prot#'!A:AL,14,FALSE)</f>
        <v>1</v>
      </c>
      <c r="AJ30" s="102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86"/>
    </row>
    <row r="31" spans="1:62" s="2" customFormat="1" x14ac:dyDescent="0.2">
      <c r="A31" s="2" t="s">
        <v>1485</v>
      </c>
      <c r="B31" s="2" t="s">
        <v>1110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89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102" t="str">
        <f>VLOOKUP(B31,Classification!A:D,2,FALSE)</f>
        <v>A</v>
      </c>
      <c r="AB31" s="102">
        <f>VLOOKUP(B31,'NonXtal_SegEnds_Prot#'!A:AL,6,FALSE)-VLOOKUP(B31,'NonXtal_SegEnds_Prot#'!A:AL,5,FALSE)</f>
        <v>1</v>
      </c>
      <c r="AC31" s="102">
        <f>VLOOKUP(B31,'NonXtal_SegEnds_Prot#'!A:AL,9,FALSE)-VLOOKUP(B31,'NonXtal_SegEnds_Prot#'!A:AL,8,FALSE)</f>
        <v>1</v>
      </c>
      <c r="AD31" s="102">
        <f>VLOOKUP(B31,'NonXtal_SegEnds_Prot#'!A:AL,13,FALSE)-VLOOKUP(B31,'NonXtal_SegEnds_Prot#'!A:AL,10,FALSE)</f>
        <v>22</v>
      </c>
      <c r="AE31" s="102">
        <f>VLOOKUP(B31,'NonXtal_SegEnds_Prot#'!A:AL,12,FALSE)-VLOOKUP(B31,'NonXtal_SegEnds_Prot#'!A:AL,11,FALSE)</f>
        <v>3</v>
      </c>
      <c r="AF31" s="102">
        <f>VLOOKUP(B31,'NonXtal_SegEnds_Prot#'!A:AL,13,FALSE)-VLOOKUP(B31,'NonXtal_SegEnds_Prot#'!A:AL,11,FALSE)</f>
        <v>4</v>
      </c>
      <c r="AG31" s="102">
        <f>VLOOKUP(B31,'NonXtal_SegEnds_Prot#'!A:AL,16,FALSE)-VLOOKUP(B31,'NonXtal_SegEnds_Prot#'!A:AL,10,FALSE)</f>
        <v>54</v>
      </c>
      <c r="AH31" s="102">
        <f>VLOOKUP(B31,'NonXtal_SegEnds_Prot#'!A:AL,16,FALSE)-VLOOKUP(B31,'NonXtal_SegEnds_Prot#'!A:AL,11,FALSE)</f>
        <v>36</v>
      </c>
      <c r="AI31" s="102">
        <f>VLOOKUP(B31,'NonXtal_SegEnds_Prot#'!A:AL,15,FALSE)-VLOOKUP(B31,'NonXtal_SegEnds_Prot#'!A:AL,14,FALSE)</f>
        <v>1</v>
      </c>
      <c r="AJ31" s="102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86"/>
    </row>
    <row r="32" spans="1:62" s="2" customFormat="1" x14ac:dyDescent="0.2">
      <c r="A32" s="2" t="s">
        <v>1497</v>
      </c>
      <c r="B32" s="2" t="s">
        <v>546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89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102" t="str">
        <f>VLOOKUP(B32,Classification!A:D,2,FALSE)</f>
        <v>A</v>
      </c>
      <c r="AB32" s="102" t="e">
        <f>VLOOKUP(B32,'NonXtal_SegEnds_Prot#'!A:AL,6,FALSE)-VLOOKUP(B32,'NonXtal_SegEnds_Prot#'!A:AL,5,FALSE)</f>
        <v>#VALUE!</v>
      </c>
      <c r="AC32" s="102" t="e">
        <f>VLOOKUP(B32,'NonXtal_SegEnds_Prot#'!A:AL,9,FALSE)-VLOOKUP(B32,'NonXtal_SegEnds_Prot#'!A:AL,8,FALSE)</f>
        <v>#VALUE!</v>
      </c>
      <c r="AD32" s="102" t="e">
        <f>VLOOKUP(B32,'NonXtal_SegEnds_Prot#'!A:AL,13,FALSE)-VLOOKUP(B32,'NonXtal_SegEnds_Prot#'!A:AL,10,FALSE)</f>
        <v>#VALUE!</v>
      </c>
      <c r="AE32" s="102" t="e">
        <f>VLOOKUP(B32,'NonXtal_SegEnds_Prot#'!A:AL,12,FALSE)-VLOOKUP(B32,'NonXtal_SegEnds_Prot#'!A:AL,11,FALSE)</f>
        <v>#VALUE!</v>
      </c>
      <c r="AF32" s="102" t="e">
        <f>VLOOKUP(B32,'NonXtal_SegEnds_Prot#'!A:AL,13,FALSE)-VLOOKUP(B32,'NonXtal_SegEnds_Prot#'!A:AL,11,FALSE)</f>
        <v>#VALUE!</v>
      </c>
      <c r="AG32" s="102">
        <f>VLOOKUP(B32,'NonXtal_SegEnds_Prot#'!A:AL,16,FALSE)-VLOOKUP(B32,'NonXtal_SegEnds_Prot#'!A:AL,10,FALSE)</f>
        <v>52</v>
      </c>
      <c r="AH32" s="102">
        <f>VLOOKUP(B32,'NonXtal_SegEnds_Prot#'!A:AL,16,FALSE)-VLOOKUP(B32,'NonXtal_SegEnds_Prot#'!A:AL,11,FALSE)</f>
        <v>36</v>
      </c>
      <c r="AI32" s="102" t="e">
        <f>VLOOKUP(B32,'NonXtal_SegEnds_Prot#'!A:AL,15,FALSE)-VLOOKUP(B32,'NonXtal_SegEnds_Prot#'!A:AL,14,FALSE)</f>
        <v>#VALUE!</v>
      </c>
      <c r="AJ32" s="102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86"/>
      <c r="BJ32" s="102"/>
    </row>
    <row r="33" spans="1:62" s="2" customFormat="1" x14ac:dyDescent="0.2">
      <c r="A33" s="2" t="s">
        <v>1475</v>
      </c>
      <c r="B33" s="2" t="s">
        <v>367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89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102" t="str">
        <f>VLOOKUP(B33,Classification!A:D,2,FALSE)</f>
        <v>A</v>
      </c>
      <c r="AB33" s="102">
        <f>VLOOKUP(B33,'NonXtal_SegEnds_Prot#'!A:AL,6,FALSE)-VLOOKUP(B33,'NonXtal_SegEnds_Prot#'!A:AL,5,FALSE)</f>
        <v>1</v>
      </c>
      <c r="AC33" s="102">
        <f>VLOOKUP(B33,'NonXtal_SegEnds_Prot#'!A:AL,9,FALSE)-VLOOKUP(B33,'NonXtal_SegEnds_Prot#'!A:AL,8,FALSE)</f>
        <v>1</v>
      </c>
      <c r="AD33" s="102">
        <f>VLOOKUP(B33,'NonXtal_SegEnds_Prot#'!A:AL,13,FALSE)-VLOOKUP(B33,'NonXtal_SegEnds_Prot#'!A:AL,10,FALSE)</f>
        <v>18</v>
      </c>
      <c r="AE33" s="102">
        <f>VLOOKUP(B33,'NonXtal_SegEnds_Prot#'!A:AL,12,FALSE)-VLOOKUP(B33,'NonXtal_SegEnds_Prot#'!A:AL,11,FALSE)</f>
        <v>1</v>
      </c>
      <c r="AF33" s="102">
        <f>VLOOKUP(B33,'NonXtal_SegEnds_Prot#'!A:AL,13,FALSE)-VLOOKUP(B33,'NonXtal_SegEnds_Prot#'!A:AL,11,FALSE)</f>
        <v>2</v>
      </c>
      <c r="AG33" s="102">
        <f>VLOOKUP(B33,'NonXtal_SegEnds_Prot#'!A:AL,16,FALSE)-VLOOKUP(B33,'NonXtal_SegEnds_Prot#'!A:AL,10,FALSE)</f>
        <v>50</v>
      </c>
      <c r="AH33" s="102">
        <f>VLOOKUP(B33,'NonXtal_SegEnds_Prot#'!A:AL,15,FALSE)-VLOOKUP(B33,'NonXtal_SegEnds_Prot#'!A:AL,11,FALSE)</f>
        <v>5</v>
      </c>
      <c r="AI33" s="102">
        <f>VLOOKUP(B33,'NonXtal_SegEnds_Prot#'!A:AL,15,FALSE)-VLOOKUP(B33,'NonXtal_SegEnds_Prot#'!A:AL,14,FALSE)</f>
        <v>1</v>
      </c>
      <c r="AJ33" s="102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86"/>
    </row>
    <row r="34" spans="1:62" s="2" customFormat="1" x14ac:dyDescent="0.2">
      <c r="A34" s="2" t="s">
        <v>1474</v>
      </c>
      <c r="B34" s="2" t="s">
        <v>352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89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102" t="str">
        <f>VLOOKUP(B34,Classification!A:D,2,FALSE)</f>
        <v>A</v>
      </c>
      <c r="AB34" s="102">
        <f>VLOOKUP(B34,'NonXtal_SegEnds_Prot#'!A:AL,6,FALSE)-VLOOKUP(B34,'NonXtal_SegEnds_Prot#'!A:AL,5,FALSE)</f>
        <v>1</v>
      </c>
      <c r="AC34" s="102">
        <f>VLOOKUP(B34,'NonXtal_SegEnds_Prot#'!A:AL,9,FALSE)-VLOOKUP(B34,'NonXtal_SegEnds_Prot#'!A:AL,8,FALSE)</f>
        <v>1</v>
      </c>
      <c r="AD34" s="102">
        <f>VLOOKUP(B34,'NonXtal_SegEnds_Prot#'!A:AL,13,FALSE)-VLOOKUP(B34,'NonXtal_SegEnds_Prot#'!A:AL,10,FALSE)</f>
        <v>20</v>
      </c>
      <c r="AE34" s="102">
        <f>VLOOKUP(B34,'NonXtal_SegEnds_Prot#'!A:AL,12,FALSE)-VLOOKUP(B34,'NonXtal_SegEnds_Prot#'!A:AL,11,FALSE)</f>
        <v>3</v>
      </c>
      <c r="AF34" s="102">
        <f>VLOOKUP(B34,'NonXtal_SegEnds_Prot#'!A:AL,13,FALSE)-VLOOKUP(B34,'NonXtal_SegEnds_Prot#'!A:AL,11,FALSE)</f>
        <v>4</v>
      </c>
      <c r="AG34" s="102">
        <f>VLOOKUP(B34,'NonXtal_SegEnds_Prot#'!A:AL,16,FALSE)-VLOOKUP(B34,'NonXtal_SegEnds_Prot#'!A:AL,10,FALSE)</f>
        <v>52</v>
      </c>
      <c r="AH34" s="102">
        <f>VLOOKUP(B34,'NonXtal_SegEnds_Prot#'!A:AL,16,FALSE)-VLOOKUP(B34,'NonXtal_SegEnds_Prot#'!A:AL,11,FALSE)</f>
        <v>36</v>
      </c>
      <c r="AI34" s="102">
        <f>VLOOKUP(B34,'NonXtal_SegEnds_Prot#'!A:AL,15,FALSE)-VLOOKUP(B34,'NonXtal_SegEnds_Prot#'!A:AL,14,FALSE)</f>
        <v>1</v>
      </c>
      <c r="AJ34" s="102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86"/>
    </row>
    <row r="35" spans="1:62" s="2" customFormat="1" x14ac:dyDescent="0.2">
      <c r="A35" s="2" t="s">
        <v>1477</v>
      </c>
      <c r="B35" s="2" t="s">
        <v>1391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89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102" t="str">
        <f>VLOOKUP(B35,Classification!A:D,2,FALSE)</f>
        <v>A</v>
      </c>
      <c r="AB35" s="102">
        <f>VLOOKUP(B35,'NonXtal_SegEnds_Prot#'!A:AL,6,FALSE)-VLOOKUP(B35,'NonXtal_SegEnds_Prot#'!A:AL,5,FALSE)</f>
        <v>1</v>
      </c>
      <c r="AC35" s="102">
        <f>VLOOKUP(B35,'NonXtal_SegEnds_Prot#'!A:AL,9,FALSE)-VLOOKUP(B35,'NonXtal_SegEnds_Prot#'!A:AL,8,FALSE)</f>
        <v>1</v>
      </c>
      <c r="AD35" s="102">
        <f>VLOOKUP(B35,'NonXtal_SegEnds_Prot#'!A:AL,13,FALSE)-VLOOKUP(B35,'NonXtal_SegEnds_Prot#'!A:AL,10,FALSE)</f>
        <v>18</v>
      </c>
      <c r="AE35" s="102">
        <f>VLOOKUP(B35,'NonXtal_SegEnds_Prot#'!A:AL,12,FALSE)-VLOOKUP(B35,'NonXtal_SegEnds_Prot#'!A:AL,11,FALSE)</f>
        <v>1</v>
      </c>
      <c r="AF35" s="102">
        <f>VLOOKUP(B35,'NonXtal_SegEnds_Prot#'!A:AL,13,FALSE)-VLOOKUP(B35,'NonXtal_SegEnds_Prot#'!A:AL,11,FALSE)</f>
        <v>2</v>
      </c>
      <c r="AG35" s="102">
        <f>VLOOKUP(B35,'NonXtal_SegEnds_Prot#'!A:AL,16,FALSE)-VLOOKUP(B35,'NonXtal_SegEnds_Prot#'!A:AL,10,FALSE)</f>
        <v>50</v>
      </c>
      <c r="AH35" s="102">
        <f>VLOOKUP(B35,'NonXtal_SegEnds_Prot#'!A:AL,16,FALSE)-VLOOKUP(B35,'NonXtal_SegEnds_Prot#'!A:AL,11,FALSE)</f>
        <v>34</v>
      </c>
      <c r="AI35" s="102">
        <f>VLOOKUP(B35,'NonXtal_SegEnds_Prot#'!A:AL,15,FALSE)-VLOOKUP(B35,'NonXtal_SegEnds_Prot#'!A:AL,14,FALSE)</f>
        <v>1</v>
      </c>
      <c r="AJ35" s="102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86"/>
    </row>
    <row r="36" spans="1:62" s="2" customFormat="1" x14ac:dyDescent="0.2">
      <c r="A36" s="2" t="s">
        <v>1562</v>
      </c>
      <c r="B36" s="2" t="s">
        <v>390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89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102" t="str">
        <f>VLOOKUP(B36,Classification!A:D,2,FALSE)</f>
        <v>A</v>
      </c>
      <c r="AB36" s="102">
        <f>VLOOKUP(B36,'NonXtal_SegEnds_Prot#'!A:AL,6,FALSE)-VLOOKUP(B36,'NonXtal_SegEnds_Prot#'!A:AL,5,FALSE)</f>
        <v>1</v>
      </c>
      <c r="AC36" s="102">
        <f>VLOOKUP(B36,'NonXtal_SegEnds_Prot#'!A:AL,9,FALSE)-VLOOKUP(B36,'NonXtal_SegEnds_Prot#'!A:AL,8,FALSE)</f>
        <v>1</v>
      </c>
      <c r="AD36" s="102">
        <f>VLOOKUP(B36,'NonXtal_SegEnds_Prot#'!A:AL,13,FALSE)-VLOOKUP(B36,'NonXtal_SegEnds_Prot#'!A:AL,10,FALSE)</f>
        <v>20</v>
      </c>
      <c r="AE36" s="102">
        <f>VLOOKUP(B36,'NonXtal_SegEnds_Prot#'!A:AL,12,FALSE)-VLOOKUP(B36,'NonXtal_SegEnds_Prot#'!A:AL,11,FALSE)</f>
        <v>2</v>
      </c>
      <c r="AF36" s="102">
        <f>VLOOKUP(B36,'NonXtal_SegEnds_Prot#'!A:AL,13,FALSE)-VLOOKUP(B36,'NonXtal_SegEnds_Prot#'!A:AL,11,FALSE)</f>
        <v>3</v>
      </c>
      <c r="AG36" s="102">
        <f>VLOOKUP(B36,'NonXtal_SegEnds_Prot#'!A:AL,16,FALSE)-VLOOKUP(B36,'NonXtal_SegEnds_Prot#'!A:AL,10,FALSE)</f>
        <v>52</v>
      </c>
      <c r="AH36" s="102">
        <f>VLOOKUP(B36,'NonXtal_SegEnds_Prot#'!A:AL,16,FALSE)-VLOOKUP(B36,'NonXtal_SegEnds_Prot#'!A:AL,11,FALSE)</f>
        <v>35</v>
      </c>
      <c r="AI36" s="102">
        <f>VLOOKUP(B36,'NonXtal_SegEnds_Prot#'!A:AL,15,FALSE)-VLOOKUP(B36,'NonXtal_SegEnds_Prot#'!A:AL,14,FALSE)</f>
        <v>1</v>
      </c>
      <c r="AJ36" s="102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88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">
      <c r="A37" s="2" t="s">
        <v>1501</v>
      </c>
      <c r="B37" s="2" t="s">
        <v>1120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89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102" t="str">
        <f>VLOOKUP(B37,Classification!A:D,2,FALSE)</f>
        <v>A</v>
      </c>
      <c r="AB37" s="102">
        <f>VLOOKUP(B37,'NonXtal_SegEnds_Prot#'!A:AL,6,FALSE)-VLOOKUP(B37,'NonXtal_SegEnds_Prot#'!A:AL,5,FALSE)</f>
        <v>1</v>
      </c>
      <c r="AC37" s="102">
        <f>VLOOKUP(B37,'NonXtal_SegEnds_Prot#'!A:AL,9,FALSE)-VLOOKUP(B37,'NonXtal_SegEnds_Prot#'!A:AL,8,FALSE)</f>
        <v>1</v>
      </c>
      <c r="AD37" s="102" t="e">
        <f>VLOOKUP(B37,'NonXtal_SegEnds_Prot#'!A:AL,13,FALSE)-VLOOKUP(B37,'NonXtal_SegEnds_Prot#'!A:AL,10,FALSE)</f>
        <v>#VALUE!</v>
      </c>
      <c r="AE37" s="102" t="e">
        <f>VLOOKUP(B37,'NonXtal_SegEnds_Prot#'!A:AL,12,FALSE)-VLOOKUP(B37,'NonXtal_SegEnds_Prot#'!A:AL,11,FALSE)</f>
        <v>#VALUE!</v>
      </c>
      <c r="AF37" s="102" t="e">
        <f>VLOOKUP(B37,'NonXtal_SegEnds_Prot#'!A:AL,13,FALSE)-VLOOKUP(B37,'NonXtal_SegEnds_Prot#'!A:AL,11,FALSE)</f>
        <v>#VALUE!</v>
      </c>
      <c r="AG37" s="102">
        <f>VLOOKUP(B37,'NonXtal_SegEnds_Prot#'!A:AL,16,FALSE)-VLOOKUP(B37,'NonXtal_SegEnds_Prot#'!A:AL,10,FALSE)</f>
        <v>50</v>
      </c>
      <c r="AH37" s="102">
        <f>VLOOKUP(B37,'NonXtal_SegEnds_Prot#'!A:AL,16,FALSE)-VLOOKUP(B37,'NonXtal_SegEnds_Prot#'!A:AL,11,FALSE)</f>
        <v>34</v>
      </c>
      <c r="AI37" s="102" t="e">
        <f>VLOOKUP(B37,'NonXtal_SegEnds_Prot#'!A:AL,15,FALSE)-VLOOKUP(B37,'NonXtal_SegEnds_Prot#'!A:AL,14,FALSE)</f>
        <v>#VALUE!</v>
      </c>
      <c r="AJ37" s="102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86"/>
    </row>
    <row r="38" spans="1:62" s="2" customFormat="1" x14ac:dyDescent="0.2">
      <c r="A38" s="2" t="s">
        <v>1496</v>
      </c>
      <c r="B38" s="2" t="s">
        <v>539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89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102" t="str">
        <f>VLOOKUP(B38,Classification!A:D,2,FALSE)</f>
        <v>A</v>
      </c>
      <c r="AB38" s="102" t="e">
        <f>VLOOKUP(B38,'NonXtal_SegEnds_Prot#'!A:AL,6,FALSE)-VLOOKUP(B38,'NonXtal_SegEnds_Prot#'!A:AL,5,FALSE)</f>
        <v>#VALUE!</v>
      </c>
      <c r="AC38" s="102" t="e">
        <f>VLOOKUP(B38,'NonXtal_SegEnds_Prot#'!A:AL,9,FALSE)-VLOOKUP(B38,'NonXtal_SegEnds_Prot#'!A:AL,8,FALSE)</f>
        <v>#VALUE!</v>
      </c>
      <c r="AD38" s="102">
        <f>VLOOKUP(B38,'NonXtal_SegEnds_Prot#'!A:AL,13,FALSE)-VLOOKUP(B38,'NonXtal_SegEnds_Prot#'!A:AL,10,FALSE)</f>
        <v>20</v>
      </c>
      <c r="AE38" s="102">
        <f>VLOOKUP(B38,'NonXtal_SegEnds_Prot#'!A:AL,12,FALSE)-VLOOKUP(B38,'NonXtal_SegEnds_Prot#'!A:AL,11,FALSE)</f>
        <v>3</v>
      </c>
      <c r="AF38" s="102">
        <f>VLOOKUP(B38,'NonXtal_SegEnds_Prot#'!A:AL,13,FALSE)-VLOOKUP(B38,'NonXtal_SegEnds_Prot#'!A:AL,11,FALSE)</f>
        <v>4</v>
      </c>
      <c r="AG38" s="102">
        <f>VLOOKUP(B38,'NonXtal_SegEnds_Prot#'!A:AL,16,FALSE)-VLOOKUP(B38,'NonXtal_SegEnds_Prot#'!A:AL,10,FALSE)</f>
        <v>52</v>
      </c>
      <c r="AH38" s="102">
        <f>VLOOKUP(B38,'NonXtal_SegEnds_Prot#'!A:AL,16,FALSE)-VLOOKUP(B38,'NonXtal_SegEnds_Prot#'!A:AL,11,FALSE)</f>
        <v>36</v>
      </c>
      <c r="AI38" s="102">
        <f>VLOOKUP(B38,'NonXtal_SegEnds_Prot#'!A:AL,15,FALSE)-VLOOKUP(B38,'NonXtal_SegEnds_Prot#'!A:AL,14,FALSE)</f>
        <v>1</v>
      </c>
      <c r="AJ38" s="102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86"/>
    </row>
    <row r="39" spans="1:62" s="2" customFormat="1" x14ac:dyDescent="0.2">
      <c r="A39" s="2" t="s">
        <v>1500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89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75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102" t="str">
        <f>VLOOKUP(B39,Classification!A:D,2,FALSE)</f>
        <v>F</v>
      </c>
      <c r="AB39" s="102">
        <f>VLOOKUP(B39,'NonXtal_SegEnds_Prot#'!A:AL,6,FALSE)-VLOOKUP(B39,'NonXtal_SegEnds_Prot#'!A:AL,5,FALSE)</f>
        <v>1</v>
      </c>
      <c r="AC39" s="102">
        <f>VLOOKUP(B39,'NonXtal_SegEnds_Prot#'!A:AL,9,FALSE)-VLOOKUP(B39,'NonXtal_SegEnds_Prot#'!A:AL,8,FALSE)</f>
        <v>1</v>
      </c>
      <c r="AD39" s="102" t="e">
        <f>VLOOKUP(B39,'NonXtal_SegEnds_Prot#'!A:AL,13,FALSE)-VLOOKUP(B39,'NonXtal_SegEnds_Prot#'!A:AL,10,FALSE)</f>
        <v>#VALUE!</v>
      </c>
      <c r="AE39" s="102" t="e">
        <f>VLOOKUP(B39,'NonXtal_SegEnds_Prot#'!A:AL,12,FALSE)-VLOOKUP(B39,'NonXtal_SegEnds_Prot#'!A:AL,11,FALSE)</f>
        <v>#VALUE!</v>
      </c>
      <c r="AF39" s="102" t="e">
        <f>VLOOKUP(B39,'NonXtal_SegEnds_Prot#'!A:AL,13,FALSE)-VLOOKUP(B39,'NonXtal_SegEnds_Prot#'!A:AL,11,FALSE)</f>
        <v>#VALUE!</v>
      </c>
      <c r="AG39" s="102">
        <f>VLOOKUP(B39,'NonXtal_SegEnds_Prot#'!A:AL,16,FALSE)-VLOOKUP(B39,'NonXtal_SegEnds_Prot#'!A:AL,10,FALSE)</f>
        <v>67</v>
      </c>
      <c r="AH39" s="102">
        <f>VLOOKUP(B39,'NonXtal_SegEnds_Prot#'!A:AL,16,FALSE)-VLOOKUP(B39,'NonXtal_SegEnds_Prot#'!A:AL,11,FALSE)</f>
        <v>54</v>
      </c>
      <c r="AI39" s="102" t="e">
        <f>VLOOKUP(B39,'NonXtal_SegEnds_Prot#'!A:AL,15,FALSE)-VLOOKUP(B39,'NonXtal_SegEnds_Prot#'!A:AL,14,FALSE)</f>
        <v>#VALUE!</v>
      </c>
      <c r="AJ39" s="102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86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89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89"/>
      <c r="U41" s="2"/>
      <c r="V41" s="2"/>
      <c r="W41" s="2"/>
      <c r="X41" s="2"/>
      <c r="Y41" s="2"/>
      <c r="Z41" s="2"/>
      <c r="AL41" s="87"/>
      <c r="AM41" s="73" t="s">
        <v>1267</v>
      </c>
      <c r="AN41" s="73" t="s">
        <v>1268</v>
      </c>
      <c r="AO41" s="73" t="s">
        <v>1284</v>
      </c>
      <c r="AP41" s="73" t="s">
        <v>1285</v>
      </c>
      <c r="AQ41" s="73" t="s">
        <v>1269</v>
      </c>
      <c r="AR41" s="73" t="s">
        <v>1270</v>
      </c>
      <c r="AS41" s="73" t="s">
        <v>1286</v>
      </c>
      <c r="AT41" s="73" t="s">
        <v>1287</v>
      </c>
      <c r="AU41" s="73" t="s">
        <v>1271</v>
      </c>
      <c r="AV41" s="73" t="s">
        <v>1272</v>
      </c>
      <c r="AW41" s="73" t="s">
        <v>1299</v>
      </c>
      <c r="AX41" s="73" t="s">
        <v>1300</v>
      </c>
      <c r="AY41" s="73" t="s">
        <v>1273</v>
      </c>
      <c r="AZ41" s="73" t="s">
        <v>1274</v>
      </c>
      <c r="BA41" s="73" t="s">
        <v>1302</v>
      </c>
      <c r="BB41" s="73" t="s">
        <v>1303</v>
      </c>
      <c r="BC41" s="73" t="s">
        <v>1275</v>
      </c>
      <c r="BD41" s="73" t="s">
        <v>1276</v>
      </c>
      <c r="BE41" s="73" t="s">
        <v>1277</v>
      </c>
      <c r="BF41" s="73" t="s">
        <v>1278</v>
      </c>
      <c r="BG41" s="73" t="s">
        <v>1279</v>
      </c>
      <c r="BH41" s="73" t="s">
        <v>1280</v>
      </c>
      <c r="BI41" s="73" t="s">
        <v>1281</v>
      </c>
      <c r="BJ41" s="73" t="s">
        <v>1282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89"/>
      <c r="U42" s="2"/>
      <c r="V42" s="2"/>
      <c r="W42" s="2"/>
      <c r="X42" s="2"/>
      <c r="Y42" s="2"/>
      <c r="Z42" s="2"/>
      <c r="AL42" s="87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89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89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89"/>
      <c r="U45" s="2"/>
      <c r="V45" s="2"/>
      <c r="W45" s="2"/>
      <c r="X45" s="2"/>
      <c r="Y45" s="2"/>
      <c r="Z45" s="2"/>
      <c r="AL45" s="87" t="s">
        <v>1508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89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89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89"/>
      <c r="U48" s="2"/>
      <c r="V48" s="2"/>
      <c r="W48" s="2"/>
      <c r="X48" s="2"/>
      <c r="Y48" s="2"/>
      <c r="Z48" s="2"/>
      <c r="AL48" s="87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89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89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89"/>
      <c r="U51" s="2"/>
      <c r="V51" s="2"/>
      <c r="W51" s="2"/>
      <c r="X51" s="2"/>
      <c r="Y51" s="2"/>
      <c r="Z51" s="2"/>
      <c r="AL51" s="87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89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89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89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89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89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89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89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89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89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89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89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89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89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89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89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89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89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89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89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89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89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89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89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89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89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89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89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89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89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89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89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89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89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89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89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9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89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89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89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89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89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89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89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89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89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89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89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89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89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89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89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89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89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89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89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89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89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89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89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89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89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89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89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89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89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89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89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89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89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89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89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89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89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89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89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89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89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89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89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89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6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7" activePane="bottomLeft" state="frozenSplit"/>
      <selection pane="bottomLeft" activeCell="F32" sqref="F32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</cols>
  <sheetData>
    <row r="1" spans="1:14" s="58" customFormat="1" x14ac:dyDescent="0.2">
      <c r="A1" s="11" t="s">
        <v>1283</v>
      </c>
      <c r="B1" s="11" t="s">
        <v>0</v>
      </c>
      <c r="C1" s="11" t="s">
        <v>1425</v>
      </c>
      <c r="D1" s="11" t="s">
        <v>205</v>
      </c>
      <c r="E1" s="11" t="s">
        <v>1520</v>
      </c>
      <c r="F1" s="11" t="s">
        <v>1464</v>
      </c>
      <c r="G1" s="11" t="s">
        <v>1276</v>
      </c>
      <c r="H1" s="11" t="s">
        <v>1277</v>
      </c>
      <c r="I1" s="11"/>
      <c r="J1" s="11"/>
      <c r="K1" s="11" t="s">
        <v>1518</v>
      </c>
      <c r="L1" s="11" t="s">
        <v>1563</v>
      </c>
      <c r="M1" s="11" t="s">
        <v>1523</v>
      </c>
      <c r="N1" s="11" t="s">
        <v>1524</v>
      </c>
    </row>
    <row r="2" spans="1:14" s="58" customFormat="1" x14ac:dyDescent="0.2">
      <c r="A2" s="33" t="s">
        <v>1530</v>
      </c>
      <c r="B2" s="11" t="s">
        <v>129</v>
      </c>
      <c r="C2" s="11" t="s">
        <v>129</v>
      </c>
      <c r="D2" s="33" t="s">
        <v>1531</v>
      </c>
      <c r="E2" s="11" t="s">
        <v>129</v>
      </c>
      <c r="F2" s="11">
        <v>36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1391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1120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1518</v>
      </c>
    </row>
    <row r="5" spans="1:14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367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1392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549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539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352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546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1529</v>
      </c>
    </row>
    <row r="11" spans="1:14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529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1112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530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1114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1518</v>
      </c>
    </row>
    <row r="15" spans="1:14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1393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1116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1518</v>
      </c>
    </row>
    <row r="17" spans="1:14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533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">
      <c r="A18" s="1" t="s">
        <v>1562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390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297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1525</v>
      </c>
    </row>
    <row r="20" spans="1:14" x14ac:dyDescent="0.2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298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1526</v>
      </c>
    </row>
    <row r="21" spans="1:14" x14ac:dyDescent="0.2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333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1518</v>
      </c>
      <c r="L21" s="1"/>
    </row>
    <row r="22" spans="1:14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100" t="s">
        <v>1110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1522</v>
      </c>
    </row>
    <row r="23" spans="1:14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100" t="s">
        <v>320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1518</v>
      </c>
      <c r="L23" s="1"/>
      <c r="N23" t="s">
        <v>1528</v>
      </c>
    </row>
    <row r="24" spans="1:14" s="1" customFormat="1" x14ac:dyDescent="0.2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386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340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341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1518</v>
      </c>
    </row>
    <row r="29" spans="1:14" s="1" customFormat="1" x14ac:dyDescent="0.2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343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472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1106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s="125" customFormat="1" x14ac:dyDescent="0.2">
      <c r="A32" s="124" t="str">
        <f>D32&amp;"__wt"</f>
        <v>opsd_todpa__wt</v>
      </c>
      <c r="B32" s="124" t="str">
        <f>VLOOKUP(D32,Classification!A:D,3,FALSE)</f>
        <v>Sensory</v>
      </c>
      <c r="C32" s="124" t="str">
        <f>VLOOKUP(D32,Classification!A:D,4,FALSE)</f>
        <v>Opsins</v>
      </c>
      <c r="D32" s="124" t="s">
        <v>1118</v>
      </c>
      <c r="E32" s="124">
        <f>VLOOKUP($D32,'NonXtal_SegEnds_Prot#'!$A:$AY,30,FALSE)-VLOOKUP($D32,'NonXtal_SegEnds_Prot#'!$A:$AY,29,FALSE)</f>
        <v>5</v>
      </c>
      <c r="F32" s="91">
        <f>VLOOKUP($D32,'NonXtal_SegEnds_Prot#'!$A:$AY,31,FALSE)-VLOOKUP($D32,'NonXtal_SegEnds_Prot#'!$A:$AY,28,FALSE)</f>
        <v>64</v>
      </c>
      <c r="G32" s="124">
        <f>50+VLOOKUP($A32,'Xtal_SegEnds_Prot#'!$A:$AY,39,FALSE)-VLOOKUP($D32,'NonXtal_SegEnds_Prot#'!$A:$AY,28,FALSE)</f>
        <v>77</v>
      </c>
      <c r="H32" s="124">
        <f>50+VLOOKUP($A32,'Xtal_SegEnds_Prot#'!$A:$AY,41,FALSE)-VLOOKUP($D32,'NonXtal_SegEnds_Prot#'!$A:$AY,31,FALSE)</f>
        <v>18</v>
      </c>
      <c r="I32" s="124" t="s">
        <v>1565</v>
      </c>
      <c r="J32" s="124"/>
    </row>
    <row r="33" spans="1:14" s="1" customFormat="1" x14ac:dyDescent="0.2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100" t="s">
        <v>1395</v>
      </c>
      <c r="E33" s="3">
        <f>VLOOKUP($D33,'NonXtal_SegEnds_Prot#'!$A:$AY,30,FALSE)-VLOOKUP($D33,'NonXtal_SegEnds_Prot#'!$A:$AY,29,FALSE)</f>
        <v>33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1521</v>
      </c>
      <c r="N33" s="1" t="s">
        <v>1527</v>
      </c>
    </row>
    <row r="34" spans="1:14" x14ac:dyDescent="0.2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100" t="s">
        <v>1394</v>
      </c>
      <c r="E34" s="3">
        <f>VLOOKUP($D34,'NonXtal_SegEnds_Prot#'!$A:$AY,30,FALSE)-VLOOKUP($D34,'NonXtal_SegEnds_Prot#'!$A:$AY,29,FALSE)</f>
        <v>35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1521</v>
      </c>
      <c r="N34" s="1" t="s">
        <v>1527</v>
      </c>
    </row>
    <row r="35" spans="1:14" s="1" customFormat="1" x14ac:dyDescent="0.2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1108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1518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5" priority="10" operator="equal">
      <formula>"Opsins"</formula>
    </cfRule>
    <cfRule type="cellIs" dxfId="34" priority="11" operator="equal">
      <formula>"Opioid"</formula>
    </cfRule>
    <cfRule type="cellIs" dxfId="33" priority="12" operator="equal">
      <formula>"P2Y"</formula>
    </cfRule>
    <cfRule type="cellIs" dxfId="32" priority="13" operator="equal">
      <formula>"Chemokine"</formula>
    </cfRule>
  </conditionalFormatting>
  <conditionalFormatting sqref="B3:B35">
    <cfRule type="cellIs" dxfId="31" priority="5" operator="equal">
      <formula>"Aminergic"</formula>
    </cfRule>
    <cfRule type="cellIs" dxfId="30" priority="6" operator="equal">
      <formula>"Opsins"</formula>
    </cfRule>
    <cfRule type="cellIs" dxfId="29" priority="7" operator="equal">
      <formula>"Opioid"</formula>
    </cfRule>
    <cfRule type="cellIs" dxfId="28" priority="8" operator="equal">
      <formula>"P2Y"</formula>
    </cfRule>
    <cfRule type="cellIs" dxfId="27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194" activePane="bottomLeft" state="frozenSplit"/>
      <selection pane="bottomLeft" activeCell="A212" sqref="A1:A1048576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23" customWidth="1"/>
    <col min="21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1426</v>
      </c>
      <c r="C1" s="62" t="s">
        <v>1267</v>
      </c>
      <c r="D1" s="11" t="s">
        <v>1268</v>
      </c>
      <c r="E1" s="11" t="s">
        <v>1284</v>
      </c>
      <c r="F1" s="11" t="s">
        <v>1285</v>
      </c>
      <c r="G1" s="11" t="s">
        <v>1269</v>
      </c>
      <c r="H1" s="11" t="s">
        <v>1270</v>
      </c>
      <c r="I1" s="11" t="s">
        <v>1286</v>
      </c>
      <c r="J1" s="11" t="s">
        <v>1287</v>
      </c>
      <c r="K1" s="11" t="s">
        <v>1271</v>
      </c>
      <c r="L1" s="11" t="s">
        <v>1272</v>
      </c>
      <c r="M1" s="11" t="s">
        <v>1299</v>
      </c>
      <c r="N1" s="11" t="s">
        <v>1300</v>
      </c>
      <c r="O1" s="11" t="s">
        <v>1273</v>
      </c>
      <c r="P1" s="11" t="s">
        <v>1274</v>
      </c>
      <c r="Q1" s="11" t="s">
        <v>1302</v>
      </c>
      <c r="R1" s="11" t="s">
        <v>1303</v>
      </c>
      <c r="S1" s="11" t="s">
        <v>1275</v>
      </c>
      <c r="T1" s="80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  <c r="Z1" s="11" t="s">
        <v>1282</v>
      </c>
      <c r="AA1" s="62" t="s">
        <v>292</v>
      </c>
      <c r="AB1" s="73" t="s">
        <v>1513</v>
      </c>
      <c r="AC1" s="73" t="s">
        <v>1509</v>
      </c>
      <c r="AD1" s="73" t="s">
        <v>1463</v>
      </c>
      <c r="AE1" s="62" t="s">
        <v>1506</v>
      </c>
      <c r="AF1" s="73" t="s">
        <v>1464</v>
      </c>
      <c r="AG1" s="73" t="s">
        <v>1461</v>
      </c>
    </row>
    <row r="2" spans="1:33" x14ac:dyDescent="0.2">
      <c r="A2" s="1" t="s">
        <v>360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INDEX('ICL3'!$G$2:$G$31,MATCH(MIN(ABS(AF2-'ICL3'!$F$2:$F$31)),ABS(AF2-'ICL3'!$F$2:$F$31),0))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336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372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498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488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489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496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499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500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501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502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551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552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668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337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338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339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359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362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363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365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366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368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369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370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371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375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378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379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380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381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1391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383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395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396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397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427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431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445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446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486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497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554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1120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594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358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364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367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382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393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411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452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495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1392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440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477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478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479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568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392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398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408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434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451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470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471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483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485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487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525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536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537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">
      <c r="A74" s="23" t="s">
        <v>539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85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">
      <c r="A75" s="1" t="s">
        <v>545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549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564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589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373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412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423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469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543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571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352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353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410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418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425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430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435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437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444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455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482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484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541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544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550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580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345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356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374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413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433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448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466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565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354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399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540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542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546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547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548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559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579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590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355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417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428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447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462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493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514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515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529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1112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530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531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1114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1393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572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573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575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576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578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400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507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520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532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1116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533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534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535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569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570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390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391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449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389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401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403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504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505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506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521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557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577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334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473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508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510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513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519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523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561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562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335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436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463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297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480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481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491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492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509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526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528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563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582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584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332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357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409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432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443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456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468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494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503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511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516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560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420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490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517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298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">
      <c r="A199" s="1" t="s">
        <v>333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">
      <c r="A200" s="1" t="s">
        <v>377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404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467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476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566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567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574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583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429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407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426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527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1118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581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585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586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587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438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416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424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454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450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465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518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414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553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512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593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328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8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321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556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376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1">
        <f t="array" ref="U231">INDEX('ICL3'!$H$2:$H$31,MATCH(MIN(ABS(AF231-'ICL3'!$F$2:$F$31)),ABS(AF231-'ICL3'!$F$2:$F$31),0))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441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458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461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388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1110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453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459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394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419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320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538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588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591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384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457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330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1395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421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592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1108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1394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329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558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331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346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296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326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347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524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422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555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348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464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327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319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439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323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8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361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12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85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442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324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415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325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402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460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475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386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322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8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522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474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351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340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349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385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350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341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387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343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406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472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344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342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4" t="s">
        <v>1106</v>
      </c>
      <c r="B295" s="4" t="str">
        <f>VLOOKUP(A295,Xtal_Templ!A:B,2,FALSE)</f>
        <v>acm3_rat</v>
      </c>
      <c r="C295" s="5">
        <f>VLOOKUP($B295&amp;"__wt",'Xtal_SegEnds_BW#'!$A:$Z,3,FALSE)</f>
        <v>29</v>
      </c>
      <c r="D295" s="4">
        <f>VLOOKUP($B295&amp;"__wt",'Xtal_SegEnds_BW#'!$A:$Z,4,FALSE)</f>
        <v>60</v>
      </c>
      <c r="E295" s="4">
        <f>VLOOKUP($B295&amp;"__wt",'Xtal_SegEnds_BW#'!$A:$Z,5,FALSE)</f>
        <v>48</v>
      </c>
      <c r="F295" s="4">
        <f>VLOOKUP($B295&amp;"__wt",'Xtal_SegEnds_BW#'!$A:$Z,6,FALSE)</f>
        <v>51</v>
      </c>
      <c r="G295" s="4">
        <v>37</v>
      </c>
      <c r="H295" s="4">
        <f>VLOOKUP($B295&amp;"__wt",'Xtal_SegEnds_BW#'!$A:$Z,8,FALSE)</f>
        <v>67</v>
      </c>
      <c r="I295" s="4">
        <f>VLOOKUP($B295&amp;"__wt",'Xtal_SegEnds_BW#'!$A:$Z,9,FALSE)</f>
        <v>49</v>
      </c>
      <c r="J295" s="4">
        <f>VLOOKUP($B295&amp;"__wt",'Xtal_SegEnds_BW#'!$A:$Z,10,FALSE)</f>
        <v>52</v>
      </c>
      <c r="K295" s="4">
        <v>18</v>
      </c>
      <c r="L295" s="4">
        <f>VLOOKUP($B295&amp;"__wt",'Xtal_SegEnds_BW#'!$A:$Z,12,FALSE)</f>
        <v>56</v>
      </c>
      <c r="M295" s="4">
        <f>VLOOKUP($B295&amp;"__wt",'Xtal_SegEnds_BW#'!$A:$Z,13,FALSE)</f>
        <v>50</v>
      </c>
      <c r="N295" s="4">
        <v>57</v>
      </c>
      <c r="O295" s="4">
        <v>39</v>
      </c>
      <c r="P295" s="4">
        <f>VLOOKUP($B295&amp;"__wt",'Xtal_SegEnds_BW#'!$A:$Z,16,FALSE)</f>
        <v>69</v>
      </c>
      <c r="Q295" s="4">
        <f>VLOOKUP($B295&amp;"__wt",'Xtal_SegEnds_BW#'!$A:$Z,17,FALSE)</f>
        <v>50</v>
      </c>
      <c r="R295" s="4">
        <f>VLOOKUP($B295&amp;"__wt",'Xtal_SegEnds_BW#'!$A:$Z,18,FALSE)</f>
        <v>52</v>
      </c>
      <c r="S295" s="4">
        <v>35</v>
      </c>
      <c r="T295" s="21">
        <f t="array" ref="T295">INDEX('ICL3'!$G$2:$G$31,MATCH(MIN(ABS(AF295-'ICL3'!$F$2:$F$31)),ABS(AF295-'ICL3'!$F$2:$F$31),0))</f>
        <v>75</v>
      </c>
      <c r="U295" s="4">
        <f t="array" ref="U295">INDEX('ICL3'!$H$2:$H$31,MATCH(MIN(ABS(AF295-'ICL3'!$F$2:$F$31)),ABS(AF295-'ICL3'!$F$2:$F$31),0))</f>
        <v>24</v>
      </c>
      <c r="V295" s="4">
        <v>61</v>
      </c>
      <c r="W295" s="4">
        <v>31</v>
      </c>
      <c r="X295" s="4">
        <f>VLOOKUP($B295&amp;"__wt",'Xtal_SegEnds_BW#'!$A:$Z,24,FALSE)</f>
        <v>56</v>
      </c>
      <c r="Y295" s="4">
        <f>VLOOKUP($B295&amp;"__wt",'Xtal_SegEnds_BW#'!$A:$Z,25,FALSE)</f>
        <v>47</v>
      </c>
      <c r="Z295" s="4">
        <f>VLOOKUP($B295&amp;"__wt",'Xtal_SegEnds_BW#'!$A:$Z,26,FALSE)</f>
        <v>58</v>
      </c>
      <c r="AA295" s="63" t="str">
        <f>VLOOKUP(A295,Classification!A:B,2,FALSE)</f>
        <v>A</v>
      </c>
      <c r="AB295" s="4">
        <f>VLOOKUP(A295,'NonXtal_SegEnds_Prot#'!A:AL,10,FALSE)-VLOOKUP(A295,'NonXtal_SegEnds_Prot#'!A:AL,7,FALSE)</f>
        <v>15</v>
      </c>
      <c r="AC295" s="4">
        <f>VLOOKUP(A295,'NonXtal_SegEnds_Prot#'!A:AL,13,FALSE)-VLOOKUP(A295,'NonXtal_SegEnds_Prot#'!A:AL,10,FALSE)</f>
        <v>20</v>
      </c>
      <c r="AD295" s="4">
        <f>VLOOKUP(A295,'NonXtal_SegEnds_Prot#'!A:AL,16,FALSE)-VLOOKUP(A295,'NonXtal_SegEnds_Prot#'!A:AL,10,FALSE)</f>
        <v>52</v>
      </c>
      <c r="AE295" s="4">
        <f>VLOOKUP(A295,'NonXtal_SegEnds_Prot#'!A:AL,28,FALSE)-VLOOKUP(A295,'NonXtal_SegEnds_Prot#'!A:AL,25,FALSE)</f>
        <v>22</v>
      </c>
      <c r="AF295" s="4">
        <f>VLOOKUP(A295,'NonXtal_SegEnds_Prot#'!A:AL,31,FALSE)-VLOOKUP(A295,'NonXtal_SegEnds_Prot#'!A:AL,28,FALSE)</f>
        <v>263</v>
      </c>
      <c r="AG295" s="4">
        <f>VLOOKUP(A295,'NonXtal_SegEnds_Prot#'!A:AL,34,FALSE)-VLOOKUP(A295,'NonXtal_SegEnds_Prot#'!A:AL,31,FALSE)</f>
        <v>35</v>
      </c>
    </row>
    <row r="296" spans="1:33" s="91" customFormat="1" x14ac:dyDescent="0.2">
      <c r="A296" s="91" t="s">
        <v>595</v>
      </c>
      <c r="B296" s="91" t="str">
        <f>VLOOKUP(A296,Xtal_Templ!A:B,2,FALSE)</f>
        <v>crfr1_human</v>
      </c>
      <c r="C296" s="93">
        <f>VLOOKUP($B296&amp;"__wt",'Xtal_SegEnds_BW#'!$A:$Z,3,FALSE)</f>
        <v>19</v>
      </c>
      <c r="D296" s="91">
        <f>VLOOKUP($B296&amp;"__wt",'Xtal_SegEnds_BW#'!$A:$Z,4,FALSE)</f>
        <v>60</v>
      </c>
      <c r="E296" s="91">
        <f>VLOOKUP($B296&amp;"__wt",'Xtal_SegEnds_BW#'!$A:$Z,5,FALSE)</f>
        <v>48</v>
      </c>
      <c r="F296" s="91">
        <f>VLOOKUP($B296&amp;"__wt",'Xtal_SegEnds_BW#'!$A:$Z,6,FALSE)</f>
        <v>51</v>
      </c>
      <c r="G296" s="91">
        <v>37</v>
      </c>
      <c r="H296" s="91">
        <v>63</v>
      </c>
      <c r="I296" s="91" t="str">
        <f>VLOOKUP($B296&amp;"__wt",'Xtal_SegEnds_BW#'!$A:$Z,9,FALSE)</f>
        <v>-</v>
      </c>
      <c r="J296" s="91" t="str">
        <f>VLOOKUP($B296&amp;"__wt",'Xtal_SegEnds_BW#'!$A:$Z,10,FALSE)</f>
        <v>-</v>
      </c>
      <c r="K296" s="91">
        <v>23</v>
      </c>
      <c r="L296" s="91">
        <f>VLOOKUP($B296&amp;"__wt",'Xtal_SegEnds_BW#'!$A:$Z,12,FALSE)</f>
        <v>56</v>
      </c>
      <c r="M296" s="91" t="str">
        <f>VLOOKUP($B296&amp;"__wt",'Xtal_SegEnds_BW#'!$A:$Z,13,FALSE)</f>
        <v>-</v>
      </c>
      <c r="N296" s="91" t="str">
        <f>VLOOKUP($B296&amp;"__wt",'Xtal_SegEnds_BW#'!$A:$Z,14,FALSE)</f>
        <v>-</v>
      </c>
      <c r="O296" s="91">
        <f>VLOOKUP($B296&amp;"__wt",'Xtal_SegEnds_BW#'!$A:$Z,15,FALSE)</f>
        <v>40</v>
      </c>
      <c r="P296" s="91">
        <f>VLOOKUP($B296&amp;"__wt",'Xtal_SegEnds_BW#'!$A:$Z,16,FALSE)</f>
        <v>68</v>
      </c>
      <c r="Q296" s="91">
        <f>VLOOKUP($B296&amp;"__wt",'Xtal_SegEnds_BW#'!$A:$Z,17,FALSE)</f>
        <v>50</v>
      </c>
      <c r="R296" s="91">
        <f>VLOOKUP($B296&amp;"__wt",'Xtal_SegEnds_BW#'!$A:$Z,18,FALSE)</f>
        <v>52</v>
      </c>
      <c r="S296" s="91">
        <v>36</v>
      </c>
      <c r="T296" s="92">
        <f>VLOOKUP($B296&amp;"__wt",'Xtal_SegEnds_BW#'!$A:$Z,20,FALSE)</f>
        <v>69</v>
      </c>
      <c r="U296" s="91">
        <f>VLOOKUP($B296&amp;"__wt",'Xtal_SegEnds_BW#'!$A:$Z,21,FALSE)</f>
        <v>25</v>
      </c>
      <c r="V296" s="91">
        <f>VLOOKUP($B296&amp;"__wt",'Xtal_SegEnds_BW#'!$A:$Z,22,FALSE)</f>
        <v>53</v>
      </c>
      <c r="W296" s="91">
        <v>30</v>
      </c>
      <c r="X296" s="91">
        <f>VLOOKUP($B296&amp;"__wt",'Xtal_SegEnds_BW#'!$A:$Z,24,FALSE)</f>
        <v>56</v>
      </c>
      <c r="Y296" s="91">
        <f>VLOOKUP($B296&amp;"__wt",'Xtal_SegEnds_BW#'!$A:$Z,25,FALSE)</f>
        <v>47</v>
      </c>
      <c r="Z296" s="91">
        <f>VLOOKUP($B296&amp;"__wt",'Xtal_SegEnds_BW#'!$A:$Z,26,FALSE)</f>
        <v>72</v>
      </c>
      <c r="AA296" s="94" t="str">
        <f>VLOOKUP(A296,Classification!A:B,2,FALSE)</f>
        <v>B1</v>
      </c>
      <c r="AB296" s="91">
        <f>VLOOKUP(A296,'NonXtal_SegEnds_Prot#'!A:AL,10,FALSE)-VLOOKUP(A296,'NonXtal_SegEnds_Prot#'!A:AL,7,FALSE)</f>
        <v>15</v>
      </c>
      <c r="AC296" s="91" t="e">
        <f>VLOOKUP(A296,'NonXtal_SegEnds_Prot#'!A:AL,13,FALSE)-VLOOKUP(A296,'NonXtal_SegEnds_Prot#'!A:AL,10,FALSE)</f>
        <v>#VALUE!</v>
      </c>
      <c r="AD296" s="91">
        <f>VLOOKUP(A296,'NonXtal_SegEnds_Prot#'!A:AL,16,FALSE)-VLOOKUP(A296,'NonXtal_SegEnds_Prot#'!A:AL,10,FALSE)</f>
        <v>53</v>
      </c>
      <c r="AE296" s="91">
        <f>VLOOKUP(A296,'NonXtal_SegEnds_Prot#'!A:AL,28,FALSE)-VLOOKUP(A296,'NonXtal_SegEnds_Prot#'!A:AL,25,FALSE)</f>
        <v>19</v>
      </c>
      <c r="AF296" s="91">
        <f>VLOOKUP(A296,'NonXtal_SegEnds_Prot#'!A:AL,31,FALSE)-VLOOKUP(A296,'NonXtal_SegEnds_Prot#'!A:AL,28,FALSE)</f>
        <v>50</v>
      </c>
      <c r="AG296" s="91">
        <f>VLOOKUP(A296,'NonXtal_SegEnds_Prot#'!A:AL,34,FALSE)-VLOOKUP(A296,'NonXtal_SegEnds_Prot#'!A:AL,31,FALSE)</f>
        <v>30</v>
      </c>
    </row>
    <row r="297" spans="1:33" x14ac:dyDescent="0.2">
      <c r="A297" s="1" t="s">
        <v>596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597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599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600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601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598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602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605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606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607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4" t="s">
        <v>603</v>
      </c>
      <c r="B309" s="4" t="str">
        <f>VLOOKUP(A309,Xtal_Templ!A:B,2,FALSE)</f>
        <v>glr_human</v>
      </c>
      <c r="C309" s="5">
        <f>VLOOKUP($B309&amp;"__wt",'Xtal_SegEnds_BW#'!$A:$Z,3,FALSE)</f>
        <v>19</v>
      </c>
      <c r="D309" s="4">
        <f>VLOOKUP($B309&amp;"__wt",'Xtal_SegEnds_BW#'!$A:$Z,4,FALSE)</f>
        <v>60</v>
      </c>
      <c r="E309" s="4">
        <f>VLOOKUP($B309&amp;"__wt",'Xtal_SegEnds_BW#'!$A:$Z,5,FALSE)</f>
        <v>48</v>
      </c>
      <c r="F309" s="4">
        <f>VLOOKUP($B309&amp;"__wt",'Xtal_SegEnds_BW#'!$A:$Z,6,FALSE)</f>
        <v>51</v>
      </c>
      <c r="G309" s="4">
        <v>37</v>
      </c>
      <c r="H309" s="4">
        <v>65</v>
      </c>
      <c r="I309" s="4" t="str">
        <f>VLOOKUP($B309&amp;"__wt",'Xtal_SegEnds_BW#'!$A:$Z,9,FALSE)</f>
        <v>-</v>
      </c>
      <c r="J309" s="4" t="str">
        <f>VLOOKUP($B309&amp;"__wt",'Xtal_SegEnds_BW#'!$A:$Z,10,FALSE)</f>
        <v>-</v>
      </c>
      <c r="K309" s="4">
        <v>18</v>
      </c>
      <c r="L309" s="4">
        <f>VLOOKUP($B309&amp;"__wt",'Xtal_SegEnds_BW#'!$A:$Z,12,FALSE)</f>
        <v>56</v>
      </c>
      <c r="M309" s="4" t="str">
        <f>VLOOKUP($B309&amp;"__wt",'Xtal_SegEnds_BW#'!$A:$Z,13,FALSE)</f>
        <v>-</v>
      </c>
      <c r="N309" s="4" t="str">
        <f>VLOOKUP($B309&amp;"__wt",'Xtal_SegEnds_BW#'!$A:$Z,14,FALSE)</f>
        <v>-</v>
      </c>
      <c r="O309" s="4">
        <f>VLOOKUP($B309&amp;"__wt",'Xtal_SegEnds_BW#'!$A:$Z,15,FALSE)</f>
        <v>40</v>
      </c>
      <c r="P309" s="4">
        <f>VLOOKUP($B309&amp;"__wt",'Xtal_SegEnds_BW#'!$A:$Z,16,FALSE)</f>
        <v>68</v>
      </c>
      <c r="Q309" s="4">
        <f>VLOOKUP($B309&amp;"__wt",'Xtal_SegEnds_BW#'!$A:$Z,17,FALSE)</f>
        <v>50</v>
      </c>
      <c r="R309" s="4">
        <f>VLOOKUP($B309&amp;"__wt",'Xtal_SegEnds_BW#'!$A:$Z,18,FALSE)</f>
        <v>52</v>
      </c>
      <c r="S309" s="4">
        <v>36</v>
      </c>
      <c r="T309" s="21">
        <v>69</v>
      </c>
      <c r="U309" s="4">
        <v>25</v>
      </c>
      <c r="V309" s="4">
        <f>VLOOKUP($B309&amp;"__wt",'Xtal_SegEnds_BW#'!$A:$Z,22,FALSE)</f>
        <v>53</v>
      </c>
      <c r="W309" s="4">
        <v>27</v>
      </c>
      <c r="X309" s="4">
        <f>VLOOKUP($B309&amp;"__wt",'Xtal_SegEnds_BW#'!$A:$Z,24,FALSE)</f>
        <v>56</v>
      </c>
      <c r="Y309" s="4">
        <f>VLOOKUP($B309&amp;"__wt",'Xtal_SegEnds_BW#'!$A:$Z,25,FALSE)</f>
        <v>47</v>
      </c>
      <c r="Z309" s="4">
        <f>VLOOKUP($B309&amp;"__wt",'Xtal_SegEnds_BW#'!$A:$Z,26,FALSE)</f>
        <v>72</v>
      </c>
      <c r="AA309" s="63" t="str">
        <f>VLOOKUP(A309,Classification!A:B,2,FALSE)</f>
        <v>B1</v>
      </c>
      <c r="AB309" s="4">
        <f>VLOOKUP(A309,'NonXtal_SegEnds_Prot#'!A:AL,10,FALSE)-VLOOKUP(A309,'NonXtal_SegEnds_Prot#'!A:AL,7,FALSE)</f>
        <v>15</v>
      </c>
      <c r="AC309" s="4" t="e">
        <f>VLOOKUP(A309,'NonXtal_SegEnds_Prot#'!A:AL,13,FALSE)-VLOOKUP(A309,'NonXtal_SegEnds_Prot#'!A:AL,10,FALSE)</f>
        <v>#VALUE!</v>
      </c>
      <c r="AD309" s="4">
        <f>VLOOKUP(A309,'NonXtal_SegEnds_Prot#'!A:AL,16,FALSE)-VLOOKUP(A309,'NonXtal_SegEnds_Prot#'!A:AL,10,FALSE)</f>
        <v>76</v>
      </c>
      <c r="AE309" s="4">
        <f>VLOOKUP(A309,'NonXtal_SegEnds_Prot#'!A:AL,28,FALSE)-VLOOKUP(A309,'NonXtal_SegEnds_Prot#'!A:AL,25,FALSE)</f>
        <v>19</v>
      </c>
      <c r="AF309" s="4">
        <f>VLOOKUP(A309,'NonXtal_SegEnds_Prot#'!A:AL,31,FALSE)-VLOOKUP(A309,'NonXtal_SegEnds_Prot#'!A:AL,28,FALSE)</f>
        <v>53</v>
      </c>
      <c r="AG309" s="4">
        <f>VLOOKUP(A309,'NonXtal_SegEnds_Prot#'!A:AL,34,FALSE)-VLOOKUP(A309,'NonXtal_SegEnds_Prot#'!A:AL,31,FALSE)</f>
        <v>33</v>
      </c>
    </row>
    <row r="310" spans="1:33" s="95" customFormat="1" x14ac:dyDescent="0.2">
      <c r="A310" s="95" t="s">
        <v>604</v>
      </c>
      <c r="B310" s="95" t="str">
        <f>VLOOKUP(A310,Xtal_Templ!A:B,2,FALSE)</f>
        <v>glr_human</v>
      </c>
      <c r="C310" s="96">
        <f>VLOOKUP($B310&amp;"__wt",'Xtal_SegEnds_BW#'!$A:$Z,3,FALSE)</f>
        <v>19</v>
      </c>
      <c r="D310" s="95">
        <f>VLOOKUP($B310&amp;"__wt",'Xtal_SegEnds_BW#'!$A:$Z,4,FALSE)</f>
        <v>60</v>
      </c>
      <c r="E310" s="95">
        <f>VLOOKUP($B310&amp;"__wt",'Xtal_SegEnds_BW#'!$A:$Z,5,FALSE)</f>
        <v>48</v>
      </c>
      <c r="F310" s="95">
        <f>VLOOKUP($B310&amp;"__wt",'Xtal_SegEnds_BW#'!$A:$Z,6,FALSE)</f>
        <v>51</v>
      </c>
      <c r="G310" s="95">
        <v>37</v>
      </c>
      <c r="H310" s="95">
        <v>65</v>
      </c>
      <c r="I310" s="95" t="str">
        <f>VLOOKUP($B310&amp;"__wt",'Xtal_SegEnds_BW#'!$A:$Z,9,FALSE)</f>
        <v>-</v>
      </c>
      <c r="J310" s="95" t="str">
        <f>VLOOKUP($B310&amp;"__wt",'Xtal_SegEnds_BW#'!$A:$Z,10,FALSE)</f>
        <v>-</v>
      </c>
      <c r="K310" s="95">
        <v>18</v>
      </c>
      <c r="L310" s="95">
        <f>VLOOKUP($B310&amp;"__wt",'Xtal_SegEnds_BW#'!$A:$Z,12,FALSE)</f>
        <v>56</v>
      </c>
      <c r="M310" s="95" t="str">
        <f>VLOOKUP($B310&amp;"__wt",'Xtal_SegEnds_BW#'!$A:$Z,13,FALSE)</f>
        <v>-</v>
      </c>
      <c r="N310" s="95" t="str">
        <f>VLOOKUP($B310&amp;"__wt",'Xtal_SegEnds_BW#'!$A:$Z,14,FALSE)</f>
        <v>-</v>
      </c>
      <c r="O310" s="95">
        <f>VLOOKUP($B310&amp;"__wt",'Xtal_SegEnds_BW#'!$A:$Z,15,FALSE)</f>
        <v>40</v>
      </c>
      <c r="P310" s="95">
        <f>VLOOKUP($B310&amp;"__wt",'Xtal_SegEnds_BW#'!$A:$Z,16,FALSE)</f>
        <v>68</v>
      </c>
      <c r="Q310" s="95">
        <f>VLOOKUP($B310&amp;"__wt",'Xtal_SegEnds_BW#'!$A:$Z,17,FALSE)</f>
        <v>50</v>
      </c>
      <c r="R310" s="95">
        <f>VLOOKUP($B310&amp;"__wt",'Xtal_SegEnds_BW#'!$A:$Z,18,FALSE)</f>
        <v>52</v>
      </c>
      <c r="S310" s="95">
        <v>36</v>
      </c>
      <c r="T310" s="97">
        <v>69</v>
      </c>
      <c r="U310" s="95">
        <v>25</v>
      </c>
      <c r="V310" s="95">
        <f>VLOOKUP($B310&amp;"__wt",'Xtal_SegEnds_BW#'!$A:$Z,22,FALSE)</f>
        <v>53</v>
      </c>
      <c r="W310" s="95">
        <v>27</v>
      </c>
      <c r="X310" s="95">
        <f>VLOOKUP($B310&amp;"__wt",'Xtal_SegEnds_BW#'!$A:$Z,24,FALSE)</f>
        <v>56</v>
      </c>
      <c r="Y310" s="95">
        <f>VLOOKUP($B310&amp;"__wt",'Xtal_SegEnds_BW#'!$A:$Z,25,FALSE)</f>
        <v>47</v>
      </c>
      <c r="Z310" s="95">
        <f>VLOOKUP($B310&amp;"__wt",'Xtal_SegEnds_BW#'!$A:$Z,26,FALSE)</f>
        <v>72</v>
      </c>
      <c r="AA310" s="98" t="str">
        <f>VLOOKUP(A310,Classification!A:B,2,FALSE)</f>
        <v>B1</v>
      </c>
      <c r="AB310" s="95">
        <f>VLOOKUP(A310,'NonXtal_SegEnds_Prot#'!A:AL,10,FALSE)-VLOOKUP(A310,'NonXtal_SegEnds_Prot#'!A:AL,7,FALSE)</f>
        <v>15</v>
      </c>
      <c r="AC310" s="95" t="e">
        <f>VLOOKUP(A310,'NonXtal_SegEnds_Prot#'!A:AL,13,FALSE)-VLOOKUP(A310,'NonXtal_SegEnds_Prot#'!A:AL,10,FALSE)</f>
        <v>#VALUE!</v>
      </c>
      <c r="AD310" s="95">
        <f>VLOOKUP(A310,'NonXtal_SegEnds_Prot#'!A:AL,16,FALSE)-VLOOKUP(A310,'NonXtal_SegEnds_Prot#'!A:AL,10,FALSE)</f>
        <v>74</v>
      </c>
      <c r="AE310" s="95">
        <f>VLOOKUP(A310,'NonXtal_SegEnds_Prot#'!A:AL,28,FALSE)-VLOOKUP(A310,'NonXtal_SegEnds_Prot#'!A:AL,25,FALSE)</f>
        <v>19</v>
      </c>
      <c r="AF310" s="95">
        <f>VLOOKUP(A310,'NonXtal_SegEnds_Prot#'!A:AL,31,FALSE)-VLOOKUP(A310,'NonXtal_SegEnds_Prot#'!A:AL,28,FALSE)</f>
        <v>53</v>
      </c>
      <c r="AG310" s="95">
        <f>VLOOKUP(A310,'NonXtal_SegEnds_Prot#'!A:AL,34,FALSE)-VLOOKUP(A310,'NonXtal_SegEnds_Prot#'!A:AL,31,FALSE)</f>
        <v>32</v>
      </c>
    </row>
    <row r="311" spans="1:33" x14ac:dyDescent="0.2">
      <c r="A311" s="1" t="s">
        <v>1412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614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612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613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1416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637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1415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608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1410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">
      <c r="A320" s="1" t="s">
        <v>1413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">
      <c r="A321" s="1" t="s">
        <v>1417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">
      <c r="A322" s="1" t="s">
        <v>630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">
      <c r="A323" s="1" t="s">
        <v>1401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1403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1404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1405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1406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">
      <c r="A328" s="1" t="s">
        <v>1407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">
      <c r="A329" s="1" t="s">
        <v>1409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1411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1418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">
      <c r="A332" s="1" t="s">
        <v>1419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1420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1421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611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1414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">
      <c r="A337" s="1" t="s">
        <v>1408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">
      <c r="A338" s="1" t="s">
        <v>1402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1399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1400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1398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1396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4" t="s">
        <v>1397</v>
      </c>
      <c r="B343" s="4" t="str">
        <f>VLOOKUP(A343,Xtal_Templ!A:B,2,FALSE)</f>
        <v>crfr1_human</v>
      </c>
      <c r="C343" s="5">
        <v>23</v>
      </c>
      <c r="D343" s="4">
        <f>VLOOKUP($B343&amp;"__wt",'Xtal_SegEnds_BW#'!$A:$Z,4,FALSE)</f>
        <v>60</v>
      </c>
      <c r="E343" s="4">
        <f>VLOOKUP($B343&amp;"__wt",'Xtal_SegEnds_BW#'!$A:$Z,5,FALSE)</f>
        <v>48</v>
      </c>
      <c r="F343" s="4">
        <f>VLOOKUP($B343&amp;"__wt",'Xtal_SegEnds_BW#'!$A:$Z,6,FALSE)</f>
        <v>51</v>
      </c>
      <c r="G343" s="4">
        <v>37</v>
      </c>
      <c r="H343" s="4">
        <v>63</v>
      </c>
      <c r="I343" s="4" t="str">
        <f>VLOOKUP($B343&amp;"__wt",'Xtal_SegEnds_BW#'!$A:$Z,9,FALSE)</f>
        <v>-</v>
      </c>
      <c r="J343" s="4" t="str">
        <f>VLOOKUP($B343&amp;"__wt",'Xtal_SegEnds_BW#'!$A:$Z,10,FALSE)</f>
        <v>-</v>
      </c>
      <c r="K343" s="4">
        <v>23</v>
      </c>
      <c r="L343" s="4">
        <f>VLOOKUP($B343&amp;"__wt",'Xtal_SegEnds_BW#'!$A:$Z,12,FALSE)</f>
        <v>56</v>
      </c>
      <c r="M343" s="4" t="str">
        <f>VLOOKUP($B343&amp;"__wt",'Xtal_SegEnds_BW#'!$A:$Z,13,FALSE)</f>
        <v>-</v>
      </c>
      <c r="N343" s="4" t="str">
        <f>VLOOKUP($B343&amp;"__wt",'Xtal_SegEnds_BW#'!$A:$Z,14,FALSE)</f>
        <v>-</v>
      </c>
      <c r="O343" s="4">
        <f>VLOOKUP($B343&amp;"__wt",'Xtal_SegEnds_BW#'!$A:$Z,15,FALSE)</f>
        <v>40</v>
      </c>
      <c r="P343" s="4">
        <f>VLOOKUP($B343&amp;"__wt",'Xtal_SegEnds_BW#'!$A:$Z,16,FALSE)</f>
        <v>68</v>
      </c>
      <c r="Q343" s="4">
        <f>VLOOKUP($B343&amp;"__wt",'Xtal_SegEnds_BW#'!$A:$Z,17,FALSE)</f>
        <v>50</v>
      </c>
      <c r="R343" s="4">
        <f>VLOOKUP($B343&amp;"__wt",'Xtal_SegEnds_BW#'!$A:$Z,18,FALSE)</f>
        <v>52</v>
      </c>
      <c r="S343" s="4">
        <v>36</v>
      </c>
      <c r="T343" s="21">
        <v>69</v>
      </c>
      <c r="U343" s="4">
        <v>29</v>
      </c>
      <c r="V343" s="4">
        <f>VLOOKUP($B343&amp;"__wt",'Xtal_SegEnds_BW#'!$A:$Z,22,FALSE)</f>
        <v>53</v>
      </c>
      <c r="W343" s="4">
        <v>29</v>
      </c>
      <c r="X343" s="4">
        <f>VLOOKUP($B343&amp;"__wt",'Xtal_SegEnds_BW#'!$A:$Z,24,FALSE)</f>
        <v>56</v>
      </c>
      <c r="Y343" s="4">
        <f>VLOOKUP($B343&amp;"__wt",'Xtal_SegEnds_BW#'!$A:$Z,25,FALSE)</f>
        <v>47</v>
      </c>
      <c r="Z343" s="4">
        <v>63</v>
      </c>
      <c r="AA343" s="63" t="str">
        <f>VLOOKUP(A343,Classification!A:B,2,FALSE)</f>
        <v>B2</v>
      </c>
      <c r="AB343" s="4" t="e">
        <f>VLOOKUP(A343,'NonXtal_SegEnds_Prot#'!A:AL,10,FALSE)-VLOOKUP(A343,'NonXtal_SegEnds_Prot#'!A:AL,7,FALSE)</f>
        <v>#VALUE!</v>
      </c>
      <c r="AC343" s="4" t="e">
        <f>VLOOKUP(A343,'NonXtal_SegEnds_Prot#'!A:AL,13,FALSE)-VLOOKUP(A343,'NonXtal_SegEnds_Prot#'!A:AL,10,FALSE)</f>
        <v>#VALUE!</v>
      </c>
      <c r="AD343" s="4">
        <f>VLOOKUP(A343,'NonXtal_SegEnds_Prot#'!A:AL,16,FALSE)-VLOOKUP(A343,'NonXtal_SegEnds_Prot#'!A:AL,10,FALSE)</f>
        <v>47</v>
      </c>
      <c r="AE343" s="4">
        <f>VLOOKUP(A343,'NonXtal_SegEnds_Prot#'!A:AL,28,FALSE)-VLOOKUP(A343,'NonXtal_SegEnds_Prot#'!A:AL,25,FALSE)</f>
        <v>18</v>
      </c>
      <c r="AF343" s="4">
        <f>VLOOKUP(A343,'NonXtal_SegEnds_Prot#'!A:AL,31,FALSE)-VLOOKUP(A343,'NonXtal_SegEnds_Prot#'!A:AL,28,FALSE)</f>
        <v>100</v>
      </c>
      <c r="AG343" s="4">
        <f>VLOOKUP(A343,'NonXtal_SegEnds_Prot#'!A:AL,34,FALSE)-VLOOKUP(A343,'NonXtal_SegEnds_Prot#'!A:AL,31,FALSE)</f>
        <v>31</v>
      </c>
    </row>
    <row r="344" spans="1:33" s="91" customFormat="1" x14ac:dyDescent="0.2">
      <c r="A344" s="91" t="s">
        <v>308</v>
      </c>
      <c r="B344" s="91" t="str">
        <f>VLOOKUP(A344,Xtal_Templ!A:B,2,FALSE)</f>
        <v>grm1_human</v>
      </c>
      <c r="C344" s="93">
        <f>VLOOKUP($B344&amp;"__wt",'Xtal_SegEnds_BW#'!$A:$Z,3,FALSE)</f>
        <v>34</v>
      </c>
      <c r="D344" s="91">
        <f>VLOOKUP($B344&amp;"__wt",'Xtal_SegEnds_BW#'!$A:$Z,4,FALSE)</f>
        <v>60</v>
      </c>
      <c r="E344" s="91">
        <f>VLOOKUP($B344&amp;"__wt",'Xtal_SegEnds_BW#'!$A:$Z,5,FALSE)</f>
        <v>47</v>
      </c>
      <c r="F344" s="91">
        <f>VLOOKUP($B344&amp;"__wt",'Xtal_SegEnds_BW#'!$A:$Z,6,FALSE)</f>
        <v>53</v>
      </c>
      <c r="G344" s="91">
        <v>39</v>
      </c>
      <c r="H344" s="91">
        <f>VLOOKUP($B344&amp;"__wt",'Xtal_SegEnds_BW#'!$A:$Z,8,FALSE)</f>
        <v>61</v>
      </c>
      <c r="I344" s="91" t="str">
        <f>VLOOKUP($B344&amp;"__wt",'Xtal_SegEnds_BW#'!$A:$Z,9,FALSE)</f>
        <v>-</v>
      </c>
      <c r="J344" s="91" t="str">
        <f>VLOOKUP($B344&amp;"__wt",'Xtal_SegEnds_BW#'!$A:$Z,10,FALSE)</f>
        <v>-</v>
      </c>
      <c r="K344" s="91">
        <f>VLOOKUP($B344&amp;"__wt",'Xtal_SegEnds_BW#'!$A:$Z,11,FALSE)</f>
        <v>22</v>
      </c>
      <c r="L344" s="91">
        <f>VLOOKUP($B344&amp;"__wt",'Xtal_SegEnds_BW#'!$A:$Z,12,FALSE)</f>
        <v>54</v>
      </c>
      <c r="M344" s="91" t="str">
        <f>VLOOKUP($B344&amp;"__wt",'Xtal_SegEnds_BW#'!$A:$Z,13,FALSE)</f>
        <v>-</v>
      </c>
      <c r="N344" s="91" t="str">
        <f>VLOOKUP($B344&amp;"__wt",'Xtal_SegEnds_BW#'!$A:$Z,14,FALSE)</f>
        <v>-</v>
      </c>
      <c r="O344" s="91">
        <f>VLOOKUP($B344&amp;"__wt",'Xtal_SegEnds_BW#'!$A:$Z,15,FALSE)</f>
        <v>39</v>
      </c>
      <c r="P344" s="91">
        <f>VLOOKUP($B344&amp;"__wt",'Xtal_SegEnds_BW#'!$A:$Z,16,FALSE)</f>
        <v>64</v>
      </c>
      <c r="Q344" s="91">
        <f>VLOOKUP($B344&amp;"__wt",'Xtal_SegEnds_BW#'!$A:$Z,17,FALSE)</f>
        <v>50</v>
      </c>
      <c r="R344" s="91">
        <f>VLOOKUP($B344&amp;"__wt",'Xtal_SegEnds_BW#'!$A:$Z,18,FALSE)</f>
        <v>52</v>
      </c>
      <c r="S344" s="91">
        <f>VLOOKUP($B344&amp;"__wt",'Xtal_SegEnds_BW#'!$A:$Z,19,FALSE)</f>
        <v>37</v>
      </c>
      <c r="T344" s="92">
        <f>VLOOKUP($B344&amp;"__wt",'Xtal_SegEnds_BW#'!$A:$Z,20,FALSE)</f>
        <v>61</v>
      </c>
      <c r="U344" s="91">
        <f>VLOOKUP($B344&amp;"__wt",'Xtal_SegEnds_BW#'!$A:$Z,21,FALSE)</f>
        <v>33</v>
      </c>
      <c r="V344" s="91">
        <f>VLOOKUP($B344&amp;"__wt",'Xtal_SegEnds_BW#'!$A:$Z,22,FALSE)</f>
        <v>57</v>
      </c>
      <c r="W344" s="91">
        <f>VLOOKUP($B344&amp;"__wt",'Xtal_SegEnds_BW#'!$A:$Z,23,FALSE)</f>
        <v>34</v>
      </c>
      <c r="X344" s="91">
        <f>VLOOKUP($B344&amp;"__wt",'Xtal_SegEnds_BW#'!$A:$Z,24,FALSE)</f>
        <v>63</v>
      </c>
      <c r="Y344" s="91">
        <f>VLOOKUP($B344&amp;"__wt",'Xtal_SegEnds_BW#'!$A:$Z,25,FALSE)</f>
        <v>47</v>
      </c>
      <c r="Z344" s="91">
        <f>VLOOKUP($B344&amp;"__wt",'Xtal_SegEnds_BW#'!$A:$Z,26,FALSE)</f>
        <v>59</v>
      </c>
      <c r="AA344" s="94" t="str">
        <f>VLOOKUP(A344,Classification!A:B,2,FALSE)</f>
        <v>C</v>
      </c>
      <c r="AB344" s="91">
        <f>VLOOKUP(A344,'NonXtal_SegEnds_Prot#'!A:AL,10,FALSE)-VLOOKUP(A344,'NonXtal_SegEnds_Prot#'!A:AL,7,FALSE)</f>
        <v>16</v>
      </c>
      <c r="AC344" s="91" t="e">
        <f>VLOOKUP(A344,'NonXtal_SegEnds_Prot#'!A:AL,13,FALSE)-VLOOKUP(A344,'NonXtal_SegEnds_Prot#'!A:AL,10,FALSE)</f>
        <v>#VALUE!</v>
      </c>
      <c r="AD344" s="91">
        <f>VLOOKUP(A344,'NonXtal_SegEnds_Prot#'!A:AL,16,FALSE)-VLOOKUP(A344,'NonXtal_SegEnds_Prot#'!A:AL,10,FALSE)</f>
        <v>44</v>
      </c>
      <c r="AE344" s="91">
        <f>VLOOKUP(A344,'NonXtal_SegEnds_Prot#'!A:AL,28,FALSE)-VLOOKUP(A344,'NonXtal_SegEnds_Prot#'!A:AL,25,FALSE)</f>
        <v>18</v>
      </c>
      <c r="AF344" s="91">
        <f>VLOOKUP(A344,'NonXtal_SegEnds_Prot#'!A:AL,31,FALSE)-VLOOKUP(A344,'NonXtal_SegEnds_Prot#'!A:AL,28,FALSE)</f>
        <v>35</v>
      </c>
      <c r="AG344" s="91">
        <f>VLOOKUP(A344,'NonXtal_SegEnds_Prot#'!A:AL,34,FALSE)-VLOOKUP(A344,'NonXtal_SegEnds_Prot#'!A:AL,31,FALSE)</f>
        <v>29</v>
      </c>
    </row>
    <row r="345" spans="1:33" x14ac:dyDescent="0.2">
      <c r="A345" s="1" t="s">
        <v>299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303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304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309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310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311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312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313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314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316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317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318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300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301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302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305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">
      <c r="A363" s="1" t="s">
        <v>306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">
      <c r="A364" s="1" t="s">
        <v>307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">
      <c r="A365" s="1" t="s">
        <v>315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">
      <c r="A366" s="1" t="s">
        <v>641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642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643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644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645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646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647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648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650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649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">
      <c r="A377" s="1" t="s">
        <v>677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">
      <c r="A378" s="1" t="s">
        <v>680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">
      <c r="A379" s="1" t="s">
        <v>681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">
      <c r="A380" s="1" t="s">
        <v>679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">
      <c r="A381" s="1" t="s">
        <v>676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">
      <c r="A382" s="1" t="s">
        <v>654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653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651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652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655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656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657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658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659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660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661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662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663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667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669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671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672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673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674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1126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3:AG407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zoomScale="120" zoomScaleNormal="120" zoomScalePageLayoutView="120" workbookViewId="0">
      <pane ySplit="1" topLeftCell="A267" activePane="bottomLeft" state="frozenSplit"/>
      <selection pane="bottomLeft" activeCell="O272" sqref="O272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84" t="s">
        <v>1423</v>
      </c>
      <c r="C1" s="11" t="s">
        <v>1267</v>
      </c>
      <c r="D1" s="90" t="s">
        <v>1288</v>
      </c>
      <c r="E1" s="11" t="s">
        <v>1268</v>
      </c>
      <c r="F1" s="90" t="s">
        <v>1284</v>
      </c>
      <c r="G1" s="90" t="s">
        <v>1289</v>
      </c>
      <c r="H1" s="90" t="s">
        <v>1285</v>
      </c>
      <c r="I1" s="90" t="s">
        <v>1269</v>
      </c>
      <c r="J1" s="90" t="s">
        <v>1290</v>
      </c>
      <c r="K1" s="11" t="s">
        <v>1270</v>
      </c>
      <c r="L1" s="11" t="s">
        <v>1286</v>
      </c>
      <c r="M1" s="90" t="s">
        <v>1291</v>
      </c>
      <c r="N1" s="11" t="s">
        <v>1287</v>
      </c>
      <c r="O1" s="11" t="s">
        <v>1271</v>
      </c>
      <c r="P1" s="90" t="s">
        <v>1292</v>
      </c>
      <c r="Q1" s="11" t="s">
        <v>1272</v>
      </c>
      <c r="R1" s="11" t="s">
        <v>1299</v>
      </c>
      <c r="S1" s="90" t="s">
        <v>1298</v>
      </c>
      <c r="T1" s="11" t="s">
        <v>1300</v>
      </c>
      <c r="U1" s="11" t="s">
        <v>1273</v>
      </c>
      <c r="V1" s="90" t="s">
        <v>1293</v>
      </c>
      <c r="W1" s="11" t="s">
        <v>1274</v>
      </c>
      <c r="X1" s="11" t="s">
        <v>1302</v>
      </c>
      <c r="Y1" s="90" t="s">
        <v>1301</v>
      </c>
      <c r="Z1" s="11" t="s">
        <v>1303</v>
      </c>
      <c r="AA1" s="11" t="s">
        <v>1275</v>
      </c>
      <c r="AB1" s="90" t="s">
        <v>1294</v>
      </c>
      <c r="AC1" s="11" t="s">
        <v>1276</v>
      </c>
      <c r="AD1" s="11" t="s">
        <v>1277</v>
      </c>
      <c r="AE1" s="90" t="s">
        <v>1295</v>
      </c>
      <c r="AF1" s="11" t="s">
        <v>1278</v>
      </c>
      <c r="AG1" s="11" t="s">
        <v>1279</v>
      </c>
      <c r="AH1" s="90" t="s">
        <v>1296</v>
      </c>
      <c r="AI1" s="11" t="s">
        <v>1280</v>
      </c>
      <c r="AJ1" s="11" t="s">
        <v>1281</v>
      </c>
      <c r="AK1" s="90" t="s">
        <v>1297</v>
      </c>
      <c r="AL1" s="11" t="s">
        <v>1282</v>
      </c>
      <c r="AM1" s="62" t="s">
        <v>292</v>
      </c>
      <c r="AN1" s="62" t="s">
        <v>1386</v>
      </c>
      <c r="AO1" s="11" t="s">
        <v>1450</v>
      </c>
      <c r="AP1" s="11" t="s">
        <v>1451</v>
      </c>
      <c r="AQ1" s="11" t="s">
        <v>1452</v>
      </c>
      <c r="AR1" s="11" t="s">
        <v>1453</v>
      </c>
      <c r="AS1" s="11" t="s">
        <v>1454</v>
      </c>
      <c r="AT1" s="11" t="s">
        <v>1455</v>
      </c>
      <c r="AU1" s="11" t="s">
        <v>1456</v>
      </c>
      <c r="AV1" s="11" t="s">
        <v>1457</v>
      </c>
      <c r="AW1" s="11" t="s">
        <v>1458</v>
      </c>
      <c r="AX1" s="11" t="s">
        <v>1459</v>
      </c>
      <c r="AY1" s="11" t="s">
        <v>1460</v>
      </c>
      <c r="AZ1" s="11" t="s">
        <v>1532</v>
      </c>
      <c r="BA1" s="62" t="s">
        <v>1462</v>
      </c>
      <c r="BB1" s="11" t="s">
        <v>1502</v>
      </c>
      <c r="BC1" s="11" t="s">
        <v>1462</v>
      </c>
      <c r="BD1" s="11" t="s">
        <v>1464</v>
      </c>
      <c r="BE1" s="11" t="s">
        <v>1461</v>
      </c>
      <c r="BF1" s="11" t="s">
        <v>1533</v>
      </c>
    </row>
    <row r="2" spans="1:58" s="3" customFormat="1" x14ac:dyDescent="0.2">
      <c r="A2" s="3" t="s">
        <v>414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71" t="str">
        <f>VLOOKUP(A2,Classification!A:B,2,FALSE)</f>
        <v>A</v>
      </c>
      <c r="AN2" s="71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">
      <c r="A3" s="3" t="s">
        <v>667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71" t="str">
        <f>VLOOKUP(A3,Classification!A:B,2,FALSE)</f>
        <v>T</v>
      </c>
      <c r="AN3" s="71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">
      <c r="A4" s="3" t="s">
        <v>331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71" t="str">
        <f>VLOOKUP(A4,Classification!A:B,2,FALSE)</f>
        <v>A</v>
      </c>
      <c r="AN4" s="71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">
      <c r="A5" s="3" t="s">
        <v>459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71" t="str">
        <f>VLOOKUP(A5,Classification!A:B,2,FALSE)</f>
        <v>A</v>
      </c>
      <c r="AN5" s="71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">
      <c r="A6" s="3" t="s">
        <v>351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71" t="str">
        <f>VLOOKUP(A6,Classification!A:B,2,FALSE)</f>
        <v>A</v>
      </c>
      <c r="AN6" s="71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">
      <c r="A7" s="3" t="s">
        <v>582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71" t="str">
        <f>VLOOKUP(A7,Classification!A:B,2,FALSE)</f>
        <v>A</v>
      </c>
      <c r="AN7" s="71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71" t="str">
        <f>VLOOKUP(A8,Classification!A:B,2,FALSE)</f>
        <v>A</v>
      </c>
      <c r="AN8" s="71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">
      <c r="A9" s="3" t="s">
        <v>329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71" t="str">
        <f>VLOOKUP(A9,Classification!A:B,2,FALSE)</f>
        <v>A</v>
      </c>
      <c r="AN9" s="71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">
      <c r="A10" s="3" t="s">
        <v>584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71" t="str">
        <f>VLOOKUP(A10,Classification!A:B,2,FALSE)</f>
        <v>A</v>
      </c>
      <c r="AN10" s="71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">
      <c r="A11" s="3" t="s">
        <v>585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71" t="str">
        <f>VLOOKUP(A11,Classification!A:B,2,FALSE)</f>
        <v>A</v>
      </c>
      <c r="AN11" s="71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">
      <c r="A12" s="3" t="s">
        <v>587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71" t="str">
        <f>VLOOKUP(A12,Classification!A:B,2,FALSE)</f>
        <v>A</v>
      </c>
      <c r="AN12" s="71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">
      <c r="A13" s="3" t="s">
        <v>583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71" t="str">
        <f>VLOOKUP(A13,Classification!A:B,2,FALSE)</f>
        <v>A</v>
      </c>
      <c r="AN13" s="71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">
      <c r="A14" s="3" t="s">
        <v>586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71" t="str">
        <f>VLOOKUP(A14,Classification!A:B,2,FALSE)</f>
        <v>A</v>
      </c>
      <c r="AN14" s="71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">
      <c r="A15" s="3" t="s">
        <v>323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71" t="str">
        <f>VLOOKUP(A15,Classification!A:B,2,FALSE)</f>
        <v>A</v>
      </c>
      <c r="AN15" s="71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">
      <c r="A16" s="3" t="s">
        <v>349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71" t="str">
        <f>VLOOKUP(A16,Classification!A:B,2,FALSE)</f>
        <v>A</v>
      </c>
      <c r="AN16" s="71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">
      <c r="A17" s="3" t="s">
        <v>322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71" t="str">
        <f>VLOOKUP(A17,Classification!A:B,2,FALSE)</f>
        <v>A</v>
      </c>
      <c r="AN17" s="71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">
      <c r="A18" s="3" t="s">
        <v>421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71" t="str">
        <f>VLOOKUP(A18,Classification!A:B,2,FALSE)</f>
        <v>A</v>
      </c>
      <c r="AN18" s="71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">
      <c r="A19" s="3" t="s">
        <v>346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71" t="str">
        <f>VLOOKUP(A19,Classification!A:B,2,FALSE)</f>
        <v>A</v>
      </c>
      <c r="AN19" s="71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">
      <c r="A20" s="3" t="s">
        <v>324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71" t="str">
        <f>VLOOKUP(A20,Classification!A:B,2,FALSE)</f>
        <v>A</v>
      </c>
      <c r="AN20" s="71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">
      <c r="A21" s="3" t="s">
        <v>325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71" t="str">
        <f>VLOOKUP(A21,Classification!A:B,2,FALSE)</f>
        <v>A</v>
      </c>
      <c r="AN21" s="71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">
      <c r="A22" s="3" t="s">
        <v>652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71" t="str">
        <f>VLOOKUP(A22,Classification!A:B,2,FALSE)</f>
        <v>T</v>
      </c>
      <c r="AN22" s="71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">
      <c r="A23" s="3" t="s">
        <v>326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71" t="str">
        <f>VLOOKUP(A23,Classification!A:B,2,FALSE)</f>
        <v>A</v>
      </c>
      <c r="AN23" s="71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71" t="str">
        <f>VLOOKUP(A24,Classification!A:B,2,FALSE)</f>
        <v>A</v>
      </c>
      <c r="AN24" s="71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">
      <c r="A25" s="3" t="s">
        <v>327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71" t="str">
        <f>VLOOKUP(A25,Classification!A:B,2,FALSE)</f>
        <v>A</v>
      </c>
      <c r="AN25" s="71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">
      <c r="A26" s="3" t="s">
        <v>424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71" t="str">
        <f>VLOOKUP(A26,Classification!A:B,2,FALSE)</f>
        <v>A</v>
      </c>
      <c r="AN26" s="71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">
      <c r="A27" s="3" t="s">
        <v>465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71" t="str">
        <f>VLOOKUP(A27,Classification!A:B,2,FALSE)</f>
        <v>A</v>
      </c>
      <c r="AN27" s="71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">
      <c r="A28" s="3" t="s">
        <v>442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71" t="str">
        <f>VLOOKUP(A28,Classification!A:B,2,FALSE)</f>
        <v>A</v>
      </c>
      <c r="AN28" s="71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">
      <c r="A29" s="3" t="s">
        <v>492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71" t="str">
        <f>VLOOKUP(A29,Classification!A:B,2,FALSE)</f>
        <v>A</v>
      </c>
      <c r="AN29" s="71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">
      <c r="A30" s="3" t="s">
        <v>478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71" t="str">
        <f>VLOOKUP(A30,Classification!A:B,2,FALSE)</f>
        <v>A</v>
      </c>
      <c r="AN30" s="71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">
      <c r="A31" s="3" t="s">
        <v>589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71" t="str">
        <f>VLOOKUP(A31,Classification!A:B,2,FALSE)</f>
        <v>A</v>
      </c>
      <c r="AN31" s="71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">
      <c r="A32" s="3" t="s">
        <v>398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71" t="str">
        <f>VLOOKUP(A32,Classification!A:B,2,FALSE)</f>
        <v>A</v>
      </c>
      <c r="AN32" s="71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">
      <c r="A33" s="3" t="s">
        <v>485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71" t="str">
        <f>VLOOKUP(A33,Classification!A:B,2,FALSE)</f>
        <v>A</v>
      </c>
      <c r="AN33" s="71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">
      <c r="A34" s="3" t="s">
        <v>555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71" t="str">
        <f>VLOOKUP(A34,Classification!A:B,2,FALSE)</f>
        <v>A</v>
      </c>
      <c r="AN34" s="71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">
      <c r="A35" s="3" t="s">
        <v>334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71" t="str">
        <f>VLOOKUP(A35,Classification!A:B,2,FALSE)</f>
        <v>A</v>
      </c>
      <c r="AN35" s="71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">
      <c r="A36" s="3" t="s">
        <v>332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71" t="str">
        <f>VLOOKUP(A36,Classification!A:B,2,FALSE)</f>
        <v>A</v>
      </c>
      <c r="AN36" s="71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">
      <c r="A37" s="3" t="s">
        <v>333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71" t="str">
        <f>VLOOKUP(A37,Classification!A:B,2,FALSE)</f>
        <v>A</v>
      </c>
      <c r="AN37" s="71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">
      <c r="A38" s="3" t="s">
        <v>335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71" t="str">
        <f>VLOOKUP(A38,Classification!A:B,2,FALSE)</f>
        <v>A</v>
      </c>
      <c r="AN38" s="71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">
      <c r="A39" s="3" t="s">
        <v>474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71" t="str">
        <f>VLOOKUP(A39,Classification!A:B,2,FALSE)</f>
        <v>A</v>
      </c>
      <c r="AN39" s="71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">
      <c r="A40" s="3" t="s">
        <v>340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71" t="str">
        <f>VLOOKUP(A40,Classification!A:B,2,FALSE)</f>
        <v>A</v>
      </c>
      <c r="AN40" s="71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">
      <c r="A41" s="3" t="s">
        <v>429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71" t="str">
        <f>VLOOKUP(A41,Classification!A:B,2,FALSE)</f>
        <v>A</v>
      </c>
      <c r="AN41" s="71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">
      <c r="A42" s="3" t="s">
        <v>671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71" t="str">
        <f>VLOOKUP(A42,Classification!A:B,2,FALSE)</f>
        <v>T</v>
      </c>
      <c r="AN42" s="71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">
      <c r="A43" s="3" t="s">
        <v>341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71" t="str">
        <f>VLOOKUP(A43,Classification!A:B,2,FALSE)</f>
        <v>A</v>
      </c>
      <c r="AN43" s="71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" customHeight="1" x14ac:dyDescent="0.2">
      <c r="A44" s="3" t="s">
        <v>660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71" t="str">
        <f>VLOOKUP(A44,Classification!A:B,2,FALSE)</f>
        <v>T</v>
      </c>
      <c r="AN44" s="71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">
      <c r="A45" s="3" t="s">
        <v>342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71" t="str">
        <f>VLOOKUP(A45,Classification!A:B,2,FALSE)</f>
        <v>A</v>
      </c>
      <c r="AN45" s="71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">
      <c r="A46" s="3" t="s">
        <v>1106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71" t="str">
        <f>VLOOKUP(A46,Classification!A:B,2,FALSE)</f>
        <v>A</v>
      </c>
      <c r="AN46" s="71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">
      <c r="A47" s="3" t="s">
        <v>344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71" t="str">
        <f>VLOOKUP(A47,Classification!A:B,2,FALSE)</f>
        <v>A</v>
      </c>
      <c r="AN47" s="71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">
      <c r="A48" s="3" t="s">
        <v>475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71" t="str">
        <f>VLOOKUP(A48,Classification!A:B,2,FALSE)</f>
        <v>A</v>
      </c>
      <c r="AN48" s="71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">
      <c r="A49" s="3" t="s">
        <v>343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71" t="str">
        <f>VLOOKUP(A49,Classification!A:B,2,FALSE)</f>
        <v>A</v>
      </c>
      <c r="AN49" s="71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">
      <c r="A50" s="3" t="s">
        <v>422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71" t="str">
        <f>VLOOKUP(A50,Classification!A:B,2,FALSE)</f>
        <v>A</v>
      </c>
      <c r="AN50" s="71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">
      <c r="A51" s="3" t="s">
        <v>570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71" t="str">
        <f>VLOOKUP(A51,Classification!A:B,2,FALSE)</f>
        <v>A</v>
      </c>
      <c r="AN51" s="71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">
      <c r="A52" s="3" t="s">
        <v>348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71" t="str">
        <f>VLOOKUP(A52,Classification!A:B,2,FALSE)</f>
        <v>A</v>
      </c>
      <c r="AN52" s="71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">
      <c r="A53" s="3" t="s">
        <v>388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71" t="str">
        <f>VLOOKUP(A53,Classification!A:B,2,FALSE)</f>
        <v>A</v>
      </c>
      <c r="AN53" s="71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">
      <c r="A54" s="3" t="s">
        <v>319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71" t="str">
        <f>VLOOKUP(A54,Classification!A:B,2,FALSE)</f>
        <v>A</v>
      </c>
      <c r="AN54" s="71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">
      <c r="A55" s="3" t="s">
        <v>1108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71" t="str">
        <f>VLOOKUP(A55,Classification!A:B,2,FALSE)</f>
        <v>A</v>
      </c>
      <c r="AN55" s="71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">
      <c r="A56" s="3" t="s">
        <v>296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71" t="str">
        <f>VLOOKUP(A56,Classification!A:B,2,FALSE)</f>
        <v>A</v>
      </c>
      <c r="AN56" s="71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">
      <c r="A57" s="3" t="s">
        <v>347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71" t="str">
        <f>VLOOKUP(A57,Classification!A:B,2,FALSE)</f>
        <v>A</v>
      </c>
      <c r="AN57" s="71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">
      <c r="A58" s="3" t="s">
        <v>384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71" t="str">
        <f>VLOOKUP(A58,Classification!A:B,2,FALSE)</f>
        <v>A</v>
      </c>
      <c r="AN58" s="71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">
      <c r="A59" s="3" t="s">
        <v>328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71" t="str">
        <f>VLOOKUP(A59,Classification!A:B,2,FALSE)</f>
        <v>A</v>
      </c>
      <c r="AN59" s="71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">
      <c r="A60" s="3" t="s">
        <v>406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71" t="str">
        <f>VLOOKUP(A60,Classification!A:B,2,FALSE)</f>
        <v>A</v>
      </c>
      <c r="AN60" s="71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">
      <c r="A61" s="3" t="s">
        <v>453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71" t="str">
        <f>VLOOKUP(A61,Classification!A:B,2,FALSE)</f>
        <v>A</v>
      </c>
      <c r="AN61" s="71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">
      <c r="A62" s="3" t="s">
        <v>581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71" t="str">
        <f>VLOOKUP(A62,Classification!A:B,2,FALSE)</f>
        <v>A</v>
      </c>
      <c r="AN62" s="71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">
      <c r="A63" s="3" t="s">
        <v>330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71" t="str">
        <f>VLOOKUP(A63,Classification!A:B,2,FALSE)</f>
        <v>A</v>
      </c>
      <c r="AN63" s="71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">
      <c r="A64" s="3" t="s">
        <v>505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71" t="str">
        <f>VLOOKUP(A64,Classification!A:B,2,FALSE)</f>
        <v>A</v>
      </c>
      <c r="AN64" s="71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">
      <c r="A65" s="3" t="s">
        <v>473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71" t="str">
        <f>VLOOKUP(A65,Classification!A:B,2,FALSE)</f>
        <v>A</v>
      </c>
      <c r="AN65" s="71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">
      <c r="A66" s="3" t="s">
        <v>569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71" t="str">
        <f>VLOOKUP(A66,Classification!A:B,2,FALSE)</f>
        <v>A</v>
      </c>
      <c r="AN66" s="71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" customHeight="1" x14ac:dyDescent="0.2">
      <c r="A67" s="3" t="s">
        <v>320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71" t="str">
        <f>VLOOKUP(A67,Classification!A:B,2,FALSE)</f>
        <v>A</v>
      </c>
      <c r="AN67" s="71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">
      <c r="A68" s="3" t="s">
        <v>498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71" t="str">
        <f>VLOOKUP(A68,Classification!A:B,2,FALSE)</f>
        <v>A</v>
      </c>
      <c r="AN68" s="71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">
      <c r="A69" s="3" t="s">
        <v>500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71" t="str">
        <f>VLOOKUP(A69,Classification!A:B,2,FALSE)</f>
        <v>A</v>
      </c>
      <c r="AN69" s="71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">
      <c r="A70" s="3" t="s">
        <v>680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71" t="str">
        <f>VLOOKUP(A70,Classification!A:B,2,FALSE)</f>
        <v>O</v>
      </c>
      <c r="AN70" s="71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">
      <c r="A71" s="3" t="s">
        <v>655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71" t="str">
        <f>VLOOKUP(A71,Classification!A:B,2,FALSE)</f>
        <v>T</v>
      </c>
      <c r="AN71" s="71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">
      <c r="A72" s="3" t="s">
        <v>656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71" t="str">
        <f>VLOOKUP(A72,Classification!A:B,2,FALSE)</f>
        <v>T</v>
      </c>
      <c r="AN72" s="71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">
      <c r="A73" s="3" t="s">
        <v>657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71" t="str">
        <f>VLOOKUP(A73,Classification!A:B,2,FALSE)</f>
        <v>T</v>
      </c>
      <c r="AN73" s="71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">
      <c r="A74" s="3" t="s">
        <v>658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71" t="str">
        <f>VLOOKUP(A74,Classification!A:B,2,FALSE)</f>
        <v>T</v>
      </c>
      <c r="AN74" s="71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">
      <c r="A75" s="3" t="s">
        <v>659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71" t="str">
        <f>VLOOKUP(A75,Classification!A:B,2,FALSE)</f>
        <v>T</v>
      </c>
      <c r="AN75" s="71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">
      <c r="A76" s="3" t="s">
        <v>662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71" t="str">
        <f>VLOOKUP(A76,Classification!A:B,2,FALSE)</f>
        <v>T</v>
      </c>
      <c r="AN76" s="71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">
      <c r="A77" s="3" t="s">
        <v>663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71" t="str">
        <f>VLOOKUP(A77,Classification!A:B,2,FALSE)</f>
        <v>T</v>
      </c>
      <c r="AN77" s="71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">
      <c r="A78" s="3" t="s">
        <v>664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71" t="str">
        <f>VLOOKUP(A78,Classification!A:B,2,FALSE)</f>
        <v>T</v>
      </c>
      <c r="AN78" s="71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">
      <c r="A79" s="3" t="s">
        <v>1126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71" t="str">
        <f>VLOOKUP(A79,Classification!A:B,2,FALSE)</f>
        <v>T</v>
      </c>
      <c r="AN79" s="71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">
      <c r="A80" s="3" t="s">
        <v>665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71" t="str">
        <f>VLOOKUP(A80,Classification!A:B,2,FALSE)</f>
        <v>T</v>
      </c>
      <c r="AN80" s="71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">
      <c r="A81" s="3" t="s">
        <v>666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71" t="str">
        <f>VLOOKUP(A81,Classification!A:B,2,FALSE)</f>
        <v>T</v>
      </c>
      <c r="AN81" s="71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">
      <c r="A82" s="3" t="s">
        <v>670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71" t="str">
        <f>VLOOKUP(A82,Classification!A:B,2,FALSE)</f>
        <v>T</v>
      </c>
      <c r="AN82" s="71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">
      <c r="A83" s="3" t="s">
        <v>673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71" t="str">
        <f>VLOOKUP(A83,Classification!A:B,2,FALSE)</f>
        <v>T</v>
      </c>
      <c r="AN83" s="71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">
      <c r="A84" s="3" t="s">
        <v>674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71" t="str">
        <f>VLOOKUP(A84,Classification!A:B,2,FALSE)</f>
        <v>T</v>
      </c>
      <c r="AN84" s="71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">
      <c r="A85" s="3" t="s">
        <v>675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71" t="str">
        <f>VLOOKUP(A85,Classification!A:B,2,FALSE)</f>
        <v>T</v>
      </c>
      <c r="AN85" s="71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">
      <c r="A86" s="3" t="s">
        <v>477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71" t="str">
        <f>VLOOKUP(A86,Classification!A:B,2,FALSE)</f>
        <v>A</v>
      </c>
      <c r="AN86" s="71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">
      <c r="A87" s="3" t="s">
        <v>567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71" t="str">
        <f>VLOOKUP(A87,Classification!A:B,2,FALSE)</f>
        <v>A</v>
      </c>
      <c r="AN87" s="71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">
      <c r="A88" s="3" t="s">
        <v>356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71" t="str">
        <f>VLOOKUP(A88,Classification!A:B,2,FALSE)</f>
        <v>A</v>
      </c>
      <c r="AN88" s="71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">
      <c r="A89" s="3" t="s">
        <v>430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71" t="str">
        <f>VLOOKUP(A89,Classification!A:B,2,FALSE)</f>
        <v>A</v>
      </c>
      <c r="AN89" s="71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">
      <c r="A90" s="3" t="s">
        <v>427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71" t="str">
        <f>VLOOKUP(A90,Classification!A:B,2,FALSE)</f>
        <v>A</v>
      </c>
      <c r="AN90" s="71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">
      <c r="A91" s="3" t="s">
        <v>338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71" t="str">
        <f>VLOOKUP(A91,Classification!A:B,2,FALSE)</f>
        <v>A</v>
      </c>
      <c r="AN91" s="71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">
      <c r="A92" s="3" t="s">
        <v>353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71" t="str">
        <f>VLOOKUP(A92,Classification!A:B,2,FALSE)</f>
        <v>A</v>
      </c>
      <c r="AN92" s="71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">
      <c r="A93" s="3" t="s">
        <v>440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71" t="str">
        <f>VLOOKUP(A93,Classification!A:B,2,FALSE)</f>
        <v>A</v>
      </c>
      <c r="AN93" s="71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">
      <c r="A94" s="3" t="s">
        <v>568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71" t="str">
        <f>VLOOKUP(A94,Classification!A:B,2,FALSE)</f>
        <v>A</v>
      </c>
      <c r="AN94" s="71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">
      <c r="A95" s="3" t="s">
        <v>355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71" t="str">
        <f>VLOOKUP(A95,Classification!A:B,2,FALSE)</f>
        <v>A</v>
      </c>
      <c r="AN95" s="71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">
      <c r="A96" s="3" t="s">
        <v>375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71" t="str">
        <f>VLOOKUP(A96,Classification!A:B,2,FALSE)</f>
        <v>A</v>
      </c>
      <c r="AN96" s="71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">
      <c r="A97" s="3" t="s">
        <v>359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71" t="str">
        <f>VLOOKUP(A97,Classification!A:B,2,FALSE)</f>
        <v>A</v>
      </c>
      <c r="AN97" s="71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">
      <c r="A98" s="3" t="s">
        <v>431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71" t="str">
        <f>VLOOKUP(A98,Classification!A:B,2,FALSE)</f>
        <v>A</v>
      </c>
      <c r="AN98" s="71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">
      <c r="A99" s="3" t="s">
        <v>433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71" t="str">
        <f>VLOOKUP(A99,Classification!A:B,2,FALSE)</f>
        <v>A</v>
      </c>
      <c r="AN99" s="71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">
      <c r="A100" s="3" t="s">
        <v>354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71" t="str">
        <f>VLOOKUP(A100,Classification!A:B,2,FALSE)</f>
        <v>A</v>
      </c>
      <c r="AN100" s="71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">
      <c r="A101" s="3" t="s">
        <v>352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71" t="str">
        <f>VLOOKUP(A101,Classification!A:B,2,FALSE)</f>
        <v>A</v>
      </c>
      <c r="AN101" s="71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">
      <c r="A102" s="3" t="s">
        <v>446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71" t="str">
        <f>VLOOKUP(A102,Classification!A:B,2,FALSE)</f>
        <v>A</v>
      </c>
      <c r="AN102" s="71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">
      <c r="A103" s="3" t="s">
        <v>525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71" t="str">
        <f>VLOOKUP(A103,Classification!A:B,2,FALSE)</f>
        <v>A</v>
      </c>
      <c r="AN103" s="71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">
      <c r="A104" s="3" t="s">
        <v>486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71" t="str">
        <f>VLOOKUP(A104,Classification!A:B,2,FALSE)</f>
        <v>A</v>
      </c>
      <c r="AN104" s="71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">
      <c r="A105" s="3" t="s">
        <v>369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71" t="str">
        <f>VLOOKUP(A105,Classification!A:B,2,FALSE)</f>
        <v>A</v>
      </c>
      <c r="AN105" s="71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">
      <c r="A106" s="3" t="s">
        <v>371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71" t="str">
        <f>VLOOKUP(A106,Classification!A:B,2,FALSE)</f>
        <v>A</v>
      </c>
      <c r="AN106" s="71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">
      <c r="A107" s="3" t="s">
        <v>368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71" t="str">
        <f>VLOOKUP(A107,Classification!A:B,2,FALSE)</f>
        <v>A</v>
      </c>
      <c r="AN107" s="71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">
      <c r="A108" s="3" t="s">
        <v>380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71" t="str">
        <f>VLOOKUP(A108,Classification!A:B,2,FALSE)</f>
        <v>A</v>
      </c>
      <c r="AN108" s="71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">
      <c r="A109" s="3" t="s">
        <v>336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71" t="str">
        <f>VLOOKUP(A109,Classification!A:B,2,FALSE)</f>
        <v>A</v>
      </c>
      <c r="AN109" s="71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">
      <c r="A110" s="3" t="s">
        <v>337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71" t="str">
        <f>VLOOKUP(A110,Classification!A:B,2,FALSE)</f>
        <v>A</v>
      </c>
      <c r="AN110" s="71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">
      <c r="A111" s="3" t="s">
        <v>363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71" t="str">
        <f>VLOOKUP(A111,Classification!A:B,2,FALSE)</f>
        <v>A</v>
      </c>
      <c r="AN111" s="71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">
      <c r="A112" s="3" t="s">
        <v>364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71" t="str">
        <f>VLOOKUP(A112,Classification!A:B,2,FALSE)</f>
        <v>A</v>
      </c>
      <c r="AN112" s="71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">
      <c r="A113" s="3" t="s">
        <v>366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71" t="str">
        <f>VLOOKUP(A113,Classification!A:B,2,FALSE)</f>
        <v>A</v>
      </c>
      <c r="AN113" s="71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">
      <c r="A114" s="3" t="s">
        <v>379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71" t="str">
        <f>VLOOKUP(A114,Classification!A:B,2,FALSE)</f>
        <v>A</v>
      </c>
      <c r="AN114" s="71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">
      <c r="A115" s="3" t="s">
        <v>339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71" t="str">
        <f>VLOOKUP(A115,Classification!A:B,2,FALSE)</f>
        <v>A</v>
      </c>
      <c r="AN115" s="71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">
      <c r="A116" s="3" t="s">
        <v>362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71" t="str">
        <f>VLOOKUP(A116,Classification!A:B,2,FALSE)</f>
        <v>A</v>
      </c>
      <c r="AN116" s="71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">
      <c r="A117" s="3" t="s">
        <v>365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71" t="str">
        <f>VLOOKUP(A117,Classification!A:B,2,FALSE)</f>
        <v>A</v>
      </c>
      <c r="AN117" s="71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">
      <c r="A118" s="3" t="s">
        <v>370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71" t="str">
        <f>VLOOKUP(A118,Classification!A:B,2,FALSE)</f>
        <v>A</v>
      </c>
      <c r="AN118" s="71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">
      <c r="A119" s="3" t="s">
        <v>372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71" t="str">
        <f>VLOOKUP(A119,Classification!A:B,2,FALSE)</f>
        <v>A</v>
      </c>
      <c r="AN119" s="71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">
      <c r="A120" s="3" t="s">
        <v>383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71" t="str">
        <f>VLOOKUP(A120,Classification!A:B,2,FALSE)</f>
        <v>A</v>
      </c>
      <c r="AN120" s="71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">
      <c r="A121" s="3" t="s">
        <v>367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71" t="str">
        <f>VLOOKUP(A121,Classification!A:B,2,FALSE)</f>
        <v>A</v>
      </c>
      <c r="AN121" s="71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">
      <c r="A122" s="3" t="s">
        <v>378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71" t="str">
        <f>VLOOKUP(A122,Classification!A:B,2,FALSE)</f>
        <v>A</v>
      </c>
      <c r="AN122" s="71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">
      <c r="A123" s="3" t="s">
        <v>594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71" t="str">
        <f>VLOOKUP(A123,Classification!A:B,2,FALSE)</f>
        <v>A</v>
      </c>
      <c r="AN123" s="71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">
      <c r="A124" s="3" t="s">
        <v>637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71" t="str">
        <f>VLOOKUP(A124,Classification!A:B,2,FALSE)</f>
        <v>B2</v>
      </c>
      <c r="AN124" s="71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">
      <c r="A125" s="3" t="s">
        <v>1415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71" t="str">
        <f>VLOOKUP(A125,Classification!A:B,2,FALSE)</f>
        <v>B2</v>
      </c>
      <c r="AN125" s="71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">
      <c r="A126" s="3" t="s">
        <v>612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71" t="str">
        <f>VLOOKUP(A126,Classification!A:B,2,FALSE)</f>
        <v>B2</v>
      </c>
      <c r="AN126" s="71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">
      <c r="A127" s="3" t="s">
        <v>613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71" t="str">
        <f>VLOOKUP(A127,Classification!A:B,2,FALSE)</f>
        <v>B2</v>
      </c>
      <c r="AN127" s="71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">
      <c r="A128" s="3" t="s">
        <v>1411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71" t="str">
        <f>VLOOKUP(A128,Classification!A:B,2,FALSE)</f>
        <v>B2</v>
      </c>
      <c r="AN128" s="71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">
      <c r="A129" s="3" t="s">
        <v>608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71" t="str">
        <f>VLOOKUP(A129,Classification!A:B,2,FALSE)</f>
        <v>B2</v>
      </c>
      <c r="AN129" s="71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">
      <c r="A130" s="3" t="s">
        <v>1399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71" t="str">
        <f>VLOOKUP(A130,Classification!A:B,2,FALSE)</f>
        <v>B2</v>
      </c>
      <c r="AN130" s="71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">
      <c r="A131" s="3" t="s">
        <v>1400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71" t="str">
        <f>VLOOKUP(A131,Classification!A:B,2,FALSE)</f>
        <v>B2</v>
      </c>
      <c r="AN131" s="71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">
      <c r="A132" s="3" t="s">
        <v>630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71" t="str">
        <f>VLOOKUP(A132,Classification!A:B,2,FALSE)</f>
        <v>B2</v>
      </c>
      <c r="AN132" s="71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">
      <c r="A133" s="3" t="s">
        <v>1420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71" t="str">
        <f>VLOOKUP(A133,Classification!A:B,2,FALSE)</f>
        <v>B2</v>
      </c>
      <c r="AN133" s="71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">
      <c r="A134" s="3" t="s">
        <v>1418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71" t="str">
        <f>VLOOKUP(A134,Classification!A:B,2,FALSE)</f>
        <v>B2</v>
      </c>
      <c r="AN134" s="71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">
      <c r="A135" s="3" t="s">
        <v>1419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71" t="str">
        <f>VLOOKUP(A135,Classification!A:B,2,FALSE)</f>
        <v>B2</v>
      </c>
      <c r="AN135" s="71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">
      <c r="A136" s="3" t="s">
        <v>1397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71" t="str">
        <f>VLOOKUP(A136,Classification!A:B,2,FALSE)</f>
        <v>B2</v>
      </c>
      <c r="AN136" s="71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">
      <c r="A137" s="3" t="s">
        <v>1409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71" t="str">
        <f>VLOOKUP(A137,Classification!A:B,2,FALSE)</f>
        <v>B2</v>
      </c>
      <c r="AN137" s="71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">
      <c r="A138" s="3" t="s">
        <v>1398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71" t="str">
        <f>VLOOKUP(A138,Classification!A:B,2,FALSE)</f>
        <v>B2</v>
      </c>
      <c r="AN138" s="71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">
      <c r="A139" s="3" t="s">
        <v>1402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71" t="str">
        <f>VLOOKUP(A139,Classification!A:B,2,FALSE)</f>
        <v>B2</v>
      </c>
      <c r="AN139" s="71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">
      <c r="A140" s="3" t="s">
        <v>1413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71" t="str">
        <f>VLOOKUP(A140,Classification!A:B,2,FALSE)</f>
        <v>B2</v>
      </c>
      <c r="AN140" s="71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">
      <c r="A141" s="3" t="s">
        <v>1403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71" t="str">
        <f>VLOOKUP(A141,Classification!A:B,2,FALSE)</f>
        <v>B2</v>
      </c>
      <c r="AN141" s="71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">
      <c r="A142" s="3" t="s">
        <v>1407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71" t="str">
        <f>VLOOKUP(A142,Classification!A:B,2,FALSE)</f>
        <v>B2</v>
      </c>
      <c r="AN142" s="71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">
      <c r="A143" s="3" t="s">
        <v>1401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71" t="str">
        <f>VLOOKUP(A143,Classification!A:B,2,FALSE)</f>
        <v>B2</v>
      </c>
      <c r="AN143" s="71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">
      <c r="A144" s="3" t="s">
        <v>1404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71" t="str">
        <f>VLOOKUP(A144,Classification!A:B,2,FALSE)</f>
        <v>B2</v>
      </c>
      <c r="AN144" s="71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">
      <c r="A145" s="3" t="s">
        <v>1417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71" t="str">
        <f>VLOOKUP(A145,Classification!A:B,2,FALSE)</f>
        <v>B2</v>
      </c>
      <c r="AN145" s="71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">
      <c r="A146" s="3" t="s">
        <v>1408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71" t="str">
        <f>VLOOKUP(A146,Classification!A:B,2,FALSE)</f>
        <v>B2</v>
      </c>
      <c r="AN146" s="71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1533</v>
      </c>
    </row>
    <row r="147" spans="1:58" s="3" customFormat="1" x14ac:dyDescent="0.2">
      <c r="A147" s="3" t="s">
        <v>1412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71" t="str">
        <f>VLOOKUP(A147,Classification!A:B,2,FALSE)</f>
        <v>B2</v>
      </c>
      <c r="AN147" s="71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">
      <c r="A148" s="3" t="s">
        <v>1421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71" t="str">
        <f>VLOOKUP(A148,Classification!A:B,2,FALSE)</f>
        <v>B2</v>
      </c>
      <c r="AN148" s="71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">
      <c r="A149" s="3" t="s">
        <v>1410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71" t="str">
        <f>VLOOKUP(A149,Classification!A:B,2,FALSE)</f>
        <v>B2</v>
      </c>
      <c r="AN149" s="71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">
      <c r="A150" s="3" t="s">
        <v>1405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71" t="str">
        <f>VLOOKUP(A150,Classification!A:B,2,FALSE)</f>
        <v>B2</v>
      </c>
      <c r="AN150" s="71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">
      <c r="A151" s="3" t="s">
        <v>1414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71" t="str">
        <f>VLOOKUP(A151,Classification!A:B,2,FALSE)</f>
        <v>B2</v>
      </c>
      <c r="AN151" s="71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">
      <c r="A152" s="3" t="s">
        <v>1416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71" t="str">
        <f>VLOOKUP(A152,Classification!A:B,2,FALSE)</f>
        <v>B2</v>
      </c>
      <c r="AN152" s="71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">
      <c r="A153" s="3" t="s">
        <v>1406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71" t="str">
        <f>VLOOKUP(A153,Classification!A:B,2,FALSE)</f>
        <v>B2</v>
      </c>
      <c r="AN153" s="71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">
      <c r="A154" s="3" t="s">
        <v>595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71" t="str">
        <f>VLOOKUP(A154,Classification!A:B,2,FALSE)</f>
        <v>B1</v>
      </c>
      <c r="AN154" s="71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">
      <c r="A155" s="3" t="s">
        <v>596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71" t="str">
        <f>VLOOKUP(A155,Classification!A:B,2,FALSE)</f>
        <v>B1</v>
      </c>
      <c r="AN155" s="71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71" t="str">
        <f>VLOOKUP(A156,Classification!A:B,2,FALSE)</f>
        <v>B1</v>
      </c>
      <c r="AN156" s="71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">
      <c r="A157" s="3" t="s">
        <v>597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71" t="str">
        <f>VLOOKUP(A157,Classification!A:B,2,FALSE)</f>
        <v>B1</v>
      </c>
      <c r="AN157" s="71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">
      <c r="A158" s="3" t="s">
        <v>1396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71" t="str">
        <f>VLOOKUP(A158,Classification!A:B,2,FALSE)</f>
        <v>B2</v>
      </c>
      <c r="AN158" s="71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">
      <c r="A159" s="3" t="s">
        <v>676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71" t="str">
        <f>VLOOKUP(A159,Classification!A:B,2,FALSE)</f>
        <v>O</v>
      </c>
      <c r="AN159" s="71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">
      <c r="A160" s="3" t="s">
        <v>679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71" t="str">
        <f>VLOOKUP(A160,Classification!A:B,2,FALSE)</f>
        <v>O</v>
      </c>
      <c r="AN160" s="71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">
      <c r="A161" s="3" t="s">
        <v>381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71" t="str">
        <f>VLOOKUP(A161,Classification!A:B,2,FALSE)</f>
        <v>A</v>
      </c>
      <c r="AN161" s="71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">
      <c r="A162" s="3" t="s">
        <v>382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71" t="str">
        <f>VLOOKUP(A162,Classification!A:B,2,FALSE)</f>
        <v>A</v>
      </c>
      <c r="AN162" s="71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">
      <c r="A163" s="3" t="s">
        <v>487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71" t="str">
        <f>VLOOKUP(A163,Classification!A:B,2,FALSE)</f>
        <v>A</v>
      </c>
      <c r="AN163" s="71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">
      <c r="A164" s="3" t="s">
        <v>360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>
        <f>IF(ISERROR((VLOOKUP($A164,'NonXtal_SegEnds_BW#'!$A:$Z,20,FALSE)+VLOOKUP($A164,A:AL,28,FALSE)-50)),"-",(VLOOKUP($A164,'NonXtal_SegEnds_BW#'!$A:$Z,20,FALSE)+VLOOKUP($A164,A:AL,28,FALSE)-50))</f>
        <v>226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71" t="str">
        <f>VLOOKUP(A164,Classification!A:B,2,FALSE)</f>
        <v>A</v>
      </c>
      <c r="AN164" s="71" t="b">
        <f t="shared" si="69"/>
        <v>1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>
        <f t="shared" si="78"/>
        <v>6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">
      <c r="A165" s="3" t="s">
        <v>1391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71" t="str">
        <f>VLOOKUP(A165,Classification!A:B,2,FALSE)</f>
        <v>A</v>
      </c>
      <c r="AN165" s="71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">
      <c r="A166" s="3" t="s">
        <v>395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71" t="str">
        <f>VLOOKUP(A166,Classification!A:B,2,FALSE)</f>
        <v>A</v>
      </c>
      <c r="AN166" s="71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">
      <c r="A167" s="3" t="s">
        <v>396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71" t="str">
        <f>VLOOKUP(A167,Classification!A:B,2,FALSE)</f>
        <v>A</v>
      </c>
      <c r="AN167" s="71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">
      <c r="A168" s="3" t="s">
        <v>397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71" t="str">
        <f>VLOOKUP(A168,Classification!A:B,2,FALSE)</f>
        <v>A</v>
      </c>
      <c r="AN168" s="71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">
      <c r="A169" s="3" t="s">
        <v>467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71" t="str">
        <f>VLOOKUP(A169,Classification!A:B,2,FALSE)</f>
        <v>A</v>
      </c>
      <c r="AN169" s="71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">
      <c r="A170" s="3" t="s">
        <v>457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71" t="str">
        <f>VLOOKUP(A170,Classification!A:B,2,FALSE)</f>
        <v>A</v>
      </c>
      <c r="AN170" s="71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">
      <c r="A171" s="3" t="s">
        <v>460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71" t="str">
        <f>VLOOKUP(A171,Classification!A:B,2,FALSE)</f>
        <v>A</v>
      </c>
      <c r="AN171" s="71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">
      <c r="A172" s="3" t="s">
        <v>387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71" t="str">
        <f>VLOOKUP(A172,Classification!A:B,2,FALSE)</f>
        <v>A</v>
      </c>
      <c r="AN172" s="71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">
      <c r="A173" s="3" t="s">
        <v>385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71" t="str">
        <f>VLOOKUP(A173,Classification!A:B,2,FALSE)</f>
        <v>A</v>
      </c>
      <c r="AN173" s="71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">
      <c r="A174" s="3" t="s">
        <v>386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71" t="str">
        <f>VLOOKUP(A174,Classification!A:B,2,FALSE)</f>
        <v>A</v>
      </c>
      <c r="AN174" s="71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">
      <c r="A175" s="3" t="s">
        <v>560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71" t="str">
        <f>VLOOKUP(A175,Classification!A:B,2,FALSE)</f>
        <v>A</v>
      </c>
      <c r="AN175" s="71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">
      <c r="A176" s="3" t="s">
        <v>350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71" t="str">
        <f>VLOOKUP(A176,Classification!A:B,2,FALSE)</f>
        <v>A</v>
      </c>
      <c r="AN176" s="71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">
      <c r="A177" s="3" t="s">
        <v>458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71" t="str">
        <f>VLOOKUP(A177,Classification!A:B,2,FALSE)</f>
        <v>A</v>
      </c>
      <c r="AN177" s="71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">
      <c r="A178" s="3" t="s">
        <v>449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71" t="str">
        <f>VLOOKUP(A178,Classification!A:B,2,FALSE)</f>
        <v>A</v>
      </c>
      <c r="AN178" s="71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">
      <c r="A179" s="3" t="s">
        <v>391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71" t="str">
        <f>VLOOKUP(A179,Classification!A:B,2,FALSE)</f>
        <v>A</v>
      </c>
      <c r="AN179" s="71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">
      <c r="A180" s="3" t="s">
        <v>390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71" t="str">
        <f>VLOOKUP(A180,Classification!A:B,2,FALSE)</f>
        <v>A</v>
      </c>
      <c r="AN180" s="71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">
      <c r="A181" s="3" t="s">
        <v>389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71" t="str">
        <f>VLOOKUP(A181,Classification!A:B,2,FALSE)</f>
        <v>A</v>
      </c>
      <c r="AN181" s="71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">
      <c r="A182" s="3" t="s">
        <v>511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71" t="str">
        <f>VLOOKUP(A182,Classification!A:B,2,FALSE)</f>
        <v>A</v>
      </c>
      <c r="AN182" s="71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">
      <c r="A183" s="3" t="s">
        <v>468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71" t="str">
        <f>VLOOKUP(A183,Classification!A:B,2,FALSE)</f>
        <v>A</v>
      </c>
      <c r="AN183" s="71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">
      <c r="A184" s="3" t="s">
        <v>1392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71" t="str">
        <f>VLOOKUP(A184,Classification!A:B,2,FALSE)</f>
        <v>A</v>
      </c>
      <c r="AN184" s="71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">
      <c r="A185" s="3" t="s">
        <v>392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71" t="str">
        <f>VLOOKUP(A185,Classification!A:B,2,FALSE)</f>
        <v>A</v>
      </c>
      <c r="AN185" s="71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">
      <c r="A186" s="3" t="s">
        <v>614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71" t="str">
        <f>VLOOKUP(A186,Classification!A:B,2,FALSE)</f>
        <v>B2</v>
      </c>
      <c r="AN186" s="71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">
      <c r="A187" s="3" t="s">
        <v>611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71" t="str">
        <f>VLOOKUP(A187,Classification!A:B,2,FALSE)</f>
        <v>B2</v>
      </c>
      <c r="AN187" s="71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">
      <c r="A188" s="3" t="s">
        <v>603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71" t="str">
        <f>VLOOKUP(A188,Classification!A:B,2,FALSE)</f>
        <v>B1</v>
      </c>
      <c r="AN188" s="71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">
      <c r="A189" s="3" t="s">
        <v>601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71" t="str">
        <f>VLOOKUP(A189,Classification!A:B,2,FALSE)</f>
        <v>B1</v>
      </c>
      <c r="AN189" s="71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">
      <c r="A190" s="3" t="s">
        <v>604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71" t="str">
        <f>VLOOKUP(A190,Classification!A:B,2,FALSE)</f>
        <v>B1</v>
      </c>
      <c r="AN190" s="71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">
      <c r="A191" s="3" t="s">
        <v>600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71" t="str">
        <f>VLOOKUP(A191,Classification!A:B,2,FALSE)</f>
        <v>B1</v>
      </c>
      <c r="AN191" s="71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">
      <c r="A192" s="3" t="s">
        <v>602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71" t="str">
        <f>VLOOKUP(A192,Classification!A:B,2,FALSE)</f>
        <v>B1</v>
      </c>
      <c r="AN192" s="71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71" t="str">
        <f>VLOOKUP(A193,Classification!A:B,2,FALSE)</f>
        <v>B1</v>
      </c>
      <c r="AN193" s="71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">
      <c r="A194" s="3" t="s">
        <v>599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71" t="str">
        <f>VLOOKUP(A194,Classification!A:B,2,FALSE)</f>
        <v>B1</v>
      </c>
      <c r="AN194" s="71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">
      <c r="A195" s="3" t="s">
        <v>605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71" t="str">
        <f>VLOOKUP(A195,Classification!A:B,2,FALSE)</f>
        <v>B1</v>
      </c>
      <c r="AN195" s="71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">
      <c r="A196" s="3" t="s">
        <v>606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71" t="str">
        <f>VLOOKUP(A196,Classification!A:B,2,FALSE)</f>
        <v>B1</v>
      </c>
      <c r="AN196" s="71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">
      <c r="A197" s="3" t="s">
        <v>598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71" t="str">
        <f>VLOOKUP(A197,Classification!A:B,2,FALSE)</f>
        <v>B1</v>
      </c>
      <c r="AN197" s="71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">
      <c r="A198" s="3" t="s">
        <v>607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71" t="str">
        <f>VLOOKUP(A198,Classification!A:B,2,FALSE)</f>
        <v>B1</v>
      </c>
      <c r="AN198" s="71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">
      <c r="A199" s="3" t="s">
        <v>302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71" t="str">
        <f>VLOOKUP(A199,Classification!A:B,2,FALSE)</f>
        <v>C</v>
      </c>
      <c r="AN199" s="71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">
      <c r="A200" s="3" t="s">
        <v>307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71" t="str">
        <f>VLOOKUP(A200,Classification!A:B,2,FALSE)</f>
        <v>C</v>
      </c>
      <c r="AN200" s="71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">
      <c r="A201" s="3" t="s">
        <v>315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71" t="str">
        <f>VLOOKUP(A201,Classification!A:B,2,FALSE)</f>
        <v>C</v>
      </c>
      <c r="AN201" s="71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">
      <c r="A202" s="3" t="s">
        <v>681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71" t="str">
        <f>VLOOKUP(A202,Classification!A:B,2,FALSE)</f>
        <v>O</v>
      </c>
      <c r="AN202" s="71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">
      <c r="A203" s="3" t="s">
        <v>300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71" t="str">
        <f>VLOOKUP(A203,Classification!A:B,2,FALSE)</f>
        <v>C</v>
      </c>
      <c r="AN203" s="71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71" t="str">
        <f>VLOOKUP(A204,Classification!A:B,2,FALSE)</f>
        <v>C</v>
      </c>
      <c r="AN204" s="71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">
      <c r="A205" s="3" t="s">
        <v>308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71" t="str">
        <f>VLOOKUP(A205,Classification!A:B,2,FALSE)</f>
        <v>C</v>
      </c>
      <c r="AN205" s="71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">
      <c r="A206" s="3" t="s">
        <v>318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71" t="str">
        <f>VLOOKUP(A206,Classification!A:B,2,FALSE)</f>
        <v>C</v>
      </c>
      <c r="AN206" s="71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">
      <c r="A207" s="3" t="s">
        <v>316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71" t="str">
        <f>VLOOKUP(A207,Classification!A:B,2,FALSE)</f>
        <v>C</v>
      </c>
      <c r="AN207" s="71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">
      <c r="A208" s="3" t="s">
        <v>317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71" t="str">
        <f>VLOOKUP(A208,Classification!A:B,2,FALSE)</f>
        <v>C</v>
      </c>
      <c r="AN208" s="71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">
      <c r="A209" s="3" t="s">
        <v>303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513</v>
      </c>
      <c r="V209" s="3">
        <v>524</v>
      </c>
      <c r="W209" s="3">
        <f>IF(ISERROR(VLOOKUP($A209,'NonXtal_SegEnds_BW#'!$A:$Z,16,FALSE)+VLOOKUP($A209,A:AL,22,FALSE)-50),"-",(VLOOKUP($A209,'NonXtal_SegEnds_BW#'!$A:$Z,16,FALSE)+VLOOKUP($A209,A:AL,22,FALSE)-50))</f>
        <v>538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576</v>
      </c>
      <c r="AB209" s="3">
        <v>589</v>
      </c>
      <c r="AC209" s="3">
        <f>IF(ISERROR((VLOOKUP($A209,'NonXtal_SegEnds_BW#'!$A:$Z,20,FALSE)+VLOOKUP($A209,A:AL,28,FALSE)-50)),"-",(VLOOKUP($A209,'NonXtal_SegEnds_BW#'!$A:$Z,20,FALSE)+VLOOKUP($A209,A:AL,28,FALSE)-50))</f>
        <v>600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71" t="str">
        <f>VLOOKUP(A209,Classification!A:B,2,FALSE)</f>
        <v>C</v>
      </c>
      <c r="AN209" s="71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35</v>
      </c>
      <c r="AV209" s="3">
        <f t="shared" si="110"/>
        <v>1</v>
      </c>
      <c r="AW209" s="3">
        <f t="shared" si="111"/>
        <v>9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37</v>
      </c>
    </row>
    <row r="210" spans="1:57" s="3" customFormat="1" x14ac:dyDescent="0.2">
      <c r="A210" s="3" t="s">
        <v>304</v>
      </c>
      <c r="B210" s="3" t="str">
        <f>LOWER(VLOOKUP(A210,Xtal_Templ!A:B,2,FALSE))</f>
        <v>grm1_human</v>
      </c>
      <c r="C210" s="3">
        <f>VLOOKUP($A210,'NonXtal_SegEnds_BW#'!$A:$Z,3,FALSE)+D210-50</f>
        <v>379</v>
      </c>
      <c r="D210" s="3">
        <v>395</v>
      </c>
      <c r="E210" s="3">
        <f>IF(ISERROR(VLOOKUP($A210,'NonXtal_SegEnds_BW#'!$A:$Z,4,FALSE)+VLOOKUP($A210,A:AL,4,FALSE)-50),"-",(VLOOKUP($A210,'NonXtal_SegEnds_BW#'!$A:$Z,4,FALSE)+VLOOKUP($A210,A:AL,4,FALSE)-50))</f>
        <v>405</v>
      </c>
      <c r="F210" s="3">
        <f t="shared" si="118"/>
        <v>408</v>
      </c>
      <c r="G210" s="3">
        <v>411</v>
      </c>
      <c r="H210" s="3">
        <f t="shared" si="119"/>
        <v>414</v>
      </c>
      <c r="I210" s="3">
        <f t="shared" si="120"/>
        <v>415</v>
      </c>
      <c r="J210" s="3">
        <v>426</v>
      </c>
      <c r="K210" s="3">
        <f>VLOOKUP($A210,'NonXtal_SegEnds_BW#'!$A:$Z,8,FALSE)+VLOOKUP($A210,A:AL,10,FALSE)-50</f>
        <v>437</v>
      </c>
      <c r="L210" s="3" t="str">
        <f>IF(ISERROR(VLOOKUP($A210,'NonXtal_SegEnds_BW#'!$A:$Z,9,FALSE)+VLOOKUP($A210,A:AL,13,FALSE)-50),"-",(VLOOKUP($A210,'NonXtal_SegEnds_BW#'!$A:$Z,9,FALSE)+VLOOKUP($A210,A:AL,13,FALSE)-50))</f>
        <v>-</v>
      </c>
      <c r="M210" s="3" t="s">
        <v>129</v>
      </c>
      <c r="N210" s="3" t="str">
        <f>IF(ISERROR(VLOOKUP($A210,'NonXtal_SegEnds_BW#'!$A:$Z,10,FALSE)+VLOOKUP($A210,A:AL,13,FALSE)-50),"-",(VLOOKUP($A210,'NonXtal_SegEnds_BW#'!$A:$Z,10,FALSE)+VLOOKUP($A210,A:AL,13,FALSE)-50))</f>
        <v>-</v>
      </c>
      <c r="O210" s="3">
        <f>VLOOKUP($A210,'NonXtal_SegEnds_BW#'!$A:$Z,11,FALSE)+VLOOKUP($A210,A:AL,16,FALSE)-50</f>
        <v>442</v>
      </c>
      <c r="P210" s="3">
        <v>470</v>
      </c>
      <c r="Q210" s="3">
        <f>VLOOKUP($A210,'NonXtal_SegEnds_BW#'!$A:$Z,12,FALSE)+VLOOKUP($A210,A:AL,16,FALSE)-50</f>
        <v>474</v>
      </c>
      <c r="R210" s="3" t="str">
        <f>IF(ISERROR(VLOOKUP($A210,'NonXtal_SegEnds_BW#'!$A:$Z,13,FALSE)+VLOOKUP($A210,A:AL,19,FALSE)-50),"-",VLOOKUP($A210,'NonXtal_SegEnds_BW#'!$A:$Z,13,FALSE)+VLOOKUP($A210,A:AL,19,FALSE)-50)</f>
        <v>-</v>
      </c>
      <c r="S210" s="3" t="s">
        <v>129</v>
      </c>
      <c r="T210" s="3" t="str">
        <f>IF(ISERROR(VLOOKUP($A210,'NonXtal_SegEnds_BW#'!$A:$Z,14,FALSE)+VLOOKUP($A210,A:AL,19,FALSE)-50),"-",(VLOOKUP($A210,'NonXtal_SegEnds_BW#'!$A:$Z,14,FALSE)+VLOOKUP($A210,A:AL,19,FALSE)-50))</f>
        <v>-</v>
      </c>
      <c r="U210" s="3">
        <f>IF(ISERROR(VLOOKUP($A210,'NonXtal_SegEnds_BW#'!$A:$Z,15,FALSE)+VLOOKUP($A210,A:AL,22,FALSE)-50),"-",VLOOKUP($A210,'NonXtal_SegEnds_BW#'!$A:$Z,15,FALSE)+VLOOKUP($A210,A:AL,22,FALSE)-50)</f>
        <v>477</v>
      </c>
      <c r="V210" s="3">
        <v>488</v>
      </c>
      <c r="W210" s="3">
        <f>IF(ISERROR(VLOOKUP($A210,'NonXtal_SegEnds_BW#'!$A:$Z,16,FALSE)+VLOOKUP($A210,A:AL,22,FALSE)-50),"-",(VLOOKUP($A210,'NonXtal_SegEnds_BW#'!$A:$Z,16,FALSE)+VLOOKUP($A210,A:AL,22,FALSE)-50))</f>
        <v>502</v>
      </c>
      <c r="X210" s="3">
        <f>IF(ISERROR(VLOOKUP($A210,'NonXtal_SegEnds_BW#'!$A:$Z,17,FALSE)+VLOOKUP($A210,A:AL,25,FALSE)-50),"-",(VLOOKUP($A210,'NonXtal_SegEnds_BW#'!$A:$Z,17,FALSE)+VLOOKUP($A210,A:AL,25,FALSE)-50))</f>
        <v>537</v>
      </c>
      <c r="Y210" s="3">
        <v>537</v>
      </c>
      <c r="Z210" s="3">
        <f t="shared" si="121"/>
        <v>539</v>
      </c>
      <c r="AA210" s="3">
        <f>IF(ISERROR(VLOOKUP($A210,'NonXtal_SegEnds_BW#'!$A:$Z,19,FALSE)+VLOOKUP($A210,A:AL,28,FALSE)-50),"-",(VLOOKUP($A210,'NonXtal_SegEnds_BW#'!$A:$Z,19,FALSE)+VLOOKUP($A210,A:AL,28,FALSE)-50))</f>
        <v>540</v>
      </c>
      <c r="AB210" s="3">
        <v>553</v>
      </c>
      <c r="AC210" s="3">
        <f>IF(ISERROR((VLOOKUP($A210,'NonXtal_SegEnds_BW#'!$A:$Z,20,FALSE)+VLOOKUP($A210,A:AL,28,FALSE)-50)),"-",(VLOOKUP($A210,'NonXtal_SegEnds_BW#'!$A:$Z,20,FALSE)+VLOOKUP($A210,A:AL,28,FALSE)-50))</f>
        <v>564</v>
      </c>
      <c r="AD210" s="3">
        <f>IF(ISERROR(VLOOKUP($A210,'NonXtal_SegEnds_BW#'!$A:$Z,21,FALSE)+VLOOKUP($A210,A:AL,31,FALSE)-50),"-",(VLOOKUP($A210,'NonXtal_SegEnds_BW#'!$A:$Z,21,FALSE)+VLOOKUP($A210,A:AL,31,FALSE)-50))</f>
        <v>573</v>
      </c>
      <c r="AE210" s="3">
        <v>590</v>
      </c>
      <c r="AF210" s="3">
        <f>IF(ISERROR((VLOOKUP($A210,'NonXtal_SegEnds_BW#'!$A:$Z,22,FALSE)+VLOOKUP($A210,A:AL,31,FALSE)-50)),"-",(VLOOKUP($A210,'NonXtal_SegEnds_BW#'!$A:$Z,22,FALSE)+VLOOKUP($A210,A:AL,31,FALSE)-50))</f>
        <v>597</v>
      </c>
      <c r="AG210" s="3">
        <f>IF(ISERROR(VLOOKUP($A210,'NonXtal_SegEnds_BW#'!$A:$Z,23,FALSE)+VLOOKUP($A210,A:AL,34,FALSE)-50),"-",(VLOOKUP($A210,'NonXtal_SegEnds_BW#'!$A:$Z,23,FALSE)+VLOOKUP($A210,A:AL,34,FALSE)-50))</f>
        <v>607</v>
      </c>
      <c r="AH210" s="3">
        <v>623</v>
      </c>
      <c r="AI210" s="3">
        <f>IF(ISERROR((VLOOKUP($A210,'NonXtal_SegEnds_BW#'!$A:$Z,24,FALSE)+VLOOKUP($A210,A:AL,34,FALSE)-50)),"-",(VLOOKUP($A210,'NonXtal_SegEnds_BW#'!$A:$Z,24,FALSE)+VLOOKUP($A210,A:AL,34,FALSE)-50))</f>
        <v>636</v>
      </c>
      <c r="AJ210" s="3">
        <f>IF(ISERROR(VLOOKUP($A210,'NonXtal_SegEnds_BW#'!$A:$Z,25,FALSE)+VLOOKUP($A210,A:AL,37,FALSE)-50),"-",(VLOOKUP($A210,'NonXtal_SegEnds_BW#'!$A:$Z,25,FALSE)+VLOOKUP($A210,A:AL,37,FALSE)-50))</f>
        <v>637</v>
      </c>
      <c r="AK210" s="3">
        <v>640</v>
      </c>
      <c r="AL210" s="3">
        <f>IF(ISERROR((VLOOKUP($A210,'NonXtal_SegEnds_BW#'!$A:$Z,26,FALSE)+VLOOKUP($A210,A:AL,37,FALSE)-50)),"-",(VLOOKUP($A210,'NonXtal_SegEnds_BW#'!$A:$Z,26,FALSE)+VLOOKUP($A210,A:AL,37,FALSE)-50))</f>
        <v>649</v>
      </c>
      <c r="AM210" s="71" t="str">
        <f>VLOOKUP(A210,Classification!A:B,2,FALSE)</f>
        <v>C</v>
      </c>
      <c r="AN210" s="71" t="b">
        <f t="shared" si="102"/>
        <v>1</v>
      </c>
      <c r="AO210" s="3">
        <f t="shared" si="103"/>
        <v>3</v>
      </c>
      <c r="AP210" s="3">
        <f t="shared" si="104"/>
        <v>1</v>
      </c>
      <c r="AQ210" s="3" t="str">
        <f t="shared" si="105"/>
        <v>-</v>
      </c>
      <c r="AR210" s="3" t="str">
        <f t="shared" si="106"/>
        <v>-</v>
      </c>
      <c r="AS210" s="3" t="str">
        <f t="shared" si="107"/>
        <v>-</v>
      </c>
      <c r="AT210" s="3" t="str">
        <f t="shared" si="108"/>
        <v>-</v>
      </c>
      <c r="AU210" s="3">
        <f t="shared" si="109"/>
        <v>35</v>
      </c>
      <c r="AV210" s="3">
        <f t="shared" si="110"/>
        <v>1</v>
      </c>
      <c r="AW210" s="3">
        <f t="shared" si="111"/>
        <v>9</v>
      </c>
      <c r="AX210" s="3">
        <f t="shared" si="112"/>
        <v>10</v>
      </c>
      <c r="AY210" s="3">
        <f t="shared" si="113"/>
        <v>1</v>
      </c>
      <c r="AZ210" s="3">
        <f>IF(ISERROR(LEN(VLOOKUP(A210,Seqs!A:E,2,FALSE))-AL210),"-",LEN(VLOOKUP(A210,Seqs!A:E,2,FALSE))-AL210)</f>
        <v>1718</v>
      </c>
      <c r="BA210" s="35">
        <f t="shared" si="114"/>
        <v>31</v>
      </c>
      <c r="BB210" s="3" t="str">
        <f t="shared" si="115"/>
        <v>-</v>
      </c>
      <c r="BC210" s="3">
        <f t="shared" si="116"/>
        <v>31</v>
      </c>
      <c r="BD210" s="3">
        <f t="shared" si="117"/>
        <v>37</v>
      </c>
    </row>
    <row r="211" spans="1:57" s="3" customFormat="1" x14ac:dyDescent="0.2">
      <c r="A211" s="3" t="s">
        <v>306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71" t="str">
        <f>VLOOKUP(A211,Classification!A:B,2,FALSE)</f>
        <v>C</v>
      </c>
      <c r="AN211" s="71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">
      <c r="A212" s="3" t="s">
        <v>305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71" t="str">
        <f>VLOOKUP(A212,Classification!A:B,2,FALSE)</f>
        <v>C</v>
      </c>
      <c r="AN212" s="71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">
      <c r="A213" s="3" t="s">
        <v>299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71" t="str">
        <f>VLOOKUP(A213,Classification!A:B,2,FALSE)</f>
        <v>C</v>
      </c>
      <c r="AN213" s="71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">
      <c r="A214" s="3" t="s">
        <v>313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71" t="str">
        <f>VLOOKUP(A214,Classification!A:B,2,FALSE)</f>
        <v>C</v>
      </c>
      <c r="AN214" s="71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">
      <c r="A215" s="3" t="s">
        <v>311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71" t="str">
        <f>VLOOKUP(A215,Classification!A:B,2,FALSE)</f>
        <v>C</v>
      </c>
      <c r="AN215" s="71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">
      <c r="A216" s="3" t="s">
        <v>312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71" t="str">
        <f>VLOOKUP(A216,Classification!A:B,2,FALSE)</f>
        <v>C</v>
      </c>
      <c r="AN216" s="71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">
      <c r="A217" s="3" t="s">
        <v>314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71" t="str">
        <f>VLOOKUP(A217,Classification!A:B,2,FALSE)</f>
        <v>C</v>
      </c>
      <c r="AN217" s="71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71" t="str">
        <f>VLOOKUP(A218,Classification!A:B,2,FALSE)</f>
        <v>C</v>
      </c>
      <c r="AN218" s="71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">
      <c r="A219" s="3" t="s">
        <v>310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71" t="str">
        <f>VLOOKUP(A219,Classification!A:B,2,FALSE)</f>
        <v>C</v>
      </c>
      <c r="AN219" s="71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">
      <c r="A220" s="3" t="s">
        <v>309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71" t="str">
        <f>VLOOKUP(A220,Classification!A:B,2,FALSE)</f>
        <v>C</v>
      </c>
      <c r="AN220" s="71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">
      <c r="A221" s="3" t="s">
        <v>301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71" t="str">
        <f>VLOOKUP(A221,Classification!A:B,2,FALSE)</f>
        <v>C</v>
      </c>
      <c r="AN221" s="71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">
      <c r="A222" s="3" t="s">
        <v>413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71" t="str">
        <f>VLOOKUP(A222,Classification!A:B,2,FALSE)</f>
        <v>A</v>
      </c>
      <c r="AN222" s="71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">
      <c r="A223" s="3" t="s">
        <v>439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71" t="str">
        <f>VLOOKUP(A223,Classification!A:B,2,FALSE)</f>
        <v>A</v>
      </c>
      <c r="AN223" s="71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">
      <c r="A224" s="3" t="s">
        <v>472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71" t="str">
        <f>VLOOKUP(A224,Classification!A:B,2,FALSE)</f>
        <v>A</v>
      </c>
      <c r="AN224" s="71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">
      <c r="A225" s="3" t="s">
        <v>420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71" t="str">
        <f>VLOOKUP(A225,Classification!A:B,2,FALSE)</f>
        <v>A</v>
      </c>
      <c r="AN225" s="71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3" customFormat="1" x14ac:dyDescent="0.2">
      <c r="A226" s="3" t="s">
        <v>376</v>
      </c>
      <c r="B226" s="3" t="str">
        <f>LOWER(VLOOKUP(A226,Xtal_Templ!A:B,2,FALSE))</f>
        <v>lpar1_human</v>
      </c>
      <c r="C226" s="3">
        <f>VLOOKUP($A226,'NonXtal_SegEnds_BW#'!$A:$Z,3,FALSE)+D226-50</f>
        <v>114</v>
      </c>
      <c r="D226" s="3">
        <v>134</v>
      </c>
      <c r="E226" s="3">
        <f>IF(ISERROR(VLOOKUP($A226,'NonXtal_SegEnds_BW#'!$A:$Z,4,FALSE)+VLOOKUP($A226,A:AL,4,FALSE)-50),"-",(VLOOKUP($A226,'NonXtal_SegEnds_BW#'!$A:$Z,4,FALSE)+VLOOKUP($A226,A:AL,4,FALSE)-50))</f>
        <v>144</v>
      </c>
      <c r="F226" s="3">
        <f t="shared" ref="F226:F231" si="122">G226-2</f>
        <v>145</v>
      </c>
      <c r="G226" s="3">
        <v>147</v>
      </c>
      <c r="H226" s="3">
        <f t="shared" ref="H226:I231" si="123">G226+1</f>
        <v>148</v>
      </c>
      <c r="I226" s="3">
        <f t="shared" si="123"/>
        <v>149</v>
      </c>
      <c r="J226" s="3">
        <v>163</v>
      </c>
      <c r="K226" s="3">
        <f>VLOOKUP($A226,'NonXtal_SegEnds_BW#'!$A:$Z,8,FALSE)+VLOOKUP($A226,A:AL,10,FALSE)-50</f>
        <v>179</v>
      </c>
      <c r="L226" s="3" t="str">
        <f>IF(ISERROR(VLOOKUP($A226,'NonXtal_SegEnds_BW#'!$A:$Z,9,FALSE)+VLOOKUP($A226,A:AL,13,FALSE)-50),"-",(VLOOKUP($A226,'NonXtal_SegEnds_BW#'!$A:$Z,9,FALSE)+VLOOKUP($A226,A:AL,13,FALSE)-50))</f>
        <v>-</v>
      </c>
      <c r="M226" s="3" t="s">
        <v>129</v>
      </c>
      <c r="N226" s="3" t="str">
        <f>IF(ISERROR(VLOOKUP($A226,'NonXtal_SegEnds_BW#'!$A:$Z,10,FALSE)+VLOOKUP($A226,A:AL,13,FALSE)-50),"-",(VLOOKUP($A226,'NonXtal_SegEnds_BW#'!$A:$Z,10,FALSE)+VLOOKUP($A226,A:AL,13,FALSE)-50))</f>
        <v>-</v>
      </c>
      <c r="O226" s="3">
        <f>VLOOKUP($A226,'NonXtal_SegEnds_BW#'!$A:$Z,11,FALSE)+VLOOKUP($A226,A:AL,16,FALSE)-50</f>
        <v>182</v>
      </c>
      <c r="P226" s="3">
        <v>214</v>
      </c>
      <c r="Q226" s="3">
        <f>VLOOKUP($A226,'NonXtal_SegEnds_BW#'!$A:$Z,12,FALSE)+VLOOKUP($A226,A:AL,16,FALSE)-50</f>
        <v>220</v>
      </c>
      <c r="R226" s="3">
        <f>S226</f>
        <v>221</v>
      </c>
      <c r="S226" s="3">
        <v>221</v>
      </c>
      <c r="T226" s="3">
        <f>S226+7</f>
        <v>228</v>
      </c>
      <c r="U226" s="3">
        <f>IF(ISERROR(VLOOKUP($A226,'NonXtal_SegEnds_BW#'!$A:$Z,15,FALSE)+VLOOKUP($A226,A:AL,22,FALSE)-50),"-",VLOOKUP($A226,'NonXtal_SegEnds_BW#'!$A:$Z,15,FALSE)+VLOOKUP($A226,A:AL,22,FALSE)-50)</f>
        <v>230</v>
      </c>
      <c r="V226" s="3">
        <v>241</v>
      </c>
      <c r="W226" s="3">
        <f>IF(ISERROR(VLOOKUP($A226,'NonXtal_SegEnds_BW#'!$A:$Z,16,FALSE)+VLOOKUP($A226,A:AL,22,FALSE)-50),"-",(VLOOKUP($A226,'NonXtal_SegEnds_BW#'!$A:$Z,16,FALSE)+VLOOKUP($A226,A:AL,22,FALSE)-50))</f>
        <v>254</v>
      </c>
      <c r="X226" s="3" t="str">
        <f>IF(ISERROR(VLOOKUP($A226,'NonXtal_SegEnds_BW#'!$A:$Z,17,FALSE)+VLOOKUP($A226,A:AL,25,FALSE)-50),"-",(VLOOKUP($A226,'NonXtal_SegEnds_BW#'!$A:$Z,17,FALSE)+VLOOKUP($A226,A:AL,25,FALSE)-50))</f>
        <v>-</v>
      </c>
      <c r="Y226" s="3" t="s">
        <v>129</v>
      </c>
      <c r="Z226" s="3" t="str">
        <f>IF(ISERROR(VLOOKUP($A226,'NonXtal_SegEnds_BW#'!$A:$Z,18,FALSE)+VLOOKUP($A226,A:AL,25,FALSE)-50),"-",(VLOOKUP($A226,'NonXtal_SegEnds_BW#'!$A:$Z,18,FALSE)+VLOOKUP($A226,A:AL,25,FALSE)-50))</f>
        <v>-</v>
      </c>
      <c r="AA226" s="3">
        <f>IF(ISERROR(VLOOKUP($A226,'NonXtal_SegEnds_BW#'!$A:$Z,19,FALSE)+VLOOKUP($A226,A:AL,28,FALSE)-50),"-",(VLOOKUP($A226,'NonXtal_SegEnds_BW#'!$A:$Z,19,FALSE)+VLOOKUP($A226,A:AL,28,FALSE)-50))</f>
        <v>272</v>
      </c>
      <c r="AB226" s="3">
        <v>286</v>
      </c>
      <c r="AC226" s="3">
        <f>IF(ISERROR((VLOOKUP($A226,'NonXtal_SegEnds_BW#'!$A:$Z,20,FALSE)+VLOOKUP($A226,A:AL,28,FALSE)-50)),"-",(VLOOKUP($A226,'NonXtal_SegEnds_BW#'!$A:$Z,20,FALSE)+VLOOKUP($A226,A:AL,28,FALSE)-50))</f>
        <v>312</v>
      </c>
      <c r="AD226" s="3">
        <f>IF(ISERROR(VLOOKUP($A226,'NonXtal_SegEnds_BW#'!$A:$Z,21,FALSE)+VLOOKUP($A226,A:AL,31,FALSE)-50),"-",(VLOOKUP($A226,'NonXtal_SegEnds_BW#'!$A:$Z,21,FALSE)+VLOOKUP($A226,A:AL,31,FALSE)-50))</f>
        <v>332</v>
      </c>
      <c r="AE226" s="3">
        <v>358</v>
      </c>
      <c r="AF226" s="3">
        <f>IF(ISERROR((VLOOKUP($A226,'NonXtal_SegEnds_BW#'!$A:$Z,22,FALSE)+VLOOKUP($A226,A:AL,31,FALSE)-50)),"-",(VLOOKUP($A226,'NonXtal_SegEnds_BW#'!$A:$Z,22,FALSE)+VLOOKUP($A226,A:AL,31,FALSE)-50))</f>
        <v>369</v>
      </c>
      <c r="AG226" s="3">
        <f>IF(ISERROR(VLOOKUP($A226,'NonXtal_SegEnds_BW#'!$A:$Z,23,FALSE)+VLOOKUP($A226,A:AL,34,FALSE)-50),"-",(VLOOKUP($A226,'NonXtal_SegEnds_BW#'!$A:$Z,23,FALSE)+VLOOKUP($A226,A:AL,34,FALSE)-50))</f>
        <v>375</v>
      </c>
      <c r="AH226" s="3">
        <v>394</v>
      </c>
      <c r="AI226" s="3">
        <f>IF(ISERROR((VLOOKUP($A226,'NonXtal_SegEnds_BW#'!$A:$Z,24,FALSE)+VLOOKUP($A226,A:AL,34,FALSE)-50)),"-",(VLOOKUP($A226,'NonXtal_SegEnds_BW#'!$A:$Z,24,FALSE)+VLOOKUP($A226,A:AL,34,FALSE)-50))</f>
        <v>400</v>
      </c>
      <c r="AJ226" s="3">
        <f>IF(ISERROR(VLOOKUP($A226,'NonXtal_SegEnds_BW#'!$A:$Z,25,FALSE)+VLOOKUP($A226,A:AL,37,FALSE)-50),"-",(VLOOKUP($A226,'NonXtal_SegEnds_BW#'!$A:$Z,25,FALSE)+VLOOKUP($A226,A:AL,37,FALSE)-50))</f>
        <v>401</v>
      </c>
      <c r="AK226" s="3">
        <v>404</v>
      </c>
      <c r="AL226" s="3">
        <f>IF(ISERROR((VLOOKUP($A226,'NonXtal_SegEnds_BW#'!$A:$Z,26,FALSE)+VLOOKUP($A226,A:AL,37,FALSE)-50)),"-",(VLOOKUP($A226,'NonXtal_SegEnds_BW#'!$A:$Z,26,FALSE)+VLOOKUP($A226,A:AL,37,FALSE)-50))</f>
        <v>413</v>
      </c>
      <c r="AM226" s="71" t="str">
        <f>VLOOKUP(A226,Classification!A:B,2,FALSE)</f>
        <v>A</v>
      </c>
      <c r="AN226" s="71" t="b">
        <f t="shared" si="102"/>
        <v>1</v>
      </c>
      <c r="AO226" s="3">
        <f t="shared" si="103"/>
        <v>1</v>
      </c>
      <c r="AP226" s="3">
        <f t="shared" si="104"/>
        <v>1</v>
      </c>
      <c r="AQ226" s="3" t="str">
        <f t="shared" si="105"/>
        <v>-</v>
      </c>
      <c r="AR226" s="3" t="str">
        <f t="shared" si="106"/>
        <v>-</v>
      </c>
      <c r="AS226" s="3">
        <f t="shared" si="107"/>
        <v>1</v>
      </c>
      <c r="AT226" s="3">
        <f t="shared" si="108"/>
        <v>2</v>
      </c>
      <c r="AU226" s="3" t="str">
        <f t="shared" si="109"/>
        <v>-</v>
      </c>
      <c r="AV226" s="3" t="str">
        <f t="shared" si="110"/>
        <v>-</v>
      </c>
      <c r="AW226" s="3">
        <f t="shared" si="111"/>
        <v>20</v>
      </c>
      <c r="AX226" s="3">
        <f t="shared" si="112"/>
        <v>6</v>
      </c>
      <c r="AY226" s="3">
        <f t="shared" si="113"/>
        <v>1</v>
      </c>
      <c r="AZ226" s="3">
        <f>IF(ISERROR(LEN(VLOOKUP(A226,Seqs!A:E,2,FALSE))-AL226),"-",LEN(VLOOKUP(A226,Seqs!A:E,2,FALSE))-AL226)</f>
        <v>59</v>
      </c>
      <c r="BA226" s="35">
        <f t="shared" si="114"/>
        <v>29</v>
      </c>
      <c r="BB226" s="3">
        <f t="shared" si="115"/>
        <v>20</v>
      </c>
      <c r="BC226" s="3">
        <f t="shared" si="116"/>
        <v>29</v>
      </c>
      <c r="BD226" s="3">
        <f t="shared" si="117"/>
        <v>72</v>
      </c>
    </row>
    <row r="227" spans="1:57" s="3" customFormat="1" x14ac:dyDescent="0.2">
      <c r="A227" s="3" t="s">
        <v>377</v>
      </c>
      <c r="B227" s="3" t="str">
        <f>LOWER(VLOOKUP(A227,Xtal_Templ!A:B,2,FALSE))</f>
        <v>lpar1_human</v>
      </c>
      <c r="C227" s="3">
        <f>VLOOKUP($A227,'NonXtal_SegEnds_BW#'!$A:$Z,3,FALSE)+D227-50</f>
        <v>31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71" t="str">
        <f>VLOOKUP(A227,Classification!A:B,2,FALSE)</f>
        <v>A</v>
      </c>
      <c r="AN227" s="71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">
      <c r="A228" s="3" t="s">
        <v>443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71" t="str">
        <f>VLOOKUP(A228,Classification!A:B,2,FALSE)</f>
        <v>A</v>
      </c>
      <c r="AN228" s="71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">
      <c r="A229" s="3" t="s">
        <v>297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71" t="str">
        <f>VLOOKUP(A229,Classification!A:B,2,FALSE)</f>
        <v>A</v>
      </c>
      <c r="AN229" s="71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">
      <c r="A230" s="3" t="s">
        <v>480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71" t="str">
        <f>VLOOKUP(A230,Classification!A:B,2,FALSE)</f>
        <v>A</v>
      </c>
      <c r="AN230" s="71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">
      <c r="A231" s="3" t="s">
        <v>481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71" t="str">
        <f>VLOOKUP(A231,Classification!A:B,2,FALSE)</f>
        <v>A</v>
      </c>
      <c r="AN231" s="71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">
      <c r="A232" s="3" t="s">
        <v>410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71" t="str">
        <f>VLOOKUP(A232,Classification!A:B,2,FALSE)</f>
        <v>A</v>
      </c>
      <c r="AN232" s="71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">
      <c r="A233" s="3" t="s">
        <v>504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71" t="str">
        <f>VLOOKUP(A233,Classification!A:B,2,FALSE)</f>
        <v>A</v>
      </c>
      <c r="AN233" s="71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">
      <c r="A234" s="3" t="s">
        <v>1110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71" t="str">
        <f>VLOOKUP(A234,Classification!A:B,2,FALSE)</f>
        <v>A</v>
      </c>
      <c r="AN234" s="71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">
      <c r="A235" s="3" t="s">
        <v>321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71" t="str">
        <f>VLOOKUP(A235,Classification!A:B,2,FALSE)</f>
        <v>A</v>
      </c>
      <c r="AN235" s="71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">
      <c r="A236" s="3" t="s">
        <v>512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71" t="str">
        <f>VLOOKUP(A236,Classification!A:B,2,FALSE)</f>
        <v>A</v>
      </c>
      <c r="AN236" s="71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">
      <c r="A237" s="3" t="s">
        <v>450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71" t="str">
        <f>VLOOKUP(A237,Classification!A:B,2,FALSE)</f>
        <v>A</v>
      </c>
      <c r="AN237" s="71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">
      <c r="A238" s="3" t="s">
        <v>513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71" t="str">
        <f>VLOOKUP(A238,Classification!A:B,2,FALSE)</f>
        <v>A</v>
      </c>
      <c r="AN238" s="71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">
      <c r="A239" s="3" t="s">
        <v>403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71" t="str">
        <f>VLOOKUP(A239,Classification!A:B,2,FALSE)</f>
        <v>A</v>
      </c>
      <c r="AN239" s="71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">
      <c r="A240" s="3" t="s">
        <v>524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71" t="str">
        <f>VLOOKUP(A240,Classification!A:B,2,FALSE)</f>
        <v>A</v>
      </c>
      <c r="AN240" s="71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">
      <c r="A241" s="3" t="s">
        <v>556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71" t="str">
        <f>VLOOKUP(A241,Classification!A:B,2,FALSE)</f>
        <v>A</v>
      </c>
      <c r="AN241" s="71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">
      <c r="A242" s="3" t="s">
        <v>418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71" t="str">
        <f>VLOOKUP(A242,Classification!A:B,2,FALSE)</f>
        <v>A</v>
      </c>
      <c r="AN242" s="71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">
      <c r="A243" s="3" t="s">
        <v>462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71" t="str">
        <f>VLOOKUP(A243,Classification!A:B,2,FALSE)</f>
        <v>A</v>
      </c>
      <c r="AN243" s="71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">
      <c r="A244" s="3" t="s">
        <v>529</v>
      </c>
      <c r="B244" s="3" t="str">
        <f>LOWER(VLOOKUP(A244,Xtal_Templ!A:B,2,FALSE))</f>
        <v>oprd_human</v>
      </c>
      <c r="C244" s="3">
        <f>VLOOKUP($A244,'NonXtal_SegEnds_BW#'!$A:$Z,3,FALSE)+D244-50</f>
        <v>39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71" t="str">
        <f>VLOOKUP(A244,Classification!A:B,2,FALSE)</f>
        <v>A</v>
      </c>
      <c r="AN244" s="71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3" customFormat="1" x14ac:dyDescent="0.2">
      <c r="A245" s="3" t="s">
        <v>1112</v>
      </c>
      <c r="B245" s="3" t="str">
        <f>LOWER(VLOOKUP(A245,Xtal_Templ!A:B,2,FALSE))</f>
        <v>oprd_mouse</v>
      </c>
      <c r="C245" s="3">
        <f>VLOOKUP($A245,'NonXtal_SegEnds_BW#'!$A:$Z,3,FALSE)+D245-50</f>
        <v>41</v>
      </c>
      <c r="D245" s="3">
        <v>67</v>
      </c>
      <c r="E245" s="3">
        <f>IF(ISERROR(VLOOKUP($A245,'NonXtal_SegEnds_BW#'!$A:$Z,4,FALSE)+VLOOKUP($A245,A:AL,4,FALSE)-50),"-",(VLOOKUP($A245,'NonXtal_SegEnds_BW#'!$A:$Z,4,FALSE)+VLOOKUP($A245,A:AL,4,FALSE)-50))</f>
        <v>77</v>
      </c>
      <c r="F245" s="3">
        <f>G245-2</f>
        <v>78</v>
      </c>
      <c r="G245" s="3">
        <v>80</v>
      </c>
      <c r="H245" s="3">
        <f t="shared" si="127"/>
        <v>81</v>
      </c>
      <c r="I245" s="3">
        <f t="shared" si="127"/>
        <v>82</v>
      </c>
      <c r="J245" s="3">
        <v>95</v>
      </c>
      <c r="K245" s="3">
        <f>VLOOKUP($A245,'NonXtal_SegEnds_BW#'!$A:$Z,8,FALSE)+VLOOKUP($A245,A:AL,10,FALSE)-50</f>
        <v>111</v>
      </c>
      <c r="L245" s="3">
        <f>IF(ISERROR(VLOOKUP($A245,'NonXtal_SegEnds_BW#'!$A:$Z,9,FALSE)+VLOOKUP($A245,A:AL,13,FALSE)-50),"-",(VLOOKUP($A245,'NonXtal_SegEnds_BW#'!$A:$Z,9,FALSE)+VLOOKUP($A245,A:AL,13,FALSE)-50))</f>
        <v>113</v>
      </c>
      <c r="M245" s="3">
        <v>114</v>
      </c>
      <c r="N245" s="3">
        <f>IF(ISERROR(VLOOKUP($A245,'NonXtal_SegEnds_BW#'!$A:$Z,10,FALSE)+VLOOKUP($A245,A:AL,13,FALSE)-50),"-",(VLOOKUP($A245,'NonXtal_SegEnds_BW#'!$A:$Z,10,FALSE)+VLOOKUP($A245,A:AL,13,FALSE)-50))</f>
        <v>116</v>
      </c>
      <c r="O245" s="3">
        <f t="shared" si="126"/>
        <v>117</v>
      </c>
      <c r="P245" s="3">
        <v>146</v>
      </c>
      <c r="Q245" s="3">
        <f>VLOOKUP($A245,'NonXtal_SegEnds_BW#'!$A:$Z,12,FALSE)+VLOOKUP($A245,A:AL,16,FALSE)-50</f>
        <v>152</v>
      </c>
      <c r="R245" s="3">
        <f>IF(ISERROR(VLOOKUP($A245,'NonXtal_SegEnds_BW#'!$A:$Z,13,FALSE)+VLOOKUP($A245,A:AL,19,FALSE)-50),"-",VLOOKUP($A245,'NonXtal_SegEnds_BW#'!$A:$Z,13,FALSE)+VLOOKUP($A245,A:AL,19,FALSE)-50)</f>
        <v>153</v>
      </c>
      <c r="S245" s="3">
        <v>153</v>
      </c>
      <c r="T245" s="3">
        <f>IF(ISERROR(VLOOKUP($A245,'NonXtal_SegEnds_BW#'!$A:$Z,14,FALSE)+VLOOKUP($A245,A:AL,19,FALSE)-50),"-",(VLOOKUP($A245,'NonXtal_SegEnds_BW#'!$A:$Z,14,FALSE)+VLOOKUP($A245,A:AL,19,FALSE)-50))</f>
        <v>160</v>
      </c>
      <c r="U245" s="3">
        <f>IF(ISERROR(VLOOKUP($A245,'NonXtal_SegEnds_BW#'!$A:$Z,15,FALSE)+VLOOKUP($A245,A:AL,22,FALSE)-50),"-",VLOOKUP($A245,'NonXtal_SegEnds_BW#'!$A:$Z,15,FALSE)+VLOOKUP($A245,A:AL,22,FALSE)-50)</f>
        <v>162</v>
      </c>
      <c r="V245" s="3">
        <v>173</v>
      </c>
      <c r="W245" s="3">
        <f>IF(ISERROR(VLOOKUP($A245,'NonXtal_SegEnds_BW#'!$A:$Z,16,FALSE)+VLOOKUP($A245,A:AL,22,FALSE)-50),"-",(VLOOKUP($A245,'NonXtal_SegEnds_BW#'!$A:$Z,16,FALSE)+VLOOKUP($A245,A:AL,22,FALSE)-50))</f>
        <v>187</v>
      </c>
      <c r="X245" s="3">
        <f>IF(ISERROR(VLOOKUP($A245,'NonXtal_SegEnds_BW#'!$A:$Z,17,FALSE)+VLOOKUP($A245,A:AL,25,FALSE)-50),"-",(VLOOKUP($A245,'NonXtal_SegEnds_BW#'!$A:$Z,17,FALSE)+VLOOKUP($A245,A:AL,25,FALSE)-50))</f>
        <v>198</v>
      </c>
      <c r="Y245" s="3">
        <v>198</v>
      </c>
      <c r="Z245" s="3">
        <f t="shared" si="128"/>
        <v>200</v>
      </c>
      <c r="AA245" s="3">
        <f>IF(ISERROR(VLOOKUP($A245,'NonXtal_SegEnds_BW#'!$A:$Z,19,FALSE)+VLOOKUP($A245,A:AL,28,FALSE)-50),"-",(VLOOKUP($A245,'NonXtal_SegEnds_BW#'!$A:$Z,19,FALSE)+VLOOKUP($A245,A:AL,28,FALSE)-50))</f>
        <v>206</v>
      </c>
      <c r="AB245" s="3">
        <v>225</v>
      </c>
      <c r="AC245" s="3">
        <f>IF(ISERROR((VLOOKUP($A245,'NonXtal_SegEnds_BW#'!$A:$Z,20,FALSE)+VLOOKUP($A245,A:AL,28,FALSE)-50)),"-",(VLOOKUP($A245,'NonXtal_SegEnds_BW#'!$A:$Z,20,FALSE)+VLOOKUP($A245,A:AL,28,FALSE)-50))</f>
        <v>243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276</v>
      </c>
      <c r="AF245" s="3">
        <f>IF(ISERROR((VLOOKUP($A245,'NonXtal_SegEnds_BW#'!$A:$Z,22,FALSE)+VLOOKUP($A245,A:AL,31,FALSE)-50)),"-",(VLOOKUP($A245,'NonXtal_SegEnds_BW#'!$A:$Z,22,FALSE)+VLOOKUP($A245,A:AL,31,FALSE)-50))</f>
        <v>287</v>
      </c>
      <c r="AG245" s="3">
        <f>IF(ISERROR(VLOOKUP($A245,'NonXtal_SegEnds_BW#'!$A:$Z,23,FALSE)+VLOOKUP($A245,A:AL,34,FALSE)-50),"-",(VLOOKUP($A245,'NonXtal_SegEnds_BW#'!$A:$Z,23,FALSE)+VLOOKUP($A245,A:AL,34,FALSE)-50))</f>
        <v>293</v>
      </c>
      <c r="AH245" s="3">
        <v>315</v>
      </c>
      <c r="AI245" s="3">
        <f>IF(ISERROR((VLOOKUP($A245,'NonXtal_SegEnds_BW#'!$A:$Z,24,FALSE)+VLOOKUP($A245,A:AL,34,FALSE)-50)),"-",(VLOOKUP($A245,'NonXtal_SegEnds_BW#'!$A:$Z,24,FALSE)+VLOOKUP($A245,A:AL,34,FALSE)-50))</f>
        <v>321</v>
      </c>
      <c r="AJ245" s="3">
        <f>IF(ISERROR(VLOOKUP($A245,'NonXtal_SegEnds_BW#'!$A:$Z,25,FALSE)+VLOOKUP($A245,A:AL,37,FALSE)-50),"-",(VLOOKUP($A245,'NonXtal_SegEnds_BW#'!$A:$Z,25,FALSE)+VLOOKUP($A245,A:AL,37,FALSE)-50))</f>
        <v>322</v>
      </c>
      <c r="AK245" s="3">
        <v>325</v>
      </c>
      <c r="AL245" s="3">
        <f>IF(ISERROR((VLOOKUP($A245,'NonXtal_SegEnds_BW#'!$A:$Z,26,FALSE)+VLOOKUP($A245,A:AL,37,FALSE)-50)),"-",(VLOOKUP($A245,'NonXtal_SegEnds_BW#'!$A:$Z,26,FALSE)+VLOOKUP($A245,A:AL,37,FALSE)-50))</f>
        <v>335</v>
      </c>
      <c r="AM245" s="71" t="str">
        <f>VLOOKUP(A245,Classification!A:B,2,FALSE)</f>
        <v>A</v>
      </c>
      <c r="AN245" s="71" t="b">
        <f t="shared" si="102"/>
        <v>1</v>
      </c>
      <c r="AO245" s="3">
        <f t="shared" si="103"/>
        <v>1</v>
      </c>
      <c r="AP245" s="3">
        <f t="shared" si="104"/>
        <v>1</v>
      </c>
      <c r="AQ245" s="3">
        <f t="shared" si="105"/>
        <v>2</v>
      </c>
      <c r="AR245" s="3">
        <f t="shared" si="106"/>
        <v>1</v>
      </c>
      <c r="AS245" s="3">
        <f t="shared" si="107"/>
        <v>1</v>
      </c>
      <c r="AT245" s="3">
        <f t="shared" si="108"/>
        <v>2</v>
      </c>
      <c r="AU245" s="3">
        <f t="shared" si="109"/>
        <v>11</v>
      </c>
      <c r="AV245" s="3">
        <f t="shared" si="110"/>
        <v>6</v>
      </c>
      <c r="AW245" s="3">
        <f t="shared" si="111"/>
        <v>6</v>
      </c>
      <c r="AX245" s="3">
        <f t="shared" si="112"/>
        <v>6</v>
      </c>
      <c r="AY245" s="3">
        <f t="shared" si="113"/>
        <v>1</v>
      </c>
      <c r="AZ245" s="3">
        <f>IF(ISERROR(LEN(VLOOKUP(A245,Seqs!A:E,2,FALSE))-AL245),"-",LEN(VLOOKUP(A245,Seqs!A:E,2,FALSE))-AL245)</f>
        <v>37</v>
      </c>
      <c r="BA245" s="35">
        <f t="shared" si="114"/>
        <v>28</v>
      </c>
      <c r="BB245" s="3">
        <f t="shared" si="115"/>
        <v>20</v>
      </c>
      <c r="BC245" s="3">
        <f t="shared" si="116"/>
        <v>28</v>
      </c>
      <c r="BD245" s="3">
        <f t="shared" si="117"/>
        <v>51</v>
      </c>
    </row>
    <row r="246" spans="1:57" s="3" customFormat="1" x14ac:dyDescent="0.2">
      <c r="A246" s="3" t="s">
        <v>578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71" t="str">
        <f>VLOOKUP(A246,Classification!A:B,2,FALSE)</f>
        <v>A</v>
      </c>
      <c r="AN246" s="71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">
      <c r="A247" s="3" t="s">
        <v>515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71" t="str">
        <f>VLOOKUP(A247,Classification!A:B,2,FALSE)</f>
        <v>A</v>
      </c>
      <c r="AN247" s="71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">
      <c r="A248" s="3" t="s">
        <v>494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71" t="str">
        <f>VLOOKUP(A248,Classification!A:B,2,FALSE)</f>
        <v>A</v>
      </c>
      <c r="AN248" s="71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">
      <c r="A249" s="3" t="s">
        <v>554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71" t="str">
        <f>VLOOKUP(A249,Classification!A:B,2,FALSE)</f>
        <v>A</v>
      </c>
      <c r="AN249" s="71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">
      <c r="A250" s="3" t="s">
        <v>502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71" t="str">
        <f>VLOOKUP(A250,Classification!A:B,2,FALSE)</f>
        <v>A</v>
      </c>
      <c r="AN250" s="71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">
      <c r="A251" s="3" t="s">
        <v>536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71" t="str">
        <f>VLOOKUP(A251,Classification!A:B,2,FALSE)</f>
        <v>A</v>
      </c>
      <c r="AN251" s="71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">
      <c r="A252" s="3" t="s">
        <v>530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71" t="str">
        <f>VLOOKUP(A252,Classification!A:B,2,FALSE)</f>
        <v>A</v>
      </c>
      <c r="AN252" s="71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">
      <c r="A253" s="3" t="s">
        <v>394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71" t="str">
        <f>VLOOKUP(A253,Classification!A:B,2,FALSE)</f>
        <v>A</v>
      </c>
      <c r="AN253" s="71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">
      <c r="A254" s="3" t="s">
        <v>445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71" t="str">
        <f>VLOOKUP(A254,Classification!A:B,2,FALSE)</f>
        <v>A</v>
      </c>
      <c r="AN254" s="71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">
      <c r="A255" s="3" t="s">
        <v>358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71" t="str">
        <f>VLOOKUP(A255,Classification!A:B,2,FALSE)</f>
        <v>A</v>
      </c>
      <c r="AN255" s="71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">
      <c r="A256" s="3" t="s">
        <v>661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71" t="str">
        <f>VLOOKUP(A256,Classification!A:B,2,FALSE)</f>
        <v>T</v>
      </c>
      <c r="AN256" s="71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">
      <c r="A257" s="3" t="s">
        <v>531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71" t="str">
        <f>VLOOKUP(A257,Classification!A:B,2,FALSE)</f>
        <v>A</v>
      </c>
      <c r="AN257" s="71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">
      <c r="A258" s="3" t="s">
        <v>1114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71" t="str">
        <f>VLOOKUP(A258,Classification!A:B,2,FALSE)</f>
        <v>A</v>
      </c>
      <c r="AN258" s="71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">
      <c r="A259" s="3" t="s">
        <v>575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71" t="str">
        <f>VLOOKUP(A259,Classification!A:B,2,FALSE)</f>
        <v>A</v>
      </c>
      <c r="AN259" s="71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">
      <c r="A260" s="3" t="s">
        <v>591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71" t="str">
        <f>VLOOKUP(A260,Classification!A:B,2,FALSE)</f>
        <v>A</v>
      </c>
      <c r="AN260" s="71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">
      <c r="A261" s="3" t="s">
        <v>404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71" t="str">
        <f>VLOOKUP(A261,Classification!A:B,2,FALSE)</f>
        <v>A</v>
      </c>
      <c r="AN261" s="71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">
      <c r="A262" s="3" t="s">
        <v>576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71" t="str">
        <f>VLOOKUP(A262,Classification!A:B,2,FALSE)</f>
        <v>A</v>
      </c>
      <c r="AN262" s="71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">
      <c r="A263" s="3" t="s">
        <v>399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71" t="str">
        <f>VLOOKUP(A263,Classification!A:B,2,FALSE)</f>
        <v>A</v>
      </c>
      <c r="AN263" s="71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">
      <c r="A264" s="3" t="s">
        <v>579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71" t="str">
        <f>VLOOKUP(A264,Classification!A:B,2,FALSE)</f>
        <v>A</v>
      </c>
      <c r="AN264" s="71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">
      <c r="A265" s="3" t="s">
        <v>400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71" t="str">
        <f>VLOOKUP(A265,Classification!A:B,2,FALSE)</f>
        <v>A</v>
      </c>
      <c r="AN265" s="71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">
      <c r="A266" s="3" t="s">
        <v>401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71" t="str">
        <f>VLOOKUP(A266,Classification!A:B,2,FALSE)</f>
        <v>A</v>
      </c>
      <c r="AN266" s="71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">
      <c r="A267" s="3" t="s">
        <v>412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71" t="str">
        <f>VLOOKUP(A267,Classification!A:B,2,FALSE)</f>
        <v>A</v>
      </c>
      <c r="AN267" s="71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">
      <c r="A268" s="3" t="s">
        <v>493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71" t="str">
        <f>VLOOKUP(A268,Classification!A:B,2,FALSE)</f>
        <v>A</v>
      </c>
      <c r="AN268" s="71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">
      <c r="A269" s="3" t="s">
        <v>1393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71" t="str">
        <f>VLOOKUP(A269,Classification!A:B,2,FALSE)</f>
        <v>A</v>
      </c>
      <c r="AN269" s="71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">
      <c r="A270" s="3" t="s">
        <v>590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71" t="str">
        <f>VLOOKUP(A270,Classification!A:B,2,FALSE)</f>
        <v>A</v>
      </c>
      <c r="AN270" s="71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">
      <c r="A271" s="3" t="s">
        <v>593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71" t="str">
        <f>VLOOKUP(A271,Classification!A:B,2,FALSE)</f>
        <v>A</v>
      </c>
      <c r="AN271" s="71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">
      <c r="A272" s="3" t="s">
        <v>476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71" t="str">
        <f>VLOOKUP(A272,Classification!A:B,2,FALSE)</f>
        <v>A</v>
      </c>
      <c r="AN272" s="71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">
      <c r="A273" s="3" t="s">
        <v>577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71" t="str">
        <f>VLOOKUP(A273,Classification!A:B,2,FALSE)</f>
        <v>A</v>
      </c>
      <c r="AN273" s="71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">
      <c r="A274" s="3" t="s">
        <v>514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71" t="str">
        <f>VLOOKUP(A274,Classification!A:B,2,FALSE)</f>
        <v>A</v>
      </c>
      <c r="AN274" s="71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">
      <c r="A275" s="3" t="s">
        <v>592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71" t="str">
        <f>VLOOKUP(A275,Classification!A:B,2,FALSE)</f>
        <v>A</v>
      </c>
      <c r="AN275" s="71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">
      <c r="A276" s="3" t="s">
        <v>588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71" t="str">
        <f>VLOOKUP(A276,Classification!A:B,2,FALSE)</f>
        <v>A</v>
      </c>
      <c r="AN276" s="71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">
      <c r="A277" s="3" t="s">
        <v>411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71" t="str">
        <f>VLOOKUP(A277,Classification!A:B,2,FALSE)</f>
        <v>A</v>
      </c>
      <c r="AN277" s="71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">
      <c r="A278" s="3" t="s">
        <v>527</v>
      </c>
      <c r="B278" s="3" t="s">
        <v>1116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71" t="str">
        <f>VLOOKUP(A278,Classification!A:B,2,FALSE)</f>
        <v>A</v>
      </c>
      <c r="AN278" s="71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">
      <c r="A279" s="3" t="s">
        <v>526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71" t="str">
        <f>VLOOKUP(A279,Classification!A:B,2,FALSE)</f>
        <v>A</v>
      </c>
      <c r="AN279" s="71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">
      <c r="A280" s="3" t="s">
        <v>1116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71" t="str">
        <f>VLOOKUP(A280,Classification!A:B,2,FALSE)</f>
        <v>A</v>
      </c>
      <c r="AN280" s="71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">
      <c r="A281" s="3" t="s">
        <v>528</v>
      </c>
      <c r="B281" s="3" t="s">
        <v>1116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71" t="str">
        <f>VLOOKUP(A281,Classification!A:B,2,FALSE)</f>
        <v>A</v>
      </c>
      <c r="AN281" s="71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">
      <c r="A282" s="3" t="s">
        <v>669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71" t="str">
        <f>VLOOKUP(A282,Classification!A:B,2,FALSE)</f>
        <v>T</v>
      </c>
      <c r="AN282" s="71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">
      <c r="A283" s="3" t="s">
        <v>479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71" t="str">
        <f>VLOOKUP(A283,Classification!A:B,2,FALSE)</f>
        <v>A</v>
      </c>
      <c r="AN283" s="71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">
      <c r="A284" s="3" t="s">
        <v>534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71" t="str">
        <f>VLOOKUP(A284,Classification!A:B,2,FALSE)</f>
        <v>A</v>
      </c>
      <c r="AN284" s="71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">
      <c r="A285" s="3" t="s">
        <v>535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71" t="str">
        <f>VLOOKUP(A285,Classification!A:B,2,FALSE)</f>
        <v>A</v>
      </c>
      <c r="AN285" s="71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">
      <c r="A286" s="3" t="s">
        <v>533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71" t="str">
        <f>VLOOKUP(A286,Classification!A:B,2,FALSE)</f>
        <v>A</v>
      </c>
      <c r="AN286" s="71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">
      <c r="A287" s="3" t="s">
        <v>532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71" t="str">
        <f>VLOOKUP(A287,Classification!A:B,2,FALSE)</f>
        <v>A</v>
      </c>
      <c r="AN287" s="71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">
      <c r="A288" s="3" t="s">
        <v>1118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v>239</v>
      </c>
      <c r="AD288" s="3">
        <v>244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71" t="str">
        <f>VLOOKUP(A288,Classification!A:B,2,FALSE)</f>
        <v>A</v>
      </c>
      <c r="AN288" s="71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5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">
      <c r="A289" s="3" t="s">
        <v>517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71" t="str">
        <f>VLOOKUP(A289,Classification!A:B,2,FALSE)</f>
        <v>A</v>
      </c>
      <c r="AN289" s="71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">
      <c r="A290" s="3" t="s">
        <v>409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71" t="str">
        <f>VLOOKUP(A290,Classification!A:B,2,FALSE)</f>
        <v>A</v>
      </c>
      <c r="AN290" s="71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">
      <c r="A291" s="3" t="s">
        <v>416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71" t="str">
        <f>VLOOKUP(A291,Classification!A:B,2,FALSE)</f>
        <v>A</v>
      </c>
      <c r="AN291" s="71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">
      <c r="A292" s="3" t="s">
        <v>520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71" t="str">
        <f>VLOOKUP(A292,Classification!A:B,2,FALSE)</f>
        <v>A</v>
      </c>
      <c r="AN292" s="71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">
      <c r="A293" s="3" t="s">
        <v>1394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v>248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71" t="str">
        <f>VLOOKUP(A293,Classification!A:B,2,FALSE)</f>
        <v>A</v>
      </c>
      <c r="AN293" s="71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35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">
      <c r="A294" s="3" t="s">
        <v>426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71" t="str">
        <f>VLOOKUP(A294,Classification!A:B,2,FALSE)</f>
        <v>A</v>
      </c>
      <c r="AN294" s="71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">
      <c r="A295" s="3" t="s">
        <v>538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71" t="str">
        <f>VLOOKUP(A295,Classification!A:B,2,FALSE)</f>
        <v>A</v>
      </c>
      <c r="AN295" s="71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">
      <c r="A296" s="3" t="s">
        <v>509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71" t="str">
        <f>VLOOKUP(A296,Classification!A:B,2,FALSE)</f>
        <v>A</v>
      </c>
      <c r="AN296" s="71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" customHeight="1" x14ac:dyDescent="0.2">
      <c r="A297" s="3" t="s">
        <v>464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71" t="str">
        <f>VLOOKUP(A297,Classification!A:B,2,FALSE)</f>
        <v>A</v>
      </c>
      <c r="AN297" s="71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">
      <c r="A298" s="3" t="s">
        <v>461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71" t="str">
        <f>VLOOKUP(A298,Classification!A:B,2,FALSE)</f>
        <v>A</v>
      </c>
      <c r="AN298" s="71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">
      <c r="A299" s="3" t="s">
        <v>523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71" t="str">
        <f>VLOOKUP(A299,Classification!A:B,2,FALSE)</f>
        <v>A</v>
      </c>
      <c r="AN299" s="71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1533</v>
      </c>
    </row>
    <row r="300" spans="1:58" s="3" customFormat="1" x14ac:dyDescent="0.2">
      <c r="A300" s="3" t="s">
        <v>654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71" t="str">
        <f>VLOOKUP(A300,Classification!A:B,2,FALSE)</f>
        <v>T</v>
      </c>
      <c r="AN300" s="71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">
      <c r="A301" s="3" t="s">
        <v>510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71" t="str">
        <f>VLOOKUP(A301,Classification!A:B,2,FALSE)</f>
        <v>A</v>
      </c>
      <c r="AN301" s="71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">
      <c r="A302" s="3" t="s">
        <v>463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71" t="str">
        <f>VLOOKUP(A302,Classification!A:B,2,FALSE)</f>
        <v>A</v>
      </c>
      <c r="AN302" s="71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">
      <c r="A303" s="3" t="s">
        <v>561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71" t="str">
        <f>VLOOKUP(A303,Classification!A:B,2,FALSE)</f>
        <v>A</v>
      </c>
      <c r="AN303" s="71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">
      <c r="A304" s="3" t="s">
        <v>563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71" t="str">
        <f>VLOOKUP(A304,Classification!A:B,2,FALSE)</f>
        <v>A</v>
      </c>
      <c r="AN304" s="71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">
      <c r="A305" s="3" t="s">
        <v>436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71" t="str">
        <f>VLOOKUP(A305,Classification!A:B,2,FALSE)</f>
        <v>A</v>
      </c>
      <c r="AN305" s="71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">
      <c r="A306" s="3" t="s">
        <v>1395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v>256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71" t="str">
        <f>VLOOKUP(A306,Classification!A:B,2,FALSE)</f>
        <v>A</v>
      </c>
      <c r="AN306" s="71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33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">
      <c r="A307" s="3" t="s">
        <v>562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71" t="str">
        <f>VLOOKUP(A307,Classification!A:B,2,FALSE)</f>
        <v>A</v>
      </c>
      <c r="AN307" s="71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">
      <c r="A308" s="3" t="s">
        <v>402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71" t="str">
        <f>VLOOKUP(A308,Classification!A:B,2,FALSE)</f>
        <v>A</v>
      </c>
      <c r="AN308" s="71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">
      <c r="A309" s="3" t="s">
        <v>357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71" t="str">
        <f>VLOOKUP(A309,Classification!A:B,2,FALSE)</f>
        <v>A</v>
      </c>
      <c r="AN309" s="71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">
      <c r="A310" s="3" t="s">
        <v>516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71" t="str">
        <f>VLOOKUP(A310,Classification!A:B,2,FALSE)</f>
        <v>A</v>
      </c>
      <c r="AN310" s="71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">
      <c r="A311" s="3" t="s">
        <v>521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71" t="str">
        <f>VLOOKUP(A311,Classification!A:B,2,FALSE)</f>
        <v>A</v>
      </c>
      <c r="AN311" s="71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">
      <c r="A312" s="3" t="s">
        <v>566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71" t="str">
        <f>VLOOKUP(A312,Classification!A:B,2,FALSE)</f>
        <v>A</v>
      </c>
      <c r="AN312" s="71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">
      <c r="A313" s="3" t="s">
        <v>519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71" t="str">
        <f>VLOOKUP(A313,Classification!A:B,2,FALSE)</f>
        <v>A</v>
      </c>
      <c r="AN313" s="71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">
      <c r="A314" s="3" t="s">
        <v>522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71" t="str">
        <f>VLOOKUP(A314,Classification!A:B,2,FALSE)</f>
        <v>A</v>
      </c>
      <c r="AN314" s="71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">
      <c r="A315" s="3" t="s">
        <v>518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71" t="str">
        <f>VLOOKUP(A315,Classification!A:B,2,FALSE)</f>
        <v>A</v>
      </c>
      <c r="AN315" s="71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">
      <c r="A316" s="3" t="s">
        <v>361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71" t="str">
        <f>VLOOKUP(A316,Classification!A:B,2,FALSE)</f>
        <v>A</v>
      </c>
      <c r="AN316" s="71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">
      <c r="A317" s="3" t="s">
        <v>454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71" t="str">
        <f>VLOOKUP(A317,Classification!A:B,2,FALSE)</f>
        <v>A</v>
      </c>
      <c r="AN317" s="71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">
      <c r="A318" s="3" t="s">
        <v>506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71" t="str">
        <f>VLOOKUP(A318,Classification!A:B,2,FALSE)</f>
        <v>A</v>
      </c>
      <c r="AN318" s="71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">
      <c r="A319" s="3" t="s">
        <v>417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71" t="str">
        <f>VLOOKUP(A319,Classification!A:B,2,FALSE)</f>
        <v>A</v>
      </c>
      <c r="AN319" s="71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">
      <c r="A320" s="3" t="s">
        <v>553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71" t="str">
        <f>VLOOKUP(A320,Classification!A:B,2,FALSE)</f>
        <v>A</v>
      </c>
      <c r="AN320" s="71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">
      <c r="A321" s="3" t="s">
        <v>438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71" t="str">
        <f>VLOOKUP(A321,Classification!A:B,2,FALSE)</f>
        <v>A</v>
      </c>
      <c r="AN321" s="71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">
      <c r="A322" s="3" t="s">
        <v>508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71" t="str">
        <f>VLOOKUP(A322,Classification!A:B,2,FALSE)</f>
        <v>A</v>
      </c>
      <c r="AN322" s="71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">
      <c r="A323" s="3" t="s">
        <v>507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71" t="str">
        <f>VLOOKUP(A323,Classification!A:B,2,FALSE)</f>
        <v>A</v>
      </c>
      <c r="AN323" s="71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">
      <c r="A324" s="3" t="s">
        <v>419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71" t="str">
        <f>VLOOKUP(A324,Classification!A:B,2,FALSE)</f>
        <v>A</v>
      </c>
      <c r="AN324" s="71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">
      <c r="A325" s="3" t="s">
        <v>441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71" t="str">
        <f>VLOOKUP(A325,Classification!A:B,2,FALSE)</f>
        <v>A</v>
      </c>
      <c r="AN325" s="71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">
      <c r="A326" s="3" t="s">
        <v>488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71" t="str">
        <f>VLOOKUP(A326,Classification!A:B,2,FALSE)</f>
        <v>A</v>
      </c>
      <c r="AN326" s="71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">
      <c r="A327" s="3" t="s">
        <v>489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71" t="str">
        <f>VLOOKUP(A327,Classification!A:B,2,FALSE)</f>
        <v>A</v>
      </c>
      <c r="AN327" s="71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">
      <c r="A328" s="3" t="s">
        <v>495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71" t="str">
        <f>VLOOKUP(A328,Classification!A:B,2,FALSE)</f>
        <v>A</v>
      </c>
      <c r="AN328" s="71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">
      <c r="A329" s="3" t="s">
        <v>497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71" t="str">
        <f>VLOOKUP(A329,Classification!A:B,2,FALSE)</f>
        <v>A</v>
      </c>
      <c r="AN329" s="71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">
      <c r="A330" s="3" t="s">
        <v>499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71" t="str">
        <f>VLOOKUP(A330,Classification!A:B,2,FALSE)</f>
        <v>A</v>
      </c>
      <c r="AN330" s="71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">
      <c r="A331" s="3" t="s">
        <v>653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71" t="str">
        <f>VLOOKUP(A331,Classification!A:B,2,FALSE)</f>
        <v>T</v>
      </c>
      <c r="AN331" s="71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">
      <c r="A332" s="3" t="s">
        <v>434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71" t="str">
        <f>VLOOKUP(A332,Classification!A:B,2,FALSE)</f>
        <v>A</v>
      </c>
      <c r="AN332" s="71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">
      <c r="A333" s="3" t="s">
        <v>539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71" t="str">
        <f>VLOOKUP(A333,Classification!A:B,2,FALSE)</f>
        <v>A</v>
      </c>
      <c r="AN333" s="71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">
      <c r="A334" s="3" t="s">
        <v>545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71" t="str">
        <f>VLOOKUP(A334,Classification!A:B,2,FALSE)</f>
        <v>A</v>
      </c>
      <c r="AN334" s="71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">
      <c r="A335" s="3" t="s">
        <v>482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71" t="str">
        <f>VLOOKUP(A335,Classification!A:B,2,FALSE)</f>
        <v>A</v>
      </c>
      <c r="AN335" s="71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">
      <c r="A336" s="3" t="s">
        <v>374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71" t="str">
        <f>VLOOKUP(A336,Classification!A:B,2,FALSE)</f>
        <v>A</v>
      </c>
      <c r="AN336" s="71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">
      <c r="A337" s="3" t="s">
        <v>408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71" t="str">
        <f>VLOOKUP(A337,Classification!A:B,2,FALSE)</f>
        <v>A</v>
      </c>
      <c r="AN337" s="71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">
      <c r="A338" s="3" t="s">
        <v>541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71" t="str">
        <f>VLOOKUP(A338,Classification!A:B,2,FALSE)</f>
        <v>A</v>
      </c>
      <c r="AN338" s="71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">
      <c r="A339" s="3" t="s">
        <v>537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71" t="str">
        <f>VLOOKUP(A339,Classification!A:B,2,FALSE)</f>
        <v>A</v>
      </c>
      <c r="AN339" s="71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">
      <c r="A340" s="3" t="s">
        <v>540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71" t="str">
        <f>VLOOKUP(A340,Classification!A:B,2,FALSE)</f>
        <v>A</v>
      </c>
      <c r="AN340" s="71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">
      <c r="A341" s="3" t="s">
        <v>544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71" t="str">
        <f>VLOOKUP(A341,Classification!A:B,2,FALSE)</f>
        <v>A</v>
      </c>
      <c r="AN341" s="71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">
      <c r="A342" s="3" t="s">
        <v>470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71" t="str">
        <f>VLOOKUP(A342,Classification!A:B,2,FALSE)</f>
        <v>A</v>
      </c>
      <c r="AN342" s="71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">
      <c r="A343" s="3" t="s">
        <v>471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71" t="str">
        <f>VLOOKUP(A343,Classification!A:B,2,FALSE)</f>
        <v>A</v>
      </c>
      <c r="AN343" s="71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">
      <c r="A344" s="3" t="s">
        <v>542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71" t="str">
        <f>VLOOKUP(A344,Classification!A:B,2,FALSE)</f>
        <v>A</v>
      </c>
      <c r="AN344" s="71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">
      <c r="A345" s="3" t="s">
        <v>483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71" t="str">
        <f>VLOOKUP(A345,Classification!A:B,2,FALSE)</f>
        <v>A</v>
      </c>
      <c r="AN345" s="71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">
      <c r="A346" s="3" t="s">
        <v>373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71" t="str">
        <f>VLOOKUP(A346,Classification!A:B,2,FALSE)</f>
        <v>A</v>
      </c>
      <c r="AN346" s="71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">
      <c r="A347" s="3" t="s">
        <v>435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71" t="str">
        <f>VLOOKUP(A347,Classification!A:B,2,FALSE)</f>
        <v>A</v>
      </c>
      <c r="AN347" s="71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">
      <c r="A348" s="3" t="s">
        <v>580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71" t="str">
        <f>VLOOKUP(A348,Classification!A:B,2,FALSE)</f>
        <v>A</v>
      </c>
      <c r="AN348" s="71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">
      <c r="A349" s="3" t="s">
        <v>564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71" t="str">
        <f>VLOOKUP(A349,Classification!A:B,2,FALSE)</f>
        <v>A</v>
      </c>
      <c r="AN349" s="71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">
      <c r="A350" s="3" t="s">
        <v>425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71" t="str">
        <f>VLOOKUP(A350,Classification!A:B,2,FALSE)</f>
        <v>A</v>
      </c>
      <c r="AN350" s="71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">
      <c r="A351" s="3" t="s">
        <v>451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71" t="str">
        <f>VLOOKUP(A351,Classification!A:B,2,FALSE)</f>
        <v>A</v>
      </c>
      <c r="AN351" s="71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">
      <c r="A352" s="3" t="s">
        <v>484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71" t="str">
        <f>VLOOKUP(A352,Classification!A:B,2,FALSE)</f>
        <v>A</v>
      </c>
      <c r="AN352" s="71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">
      <c r="A353" s="3" t="s">
        <v>469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71" t="str">
        <f>VLOOKUP(A353,Classification!A:B,2,FALSE)</f>
        <v>A</v>
      </c>
      <c r="AN353" s="71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">
      <c r="A354" s="3" t="s">
        <v>444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71" t="str">
        <f>VLOOKUP(A354,Classification!A:B,2,FALSE)</f>
        <v>A</v>
      </c>
      <c r="AN354" s="71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">
      <c r="A355" s="3" t="s">
        <v>501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71" t="str">
        <f>VLOOKUP(A355,Classification!A:B,2,FALSE)</f>
        <v>A</v>
      </c>
      <c r="AN355" s="71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">
      <c r="A356" s="3" t="s">
        <v>558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71" t="str">
        <f>VLOOKUP(A356,Classification!A:B,2,FALSE)</f>
        <v>A</v>
      </c>
      <c r="AN356" s="71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">
      <c r="A357" s="3" t="s">
        <v>677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71" t="str">
        <f>VLOOKUP(A357,Classification!A:B,2,FALSE)</f>
        <v>O</v>
      </c>
      <c r="AN357" s="71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">
      <c r="A358" s="3" t="s">
        <v>447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71" t="str">
        <f>VLOOKUP(A358,Classification!A:B,2,FALSE)</f>
        <v>A</v>
      </c>
      <c r="AN358" s="71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">
      <c r="A359" s="3" t="s">
        <v>547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71" t="str">
        <f>VLOOKUP(A359,Classification!A:B,2,FALSE)</f>
        <v>A</v>
      </c>
      <c r="AN359" s="71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">
      <c r="A360" s="3" t="s">
        <v>466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71" t="str">
        <f>VLOOKUP(A360,Classification!A:B,2,FALSE)</f>
        <v>A</v>
      </c>
      <c r="AN360" s="71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">
      <c r="A361" s="3" t="s">
        <v>559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71" t="str">
        <f>VLOOKUP(A361,Classification!A:B,2,FALSE)</f>
        <v>A</v>
      </c>
      <c r="AN361" s="71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">
      <c r="A362" s="3" t="s">
        <v>428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71" t="str">
        <f>VLOOKUP(A362,Classification!A:B,2,FALSE)</f>
        <v>A</v>
      </c>
      <c r="AN362" s="71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">
      <c r="A363" s="3" t="s">
        <v>546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71" t="str">
        <f>VLOOKUP(A363,Classification!A:B,2,FALSE)</f>
        <v>A</v>
      </c>
      <c r="AN363" s="71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" customHeight="1" x14ac:dyDescent="0.2">
      <c r="A364" s="3" t="s">
        <v>565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71" t="str">
        <f>VLOOKUP(A364,Classification!A:B,2,FALSE)</f>
        <v>A</v>
      </c>
      <c r="AN364" s="71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">
      <c r="A365" s="3" t="s">
        <v>548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71" t="str">
        <f>VLOOKUP(A365,Classification!A:B,2,FALSE)</f>
        <v>A</v>
      </c>
      <c r="AN365" s="71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">
      <c r="A366" s="3" t="s">
        <v>423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71" t="str">
        <f>VLOOKUP(A366,Classification!A:B,2,FALSE)</f>
        <v>A</v>
      </c>
      <c r="AN366" s="71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">
      <c r="A367" s="3" t="s">
        <v>437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71" t="str">
        <f>VLOOKUP(A367,Classification!A:B,2,FALSE)</f>
        <v>A</v>
      </c>
      <c r="AN367" s="71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">
      <c r="A368" s="3" t="s">
        <v>496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71" t="str">
        <f>VLOOKUP(A368,Classification!A:B,2,FALSE)</f>
        <v>A</v>
      </c>
      <c r="AN368" s="71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">
      <c r="A369" s="3" t="s">
        <v>549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71" t="str">
        <f>VLOOKUP(A369,Classification!A:B,2,FALSE)</f>
        <v>A</v>
      </c>
      <c r="AN369" s="71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">
      <c r="A370" s="3" t="s">
        <v>551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71" t="str">
        <f>VLOOKUP(A370,Classification!A:B,2,FALSE)</f>
        <v>A</v>
      </c>
      <c r="AN370" s="71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1534</v>
      </c>
    </row>
    <row r="371" spans="1:58" s="3" customFormat="1" x14ac:dyDescent="0.2">
      <c r="A371" s="3" t="s">
        <v>552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71" t="str">
        <f>VLOOKUP(A371,Classification!A:B,2,FALSE)</f>
        <v>A</v>
      </c>
      <c r="AN371" s="71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">
      <c r="A372" s="3" t="s">
        <v>550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71" t="str">
        <f>VLOOKUP(A372,Classification!A:B,2,FALSE)</f>
        <v>A</v>
      </c>
      <c r="AN372" s="71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">
      <c r="A373" s="3" t="s">
        <v>543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71" t="str">
        <f>VLOOKUP(A373,Classification!A:B,2,FALSE)</f>
        <v>A</v>
      </c>
      <c r="AN373" s="71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">
      <c r="A374" s="3" t="s">
        <v>393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71" t="str">
        <f>VLOOKUP(A374,Classification!A:B,2,FALSE)</f>
        <v>A</v>
      </c>
      <c r="AN374" s="71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">
      <c r="A375" s="3" t="s">
        <v>452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71" t="str">
        <f>VLOOKUP(A375,Classification!A:B,2,FALSE)</f>
        <v>A</v>
      </c>
      <c r="AN375" s="71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">
      <c r="A376" s="3" t="s">
        <v>455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71" t="str">
        <f>VLOOKUP(A376,Classification!A:B,2,FALSE)</f>
        <v>A</v>
      </c>
      <c r="AN376" s="71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">
      <c r="A377" s="3" t="s">
        <v>448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71" t="str">
        <f>VLOOKUP(A377,Classification!A:B,2,FALSE)</f>
        <v>A</v>
      </c>
      <c r="AN377" s="71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">
      <c r="A378" s="3" t="s">
        <v>345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71" t="str">
        <f>VLOOKUP(A378,Classification!A:B,2,FALSE)</f>
        <v>A</v>
      </c>
      <c r="AN378" s="71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">
      <c r="A379" s="3" t="s">
        <v>407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71" t="str">
        <f>VLOOKUP(A379,Classification!A:B,2,FALSE)</f>
        <v>A</v>
      </c>
      <c r="AN379" s="71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">
      <c r="A380" s="3" t="s">
        <v>432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71" t="str">
        <f>VLOOKUP(A380,Classification!A:B,2,FALSE)</f>
        <v>A</v>
      </c>
      <c r="AN380" s="71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">
      <c r="A381" s="3" t="s">
        <v>456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71" t="str">
        <f>VLOOKUP(A381,Classification!A:B,2,FALSE)</f>
        <v>A</v>
      </c>
      <c r="AN381" s="71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">
      <c r="A382" s="3" t="s">
        <v>490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71" t="str">
        <f>VLOOKUP(A382,Classification!A:B,2,FALSE)</f>
        <v>A</v>
      </c>
      <c r="AN382" s="71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">
      <c r="A383" s="3" t="s">
        <v>491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71" t="str">
        <f>VLOOKUP(A383,Classification!A:B,2,FALSE)</f>
        <v>A</v>
      </c>
      <c r="AN383" s="71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">
      <c r="A384" s="3" t="s">
        <v>503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71" t="str">
        <f>VLOOKUP(A384,Classification!A:B,2,FALSE)</f>
        <v>A</v>
      </c>
      <c r="AN384" s="71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">
      <c r="A385" s="3" t="s">
        <v>557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71" t="str">
        <f>VLOOKUP(A385,Classification!A:B,2,FALSE)</f>
        <v>A</v>
      </c>
      <c r="AN385" s="71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">
      <c r="A386" s="3" t="s">
        <v>298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71" t="str">
        <f>VLOOKUP(A386,Classification!A:B,2,FALSE)</f>
        <v>A</v>
      </c>
      <c r="AN386" s="71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">
      <c r="A387" s="3" t="s">
        <v>571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71" t="str">
        <f>VLOOKUP(A387,Classification!A:B,2,FALSE)</f>
        <v>A</v>
      </c>
      <c r="AN387" s="71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">
      <c r="A388" s="3" t="s">
        <v>572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71" t="str">
        <f>VLOOKUP(A388,Classification!A:B,2,FALSE)</f>
        <v>A</v>
      </c>
      <c r="AN388" s="71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">
      <c r="A389" s="3" t="s">
        <v>573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71" t="str">
        <f>VLOOKUP(A389,Classification!A:B,2,FALSE)</f>
        <v>A</v>
      </c>
      <c r="AN389" s="71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">
      <c r="A390" s="3" t="s">
        <v>574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71" t="str">
        <f>VLOOKUP(A390,Classification!A:B,2,FALSE)</f>
        <v>A</v>
      </c>
      <c r="AN390" s="71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">
      <c r="A391" s="3" t="s">
        <v>668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71" t="str">
        <f>VLOOKUP(A391,Classification!A:B,2,FALSE)</f>
        <v>A</v>
      </c>
      <c r="AN391" s="71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">
      <c r="A392" s="3" t="s">
        <v>651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71" t="str">
        <f>VLOOKUP(A392,Classification!A:B,2,FALSE)</f>
        <v>T</v>
      </c>
      <c r="AN392" s="71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">
      <c r="A393" s="3" t="s">
        <v>641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578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71" t="str">
        <f>VLOOKUP(A393,Classification!A:B,2,FALSE)</f>
        <v>F</v>
      </c>
      <c r="AN393" s="71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22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">
      <c r="A394" s="3" t="s">
        <v>649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574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71" t="str">
        <f>VLOOKUP(A394,Classification!A:B,2,FALSE)</f>
        <v>F</v>
      </c>
      <c r="AN394" s="71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9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">
      <c r="A395" s="3" t="s">
        <v>648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512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71" t="str">
        <f>VLOOKUP(A395,Classification!A:B,2,FALSE)</f>
        <v>F</v>
      </c>
      <c r="AN395" s="71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15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">
      <c r="A396" s="3" t="s">
        <v>643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503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71" t="str">
        <f>VLOOKUP(A396,Classification!A:B,2,FALSE)</f>
        <v>F</v>
      </c>
      <c r="AN396" s="71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15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">
      <c r="A397" s="3" t="s">
        <v>646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491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71" t="str">
        <f>VLOOKUP(A397,Classification!A:B,2,FALSE)</f>
        <v>F</v>
      </c>
      <c r="AN397" s="71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9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493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71" t="str">
        <f>VLOOKUP(A398,Classification!A:B,2,FALSE)</f>
        <v>F</v>
      </c>
      <c r="AN398" s="71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22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">
      <c r="A399" s="3" t="s">
        <v>650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489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71" t="str">
        <f>VLOOKUP(A399,Classification!A:B,2,FALSE)</f>
        <v>F</v>
      </c>
      <c r="AN399" s="71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18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">
      <c r="A400" s="3" t="s">
        <v>642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485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71" t="str">
        <f>VLOOKUP(A400,Classification!A:B,2,FALSE)</f>
        <v>F</v>
      </c>
      <c r="AN400" s="71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16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">
      <c r="A401" s="3" t="s">
        <v>645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71" t="str">
        <f>VLOOKUP(A401,Classification!A:B,2,FALSE)</f>
        <v>F</v>
      </c>
      <c r="AN401" s="71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">
      <c r="A402" s="3" t="s">
        <v>644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462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71" t="str">
        <f>VLOOKUP(A402,Classification!A:B,2,FALSE)</f>
        <v>F</v>
      </c>
      <c r="AN402" s="71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15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">
      <c r="A403" s="3" t="s">
        <v>647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458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71" t="str">
        <f>VLOOKUP(A403,Classification!A:B,2,FALSE)</f>
        <v>F</v>
      </c>
      <c r="AN403" s="71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15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">
      <c r="A404" s="3" t="s">
        <v>415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71" t="str">
        <f>VLOOKUP(A404,Classification!A:B,2,FALSE)</f>
        <v>A</v>
      </c>
      <c r="AN404" s="71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">
      <c r="A405" s="3" t="s">
        <v>672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71" t="str">
        <f>VLOOKUP(A405,Classification!A:B,2,FALSE)</f>
        <v>T</v>
      </c>
      <c r="AN405" s="71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">
      <c r="A406" s="3" t="s">
        <v>1120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71" t="str">
        <f>VLOOKUP(A406,Classification!A:B,2,FALSE)</f>
        <v>A</v>
      </c>
      <c r="AN406" s="71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">
      <c r="AM407" s="71"/>
      <c r="AN407" s="35"/>
      <c r="BA407" s="35"/>
    </row>
    <row r="408" spans="1:57" s="3" customFormat="1" x14ac:dyDescent="0.2">
      <c r="AM408" s="71"/>
      <c r="AN408" s="35"/>
      <c r="BA408" s="35"/>
    </row>
    <row r="409" spans="1:57" s="3" customFormat="1" x14ac:dyDescent="0.2">
      <c r="AM409" s="71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6" priority="6" operator="containsText" text="FALSE">
      <formula>NOT(ISERROR(SEARCH("FALSE",AN2)))</formula>
    </cfRule>
  </conditionalFormatting>
  <conditionalFormatting sqref="AO1:AZ1048576">
    <cfRule type="cellIs" dxfId="25" priority="4" operator="lessThan">
      <formula>1</formula>
    </cfRule>
  </conditionalFormatting>
  <conditionalFormatting sqref="E2:F406">
    <cfRule type="expression" dxfId="24" priority="24">
      <formula>NOT(OR(C2&lt;E2,C2="-",E2="-"))</formula>
    </cfRule>
  </conditionalFormatting>
  <conditionalFormatting sqref="K2:L2 K3 K4:L406">
    <cfRule type="expression" dxfId="23" priority="28">
      <formula>NOT(OR(G2&lt;K2,G2="-",K2="-"))</formula>
    </cfRule>
  </conditionalFormatting>
  <conditionalFormatting sqref="N2:O2 N4:N237 O3:O237 N238:O406">
    <cfRule type="expression" dxfId="22" priority="30">
      <formula>NOT(OR(I2&lt;N2,I2="-",N2="-"))</formula>
    </cfRule>
  </conditionalFormatting>
  <conditionalFormatting sqref="Q2:R406">
    <cfRule type="expression" dxfId="21" priority="32">
      <formula>NOT(OR(K2&lt;Q2,K2="-",Q2="-"))</formula>
    </cfRule>
  </conditionalFormatting>
  <conditionalFormatting sqref="T2:U406">
    <cfRule type="expression" dxfId="20" priority="34">
      <formula>NOT(OR(M2&lt;T2,M2="-",T2="-"))</formula>
    </cfRule>
  </conditionalFormatting>
  <conditionalFormatting sqref="W2:X406">
    <cfRule type="expression" dxfId="19" priority="36">
      <formula>NOT(OR(O2&lt;W2,O2="-",W2="-"))</formula>
    </cfRule>
  </conditionalFormatting>
  <conditionalFormatting sqref="Z2:AA406">
    <cfRule type="expression" dxfId="18" priority="38">
      <formula>NOT(OR(Q2&lt;Z2,Q2="-",Z2="-"))</formula>
    </cfRule>
  </conditionalFormatting>
  <conditionalFormatting sqref="AC2:AD406">
    <cfRule type="expression" dxfId="17" priority="40">
      <formula>NOT(OR(S2&lt;AC2,S2="-",AC2="-"))</formula>
    </cfRule>
  </conditionalFormatting>
  <conditionalFormatting sqref="AF2:AG406">
    <cfRule type="expression" dxfId="16" priority="42">
      <formula>NOT(OR(U2&lt;AF2,U2="-",AF2="-"))</formula>
    </cfRule>
  </conditionalFormatting>
  <conditionalFormatting sqref="AI2:AJ406">
    <cfRule type="expression" dxfId="15" priority="44">
      <formula>NOT(OR(W2&lt;AI2,W2="-",AI2="-"))</formula>
    </cfRule>
  </conditionalFormatting>
  <conditionalFormatting sqref="AL2:AL406">
    <cfRule type="expression" dxfId="14" priority="46">
      <formula>NOT(OR(Y2&lt;AL2,Y2="-",AL2="-"))</formula>
    </cfRule>
  </conditionalFormatting>
  <conditionalFormatting sqref="L3">
    <cfRule type="expression" dxfId="13" priority="2">
      <formula>NOT(OR(H3&lt;L3,H3="-",L3="-"))</formula>
    </cfRule>
  </conditionalFormatting>
  <conditionalFormatting sqref="N3">
    <cfRule type="expression" dxfId="12" priority="3">
      <formula>NOT(OR(I3&lt;N3,I3="-",N3="-"))</formula>
    </cfRule>
  </conditionalFormatting>
  <conditionalFormatting sqref="F2">
    <cfRule type="cellIs" dxfId="11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"/>
  <sheetViews>
    <sheetView zoomScale="151" zoomScaleNormal="151" zoomScalePageLayoutView="151" workbookViewId="0">
      <pane ySplit="1" topLeftCell="A2" activePane="bottomLeft" state="frozenSplit"/>
      <selection pane="bottomLeft" activeCell="F5" sqref="F5"/>
    </sheetView>
  </sheetViews>
  <sheetFormatPr baseColWidth="10" defaultColWidth="11" defaultRowHeight="16" x14ac:dyDescent="0.2"/>
  <cols>
    <col min="1" max="1" width="12" style="4" customWidth="1"/>
    <col min="2" max="2" width="2.6640625" style="103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2" s="73" customFormat="1" x14ac:dyDescent="0.2">
      <c r="A1" s="73" t="s">
        <v>205</v>
      </c>
      <c r="B1" s="73" t="s">
        <v>292</v>
      </c>
      <c r="C1" s="109" t="s">
        <v>56</v>
      </c>
      <c r="D1" s="45" t="s">
        <v>20</v>
      </c>
      <c r="E1" s="45" t="s">
        <v>125</v>
      </c>
      <c r="F1" s="107" t="s">
        <v>169</v>
      </c>
      <c r="G1" s="107" t="s">
        <v>170</v>
      </c>
      <c r="H1" s="45" t="s">
        <v>122</v>
      </c>
      <c r="I1" s="45" t="s">
        <v>98</v>
      </c>
      <c r="J1" s="45" t="s">
        <v>59</v>
      </c>
      <c r="K1" s="107" t="s">
        <v>1551</v>
      </c>
      <c r="L1" s="107" t="s">
        <v>1555</v>
      </c>
      <c r="M1" s="45" t="s">
        <v>43</v>
      </c>
      <c r="N1" s="45" t="s">
        <v>1554</v>
      </c>
      <c r="O1" s="45" t="s">
        <v>51</v>
      </c>
      <c r="P1" s="45" t="s">
        <v>1556</v>
      </c>
      <c r="Q1" s="62" t="s">
        <v>1536</v>
      </c>
      <c r="R1" s="73" t="s">
        <v>1540</v>
      </c>
      <c r="S1" s="73" t="s">
        <v>1537</v>
      </c>
      <c r="T1" s="73" t="s">
        <v>1538</v>
      </c>
      <c r="U1" s="73" t="s">
        <v>1539</v>
      </c>
      <c r="V1" s="73" t="s">
        <v>1323</v>
      </c>
    </row>
    <row r="2" spans="1:22" s="110" customFormat="1" x14ac:dyDescent="0.2">
      <c r="A2" s="4" t="s">
        <v>1112</v>
      </c>
      <c r="B2" s="103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2" x14ac:dyDescent="0.2">
      <c r="A3" s="4" t="s">
        <v>352</v>
      </c>
      <c r="B3" s="103" t="str">
        <f>VLOOKUP(A3,Classification!A:D,2,FALSE)</f>
        <v>A</v>
      </c>
      <c r="D3" s="103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2" x14ac:dyDescent="0.2">
      <c r="A4" s="4" t="s">
        <v>367</v>
      </c>
      <c r="B4" s="103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2" x14ac:dyDescent="0.2">
      <c r="A5" s="4" t="s">
        <v>1391</v>
      </c>
      <c r="B5" s="103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2" x14ac:dyDescent="0.2">
      <c r="A6" s="4" t="s">
        <v>1392</v>
      </c>
      <c r="B6" s="103" t="str">
        <f>VLOOKUP(A6,Classification!A:D,2,FALSE)</f>
        <v>A</v>
      </c>
      <c r="L6" s="4" t="s">
        <v>129</v>
      </c>
      <c r="M6" s="4" t="s">
        <v>43</v>
      </c>
      <c r="N6" s="4" t="s">
        <v>1554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2" x14ac:dyDescent="0.2">
      <c r="A7" s="4" t="s">
        <v>529</v>
      </c>
      <c r="B7" s="103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2" x14ac:dyDescent="0.2">
      <c r="A8" s="4" t="s">
        <v>530</v>
      </c>
      <c r="B8" s="103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2" x14ac:dyDescent="0.2">
      <c r="A9" s="4" t="s">
        <v>1114</v>
      </c>
      <c r="B9" s="103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2" x14ac:dyDescent="0.2">
      <c r="A10" s="4" t="s">
        <v>1393</v>
      </c>
      <c r="B10" s="103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2" x14ac:dyDescent="0.2">
      <c r="A11" s="4" t="s">
        <v>539</v>
      </c>
      <c r="B11" s="103" t="str">
        <f>VLOOKUP(A11,Classification!A:D,2,FALSE)</f>
        <v>A</v>
      </c>
      <c r="J11" s="103" t="s">
        <v>129</v>
      </c>
      <c r="L11" s="4" t="s">
        <v>129</v>
      </c>
      <c r="M11" s="4" t="s">
        <v>43</v>
      </c>
      <c r="N11" s="4" t="s">
        <v>1554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  <c r="V11" s="4" t="s">
        <v>1564</v>
      </c>
    </row>
    <row r="12" spans="1:22" x14ac:dyDescent="0.2">
      <c r="A12" s="4" t="s">
        <v>546</v>
      </c>
      <c r="B12" s="103" t="str">
        <f>VLOOKUP(A12,Classification!A:D,2,FALSE)</f>
        <v>A</v>
      </c>
      <c r="J12" s="103" t="s">
        <v>129</v>
      </c>
      <c r="L12" s="4" t="s">
        <v>129</v>
      </c>
      <c r="M12" s="4" t="s">
        <v>129</v>
      </c>
      <c r="N12" s="4" t="s">
        <v>1554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2" x14ac:dyDescent="0.2">
      <c r="A13" s="4" t="s">
        <v>549</v>
      </c>
      <c r="B13" s="103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1554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2" x14ac:dyDescent="0.2">
      <c r="A14" s="4" t="s">
        <v>1120</v>
      </c>
      <c r="B14" s="103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2" x14ac:dyDescent="0.2">
      <c r="A15" s="4" t="s">
        <v>297</v>
      </c>
      <c r="B15" s="103" t="str">
        <f>VLOOKUP(A15,Classification!A:D,2,FALSE)</f>
        <v>A</v>
      </c>
      <c r="E15" s="106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2" x14ac:dyDescent="0.2">
      <c r="A16" s="4" t="s">
        <v>1116</v>
      </c>
      <c r="B16" s="103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30" x14ac:dyDescent="0.2">
      <c r="A17" s="4" t="s">
        <v>533</v>
      </c>
      <c r="B17" s="103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30" x14ac:dyDescent="0.2">
      <c r="A18" s="4" t="s">
        <v>1118</v>
      </c>
      <c r="B18" s="103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30" x14ac:dyDescent="0.2">
      <c r="A19" s="4" t="s">
        <v>333</v>
      </c>
      <c r="B19" s="103" t="str">
        <f>VLOOKUP(A19,Classification!A:D,2,FALSE)</f>
        <v>A</v>
      </c>
      <c r="D19" s="4" t="s">
        <v>20</v>
      </c>
      <c r="K19" s="106" t="s">
        <v>1551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30" x14ac:dyDescent="0.2">
      <c r="A20" s="4" t="s">
        <v>1394</v>
      </c>
      <c r="B20" s="103" t="str">
        <f>VLOOKUP(A20,Classification!A:D,2,FALSE)</f>
        <v>A</v>
      </c>
      <c r="D20" s="4" t="s">
        <v>20</v>
      </c>
      <c r="J20" s="4" t="s">
        <v>59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30" x14ac:dyDescent="0.2">
      <c r="A21" s="4" t="s">
        <v>1395</v>
      </c>
      <c r="B21" s="103" t="str">
        <f>VLOOKUP(A21,Classification!A:D,2,FALSE)</f>
        <v>A</v>
      </c>
      <c r="D21" s="4" t="s">
        <v>20</v>
      </c>
      <c r="J21" s="4" t="s">
        <v>59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30" x14ac:dyDescent="0.2">
      <c r="A22" s="4" t="s">
        <v>208</v>
      </c>
      <c r="B22" s="103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30" x14ac:dyDescent="0.2">
      <c r="A23" s="4" t="s">
        <v>209</v>
      </c>
      <c r="B23" s="103" t="str">
        <f>VLOOKUP(A23,Classification!A:D,2,FALSE)</f>
        <v>A</v>
      </c>
      <c r="C23" s="106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30" x14ac:dyDescent="0.2">
      <c r="A24" s="4" t="s">
        <v>340</v>
      </c>
      <c r="B24" s="103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30" x14ac:dyDescent="0.2">
      <c r="A25" s="4" t="s">
        <v>341</v>
      </c>
      <c r="B25" s="103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30" x14ac:dyDescent="0.2">
      <c r="A26" s="4" t="s">
        <v>1106</v>
      </c>
      <c r="B26" s="103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30" x14ac:dyDescent="0.2">
      <c r="A27" s="4" t="s">
        <v>343</v>
      </c>
      <c r="B27" s="103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30" x14ac:dyDescent="0.2">
      <c r="A28" s="4" t="s">
        <v>386</v>
      </c>
      <c r="B28" s="103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30" s="2" customFormat="1" x14ac:dyDescent="0.2">
      <c r="A29" s="2" t="s">
        <v>390</v>
      </c>
      <c r="B29" s="103" t="str">
        <f>VLOOKUP(A29,Classification!A:D,2,FALSE)</f>
        <v>A</v>
      </c>
      <c r="D29" s="2" t="s">
        <v>20</v>
      </c>
      <c r="J29" s="2" t="s">
        <v>59</v>
      </c>
      <c r="M29" s="2" t="s">
        <v>43</v>
      </c>
      <c r="O29" s="2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I</v>
      </c>
      <c r="S29" s="2" t="str">
        <f>MID(VLOOKUP($A29,Seqs!$A:$B,2,FALSE),VLOOKUP($A29,'NonXtal_SegEnds_Prot#'!$A:$AL,10,FALSE)+7,1)</f>
        <v>D</v>
      </c>
      <c r="T29" s="2" t="str">
        <f>MID(VLOOKUP($A29,Seqs!$A:$B,2,FALSE),VLOOKUP($A29,'NonXtal_SegEnds_Prot#'!$A:$AL,10,FALSE)+8,1)</f>
        <v>I</v>
      </c>
      <c r="U29" s="2" t="str">
        <f>MID(VLOOKUP($A29,Seqs!$A:$B,2,FALSE),VLOOKUP($A29,'NonXtal_SegEnds_Prot#'!$A:$AL,10,FALSE)+9,1)</f>
        <v>P</v>
      </c>
      <c r="V29" s="102"/>
      <c r="W29" s="102"/>
      <c r="X29" s="71"/>
      <c r="Y29" s="102"/>
      <c r="Z29" s="102"/>
      <c r="AA29" s="102"/>
      <c r="AB29" s="102"/>
      <c r="AC29" s="71"/>
      <c r="AD29" s="102"/>
    </row>
    <row r="30" spans="1:30" x14ac:dyDescent="0.2">
      <c r="A30" s="4" t="s">
        <v>472</v>
      </c>
      <c r="B30" s="103" t="str">
        <f>VLOOKUP(A30,Classification!A:D,2,FALSE)</f>
        <v>A</v>
      </c>
      <c r="D30" s="4" t="s">
        <v>20</v>
      </c>
      <c r="H30" s="4" t="s">
        <v>122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V</v>
      </c>
      <c r="S30" s="2" t="str">
        <f>MID(VLOOKUP($A30,Seqs!$A:$B,2,FALSE),VLOOKUP($A30,'NonXtal_SegEnds_Prot#'!$A:$AL,10,FALSE)+7,1)</f>
        <v>V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30" x14ac:dyDescent="0.2">
      <c r="A31" s="4" t="s">
        <v>1110</v>
      </c>
      <c r="B31" s="103" t="str">
        <f>VLOOKUP(A31,Classification!A:D,2,FALSE)</f>
        <v>A</v>
      </c>
      <c r="D31" s="4" t="s">
        <v>20</v>
      </c>
      <c r="J31" s="4" t="s">
        <v>59</v>
      </c>
      <c r="L31" s="4" t="s">
        <v>129</v>
      </c>
      <c r="M31" s="4" t="s">
        <v>43</v>
      </c>
      <c r="N31" s="4" t="s">
        <v>129</v>
      </c>
      <c r="O31" s="105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L</v>
      </c>
      <c r="S31" s="2" t="str">
        <f>MID(VLOOKUP($A31,Seqs!$A:$B,2,FALSE),VLOOKUP($A31,'NonXtal_SegEnds_Prot#'!$A:$AL,10,FALSE)+7,1)</f>
        <v>A</v>
      </c>
      <c r="T31" s="2" t="str">
        <f>MID(VLOOKUP($A31,Seqs!$A:$B,2,FALSE),VLOOKUP($A31,'NonXtal_SegEnds_Prot#'!$A:$AL,10,FALSE)+8,1)</f>
        <v>M</v>
      </c>
      <c r="U31" s="2" t="str">
        <f>MID(VLOOKUP($A31,Seqs!$A:$B,2,FALSE),VLOOKUP($A31,'NonXtal_SegEnds_Prot#'!$A:$AL,10,FALSE)+9,1)</f>
        <v>P</v>
      </c>
    </row>
    <row r="32" spans="1:30" x14ac:dyDescent="0.2">
      <c r="A32" s="4" t="s">
        <v>298</v>
      </c>
      <c r="B32" s="103" t="str">
        <f>VLOOKUP(A32,Classification!A:D,2,FALSE)</f>
        <v>A</v>
      </c>
      <c r="E32" s="106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T</v>
      </c>
      <c r="U32" s="2" t="str">
        <f>MID(VLOOKUP($A32,Seqs!$A:$B,2,FALSE),VLOOKUP($A32,'NonXtal_SegEnds_Prot#'!$A:$AL,10,FALSE)+9,1)</f>
        <v>A</v>
      </c>
    </row>
    <row r="33" spans="1:21" x14ac:dyDescent="0.2">
      <c r="A33" s="4" t="s">
        <v>1108</v>
      </c>
      <c r="B33" s="103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L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">
      <c r="A34" s="4" t="s">
        <v>320</v>
      </c>
      <c r="B34" s="103" t="str">
        <f>VLOOKUP(A34,Classification!A:D,2,FALSE)</f>
        <v>A</v>
      </c>
      <c r="D34" s="4" t="s">
        <v>20</v>
      </c>
      <c r="L34" s="4" t="s">
        <v>129</v>
      </c>
      <c r="M34" s="4" t="s">
        <v>43</v>
      </c>
      <c r="O34" s="4" t="s">
        <v>51</v>
      </c>
      <c r="Q34" s="35" t="str">
        <f>MID(VLOOKUP($A34,Seqs!$A:$B,2,FALSE),VLOOKUP($A34,'NonXtal_SegEnds_Prot#'!$A:$AL,10,FALSE),1)</f>
        <v>D</v>
      </c>
      <c r="R34" s="2" t="str">
        <f>MID(VLOOKUP($A34,Seqs!$A:$B,2,FALSE),VLOOKUP($A34,'NonXtal_SegEnds_Prot#'!$A:$AL,10,FALSE)+6,1)</f>
        <v>A</v>
      </c>
      <c r="S34" s="2" t="str">
        <f>MID(VLOOKUP($A34,Seqs!$A:$B,2,FALSE),VLOOKUP($A34,'NonXtal_SegEnds_Prot#'!$A:$AL,10,FALSE)+7,1)</f>
        <v>V</v>
      </c>
      <c r="T34" s="2" t="str">
        <f>MID(VLOOKUP($A34,Seqs!$A:$B,2,FALSE),VLOOKUP($A34,'NonXtal_SegEnds_Prot#'!$A:$AL,10,FALSE)+8,1)</f>
        <v>V</v>
      </c>
      <c r="U34" s="2" t="str">
        <f>MID(VLOOKUP($A34,Seqs!$A:$B,2,FALSE),VLOOKUP($A34,'NonXtal_SegEnds_Prot#'!$A:$AL,10,FALSE)+9,1)</f>
        <v>P</v>
      </c>
    </row>
    <row r="35" spans="1:21" x14ac:dyDescent="0.2">
      <c r="A35" s="4" t="s">
        <v>213</v>
      </c>
      <c r="B35" s="103" t="str">
        <f>VLOOKUP(A35,Classification!A:D,2,FALSE)</f>
        <v>B1</v>
      </c>
      <c r="F35" s="106" t="s">
        <v>169</v>
      </c>
      <c r="G35" s="106" t="s">
        <v>170</v>
      </c>
      <c r="L35" s="4" t="s">
        <v>129</v>
      </c>
      <c r="M35" s="4" t="s">
        <v>129</v>
      </c>
      <c r="O35" s="4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T</v>
      </c>
      <c r="S35" s="2" t="str">
        <f>MID(VLOOKUP($A35,Seqs!$A:$B,2,FALSE),VLOOKUP($A35,'NonXtal_SegEnds_Prot#'!$A:$AL,10,FALSE)+7,1)</f>
        <v>W</v>
      </c>
      <c r="T35" s="2" t="str">
        <f>MID(VLOOKUP($A35,Seqs!$A:$B,2,FALSE),VLOOKUP($A35,'NonXtal_SegEnds_Prot#'!$A:$AL,10,FALSE)+8,1)</f>
        <v>F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206</v>
      </c>
      <c r="B36" s="103" t="str">
        <f>VLOOKUP(A36,Classification!A:D,2,FALSE)</f>
        <v>B1</v>
      </c>
      <c r="L36" s="4" t="s">
        <v>1555</v>
      </c>
      <c r="M36" s="4" t="s">
        <v>129</v>
      </c>
      <c r="O36" s="4" t="s">
        <v>51</v>
      </c>
      <c r="P36" s="4" t="s">
        <v>129</v>
      </c>
      <c r="Q36" s="35" t="str">
        <f>MID(VLOOKUP($A36,Seqs!$A:$B,2,FALSE),VLOOKUP($A36,'NonXtal_SegEnds_Prot#'!$A:$AL,10,FALSE),1)</f>
        <v>F</v>
      </c>
      <c r="R36" s="2" t="str">
        <f>MID(VLOOKUP($A36,Seqs!$A:$B,2,FALSE),VLOOKUP($A36,'NonXtal_SegEnds_Prot#'!$A:$AL,10,FALSE)+6,1)</f>
        <v>S</v>
      </c>
      <c r="S36" s="2" t="str">
        <f>MID(VLOOKUP($A36,Seqs!$A:$B,2,FALSE),VLOOKUP($A36,'NonXtal_SegEnds_Prot#'!$A:$AL,10,FALSE)+7,1)</f>
        <v>V</v>
      </c>
      <c r="T36" s="2" t="str">
        <f>MID(VLOOKUP($A36,Seqs!$A:$B,2,FALSE),VLOOKUP($A36,'NonXtal_SegEnds_Prot#'!$A:$AL,10,FALSE)+8,1)</f>
        <v>L</v>
      </c>
      <c r="U36" s="2" t="str">
        <f>MID(VLOOKUP($A36,Seqs!$A:$B,2,FALSE),VLOOKUP($A36,'NonXtal_SegEnds_Prot#'!$A:$AL,10,FALSE)+9,1)</f>
        <v>V</v>
      </c>
    </row>
    <row r="37" spans="1:21" x14ac:dyDescent="0.2">
      <c r="A37" s="4" t="s">
        <v>223</v>
      </c>
      <c r="B37" s="103" t="str">
        <f>VLOOKUP(A37,Classification!A:D,2,FALSE)</f>
        <v>C</v>
      </c>
      <c r="L37" s="4" t="s">
        <v>129</v>
      </c>
      <c r="M37" s="4" t="s">
        <v>129</v>
      </c>
      <c r="P37" s="4" t="s">
        <v>1556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P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T</v>
      </c>
    </row>
    <row r="38" spans="1:21" x14ac:dyDescent="0.2">
      <c r="A38" s="4" t="s">
        <v>224</v>
      </c>
      <c r="B38" s="103" t="str">
        <f>VLOOKUP(A38,Classification!A:D,2,FALSE)</f>
        <v>C</v>
      </c>
      <c r="L38" s="4" t="s">
        <v>129</v>
      </c>
      <c r="M38" s="4" t="s">
        <v>129</v>
      </c>
      <c r="P38" s="4" t="s">
        <v>1556</v>
      </c>
      <c r="Q38" s="35" t="str">
        <f>MID(VLOOKUP($A38,Seqs!$A:$B,2,FALSE),VLOOKUP($A38,'NonXtal_SegEnds_Prot#'!$A:$AL,10,FALSE),1)</f>
        <v>I</v>
      </c>
      <c r="R38" s="2" t="str">
        <f>MID(VLOOKUP($A38,Seqs!$A:$B,2,FALSE),VLOOKUP($A38,'NonXtal_SegEnds_Prot#'!$A:$AL,10,FALSE)+6,1)</f>
        <v>C</v>
      </c>
      <c r="S38" s="2" t="str">
        <f>MID(VLOOKUP($A38,Seqs!$A:$B,2,FALSE),VLOOKUP($A38,'NonXtal_SegEnds_Prot#'!$A:$AL,10,FALSE)+7,1)</f>
        <v>T</v>
      </c>
      <c r="T38" s="2" t="str">
        <f>MID(VLOOKUP($A38,Seqs!$A:$B,2,FALSE),VLOOKUP($A38,'NonXtal_SegEnds_Prot#'!$A:$AL,10,FALSE)+8,1)</f>
        <v>F</v>
      </c>
      <c r="U38" s="2" t="str">
        <f>MID(VLOOKUP($A38,Seqs!$A:$B,2,FALSE),VLOOKUP($A38,'NonXtal_SegEnds_Prot#'!$A:$AL,10,FALSE)+9,1)</f>
        <v>C</v>
      </c>
    </row>
    <row r="39" spans="1:21" x14ac:dyDescent="0.2">
      <c r="A39" s="4" t="s">
        <v>207</v>
      </c>
      <c r="B39" s="103" t="str">
        <f>VLOOKUP(A39,Classification!A:D,2,FALSE)</f>
        <v>F</v>
      </c>
      <c r="L39" s="4" t="s">
        <v>1555</v>
      </c>
      <c r="M39" s="4" t="s">
        <v>129</v>
      </c>
      <c r="P39" s="4" t="s">
        <v>129</v>
      </c>
      <c r="Q39" s="35" t="str">
        <f>MID(VLOOKUP($A39,Seqs!$A:$B,2,FALSE),VLOOKUP($A39,'NonXtal_SegEnds_Prot#'!$A:$AL,10,FALSE),1)</f>
        <v>A</v>
      </c>
      <c r="R39" s="2" t="str">
        <f>MID(VLOOKUP($A39,Seqs!$A:$B,2,FALSE),VLOOKUP($A39,'NonXtal_SegEnds_Prot#'!$A:$AL,10,FALSE)+6,1)</f>
        <v>S</v>
      </c>
      <c r="S39" s="2" t="str">
        <f>MID(VLOOKUP($A39,Seqs!$A:$B,2,FALSE),VLOOKUP($A39,'NonXtal_SegEnds_Prot#'!$A:$AL,10,FALSE)+7,1)</f>
        <v>I</v>
      </c>
      <c r="T39" s="2" t="str">
        <f>MID(VLOOKUP($A39,Seqs!$A:$B,2,FALSE),VLOOKUP($A39,'NonXtal_SegEnds_Prot#'!$A:$AL,10,FALSE)+8,1)</f>
        <v>G</v>
      </c>
      <c r="U39" s="2" t="str">
        <f>MID(VLOOKUP($A39,Seqs!$A:$B,2,FALSE),VLOOKUP($A39,'NonXtal_SegEnds_Prot#'!$A:$AL,10,FALSE)+9,1)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10" priority="7" operator="equal">
      <formula>"P"</formula>
    </cfRule>
  </conditionalFormatting>
  <conditionalFormatting sqref="R1:S1048576">
    <cfRule type="cellIs" dxfId="9" priority="5" operator="equal">
      <formula>"G"</formula>
    </cfRule>
  </conditionalFormatting>
  <conditionalFormatting sqref="AA29:AB29">
    <cfRule type="cellIs" dxfId="8" priority="4" operator="equal">
      <formula>"P"</formula>
    </cfRule>
  </conditionalFormatting>
  <conditionalFormatting sqref="Y29">
    <cfRule type="cellIs" dxfId="7" priority="2" operator="equal">
      <formula>"W"</formula>
    </cfRule>
    <cfRule type="cellIs" dxfId="6" priority="3" operator="equal">
      <formula>"G"</formula>
    </cfRule>
  </conditionalFormatting>
  <conditionalFormatting sqref="AC29:AD29">
    <cfRule type="cellIs" dxfId="5" priority="1" operator="equal">
      <formula>"P"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C409"/>
  <sheetViews>
    <sheetView zoomScale="120" zoomScaleNormal="120" zoomScalePageLayoutView="120" workbookViewId="0">
      <pane ySplit="1" topLeftCell="A224" activePane="bottomLeft" state="frozenSplit"/>
      <selection pane="bottomLeft" activeCell="I241" sqref="A1:XFD1048576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1" width="5" style="4" bestFit="1" customWidth="1"/>
    <col min="12" max="12" width="6" style="4" bestFit="1" customWidth="1"/>
    <col min="13" max="13" width="6" style="4" customWidth="1"/>
    <col min="14" max="15" width="6" style="4" bestFit="1" customWidth="1"/>
    <col min="16" max="16" width="5" style="4" bestFit="1" customWidth="1"/>
    <col min="17" max="17" width="6" style="4" bestFit="1" customWidth="1"/>
    <col min="18" max="18" width="5" style="63" bestFit="1" customWidth="1"/>
    <col min="19" max="19" width="5" style="103" customWidth="1"/>
    <col min="20" max="22" width="5" style="103" bestFit="1" customWidth="1"/>
    <col min="23" max="23" width="4.6640625" style="63" bestFit="1" customWidth="1"/>
    <col min="24" max="26" width="4.6640625" style="103" bestFit="1" customWidth="1"/>
    <col min="27" max="27" width="5" style="4" customWidth="1"/>
    <col min="28" max="28" width="4.6640625" style="5" customWidth="1"/>
    <col min="29" max="29" width="4.6640625" style="4" customWidth="1"/>
    <col min="30" max="16384" width="10.83203125" style="4"/>
  </cols>
  <sheetData>
    <row r="1" spans="1:29" s="73" customFormat="1" x14ac:dyDescent="0.2">
      <c r="A1" s="73" t="s">
        <v>205</v>
      </c>
      <c r="B1" s="108" t="s">
        <v>1423</v>
      </c>
      <c r="C1" s="73" t="s">
        <v>292</v>
      </c>
      <c r="D1" s="109" t="s">
        <v>56</v>
      </c>
      <c r="E1" s="45" t="s">
        <v>20</v>
      </c>
      <c r="F1" s="45" t="s">
        <v>125</v>
      </c>
      <c r="G1" s="107" t="s">
        <v>169</v>
      </c>
      <c r="H1" s="107" t="s">
        <v>170</v>
      </c>
      <c r="I1" s="45" t="s">
        <v>122</v>
      </c>
      <c r="J1" s="45" t="s">
        <v>98</v>
      </c>
      <c r="K1" s="45" t="s">
        <v>59</v>
      </c>
      <c r="L1" s="107" t="s">
        <v>1551</v>
      </c>
      <c r="M1" s="107" t="s">
        <v>1555</v>
      </c>
      <c r="N1" s="45" t="s">
        <v>43</v>
      </c>
      <c r="O1" s="45" t="s">
        <v>1554</v>
      </c>
      <c r="P1" s="45" t="s">
        <v>51</v>
      </c>
      <c r="Q1" s="45" t="s">
        <v>1556</v>
      </c>
      <c r="R1" s="62" t="s">
        <v>1541</v>
      </c>
      <c r="S1" s="73" t="s">
        <v>1542</v>
      </c>
      <c r="T1" s="73" t="s">
        <v>1543</v>
      </c>
      <c r="U1" s="73" t="s">
        <v>1544</v>
      </c>
      <c r="V1" s="73" t="s">
        <v>1545</v>
      </c>
      <c r="W1" s="62" t="s">
        <v>1546</v>
      </c>
      <c r="X1" s="62" t="s">
        <v>1547</v>
      </c>
      <c r="Y1" s="62" t="s">
        <v>1548</v>
      </c>
      <c r="Z1" s="62" t="s">
        <v>1549</v>
      </c>
      <c r="AA1" s="73" t="s">
        <v>1550</v>
      </c>
      <c r="AB1" s="62" t="s">
        <v>1552</v>
      </c>
      <c r="AC1" s="73" t="s">
        <v>1553</v>
      </c>
    </row>
    <row r="2" spans="1:29" s="2" customFormat="1" x14ac:dyDescent="0.2">
      <c r="A2" s="2" t="s">
        <v>322</v>
      </c>
      <c r="B2" s="2" t="str">
        <f>LOWER(VLOOKUP(A2,Xtal_Templ!A:B,2,FALSE))</f>
        <v>5ht1b_human</v>
      </c>
      <c r="C2" s="2" t="str">
        <f>VLOOKUP(A2,Classification!A:D,2,FALSE)</f>
        <v>A</v>
      </c>
      <c r="E2" s="2" t="s">
        <v>20</v>
      </c>
      <c r="N2" s="2" t="s">
        <v>43</v>
      </c>
      <c r="P2" s="4" t="s">
        <v>51</v>
      </c>
      <c r="R2" s="71" t="str">
        <f>MID(VLOOKUP($A2,Seqs!$A:$B,2,FALSE),VLOOKUP($A2,'NonXtal_SegEnds_Prot#'!$A:$AL,10,FALSE),1)</f>
        <v>D</v>
      </c>
      <c r="S2" s="102" t="str">
        <f>MID(VLOOKUP($A2,Seqs!$A:$B,2,FALSE),VLOOKUP($A2,'NonXtal_SegEnds_Prot#'!$A:$AL,10,FALSE)+6,1)</f>
        <v>L</v>
      </c>
      <c r="T2" s="102" t="str">
        <f>MID(VLOOKUP($A2,Seqs!$A:$B,2,FALSE),VLOOKUP($A2,'NonXtal_SegEnds_Prot#'!$A:$AL,10,FALSE)+7,1)</f>
        <v>V</v>
      </c>
      <c r="U2" s="102" t="str">
        <f>MID(VLOOKUP($A2,Seqs!$A:$B,2,FALSE),VLOOKUP($A2,'NonXtal_SegEnds_Prot#'!$A:$AL,10,FALSE)+8,1)</f>
        <v>L</v>
      </c>
      <c r="V2" s="102" t="str">
        <f>MID(VLOOKUP($A2,Seqs!$A:$B,2,FALSE),VLOOKUP($A2,'NonXtal_SegEnds_Prot#'!$A:$AL,10,FALSE)+9,1)</f>
        <v>P</v>
      </c>
      <c r="W2" s="71" t="str">
        <f>MID(VLOOKUP($A2,Seqs!$A:$B,2,FALSE),VLOOKUP($A2,'NonXtal_SegEnds_Prot#'!$A:$AL,22,FALSE)+6,1)</f>
        <v>I</v>
      </c>
      <c r="X2" s="102" t="str">
        <f>MID(VLOOKUP($A2,Seqs!$A:$B,2,FALSE),VLOOKUP($A2,'NonXtal_SegEnds_Prot#'!$A:$AL,22,FALSE)+7,1)</f>
        <v>S</v>
      </c>
      <c r="Y2" s="102" t="str">
        <f>MID(VLOOKUP($A2,Seqs!$A:$B,2,FALSE),VLOOKUP($A2,'NonXtal_SegEnds_Prot#'!$A:$AL,22,FALSE)+8,1)</f>
        <v>I</v>
      </c>
      <c r="Z2" s="102" t="str">
        <f>MID(VLOOKUP($A2,Seqs!$A:$B,2,FALSE),VLOOKUP($A2,'NonXtal_SegEnds_Prot#'!$A:$AL,22,FALSE)+9,1)</f>
        <v>P</v>
      </c>
      <c r="AA2" s="102" t="str">
        <f>MID(VLOOKUP($A2,Seqs!$A:$B,2,FALSE),VLOOKUP($A2,'NonXtal_SegEnds_Prot#'!$A:$AL,22,FALSE)+10,1)</f>
        <v>P</v>
      </c>
      <c r="AB2" s="71" t="str">
        <f>MID(VLOOKUP($A2,Seqs!$A:$B,2,FALSE),VLOOKUP($A2,'NonXtal_SegEnds_Prot#'!$A:$AL,28,FALSE)-4,1)</f>
        <v>A</v>
      </c>
      <c r="AC2" s="102" t="str">
        <f>MID(VLOOKUP($A2,Seqs!$A:$B,2,FALSE),VLOOKUP($A2,'NonXtal_SegEnds_Prot#'!$A:$AL,28,FALSE),1)</f>
        <v>P</v>
      </c>
    </row>
    <row r="3" spans="1:29" s="2" customFormat="1" x14ac:dyDescent="0.2">
      <c r="A3" s="2" t="s">
        <v>208</v>
      </c>
      <c r="B3" s="2" t="str">
        <f>LOWER(VLOOKUP(A3,Xtal_Templ!A:B,2,FALSE))</f>
        <v>5ht1b_human</v>
      </c>
      <c r="C3" s="2" t="str">
        <f>VLOOKUP(A3,Classification!A:D,2,FALSE)</f>
        <v>A</v>
      </c>
      <c r="E3" s="2" t="s">
        <v>20</v>
      </c>
      <c r="N3" s="2" t="s">
        <v>43</v>
      </c>
      <c r="P3" s="4" t="s">
        <v>51</v>
      </c>
      <c r="R3" s="71" t="str">
        <f>MID(VLOOKUP($A3,Seqs!$A:$B,2,FALSE),VLOOKUP($A3,'NonXtal_SegEnds_Prot#'!A:AL,10,FALSE),1)</f>
        <v>D</v>
      </c>
      <c r="S3" s="102" t="str">
        <f>MID(VLOOKUP($A3,Seqs!$A:$B,2,FALSE),VLOOKUP($A3,'NonXtal_SegEnds_Prot#'!A:AL,10,FALSE)+6,1)</f>
        <v>L</v>
      </c>
      <c r="T3" s="102" t="str">
        <f>MID(VLOOKUP($A3,Seqs!$A:$B,2,FALSE),VLOOKUP($A3,'NonXtal_SegEnds_Prot#'!A:AL,10,FALSE)+7,1)</f>
        <v>V</v>
      </c>
      <c r="U3" s="102" t="str">
        <f>MID(VLOOKUP($A3,Seqs!$A:$B,2,FALSE),VLOOKUP($A3,'NonXtal_SegEnds_Prot#'!A:AL,10,FALSE)+8,1)</f>
        <v>M</v>
      </c>
      <c r="V3" s="102" t="str">
        <f>MID(VLOOKUP($A3,Seqs!$A:$B,2,FALSE),VLOOKUP($A3,'NonXtal_SegEnds_Prot#'!A:AL,10,FALSE)+9,1)</f>
        <v>P</v>
      </c>
      <c r="W3" s="71" t="str">
        <f>MID(VLOOKUP($A3,Seqs!$A:$B,2,FALSE),VLOOKUP($A3,'NonXtal_SegEnds_Prot#'!$A:$AL,22,FALSE)+6,1)</f>
        <v>I</v>
      </c>
      <c r="X3" s="102" t="str">
        <f>MID(VLOOKUP($A3,Seqs!$A:$B,2,FALSE),VLOOKUP($A3,'NonXtal_SegEnds_Prot#'!$A:$AL,22,FALSE)+7,1)</f>
        <v>S</v>
      </c>
      <c r="Y3" s="102" t="str">
        <f>MID(VLOOKUP($A3,Seqs!$A:$B,2,FALSE),VLOOKUP($A3,'NonXtal_SegEnds_Prot#'!$A:$AL,22,FALSE)+8,1)</f>
        <v>L</v>
      </c>
      <c r="Z3" s="102" t="str">
        <f>MID(VLOOKUP($A3,Seqs!$A:$B,2,FALSE),VLOOKUP($A3,'NonXtal_SegEnds_Prot#'!$A:$AL,22,FALSE)+9,1)</f>
        <v>P</v>
      </c>
      <c r="AA3" s="102" t="str">
        <f>MID(VLOOKUP($A3,Seqs!$A:$B,2,FALSE),VLOOKUP($A3,'NonXtal_SegEnds_Prot#'!$A:$AL,22,FALSE)+10,1)</f>
        <v>P</v>
      </c>
      <c r="AB3" s="71" t="str">
        <f>MID(VLOOKUP($A3,Seqs!$A:$B,2,FALSE),VLOOKUP($A3,'NonXtal_SegEnds_Prot#'!$A:$AL,28,FALSE)-4,1)</f>
        <v>A</v>
      </c>
      <c r="AC3" s="102" t="str">
        <f>MID(VLOOKUP($A3,Seqs!$A:$B,2,FALSE),VLOOKUP($A3,'NonXtal_SegEnds_Prot#'!$A:$AL,28,FALSE),1)</f>
        <v>P</v>
      </c>
    </row>
    <row r="4" spans="1:29" s="2" customFormat="1" x14ac:dyDescent="0.2">
      <c r="A4" s="2" t="s">
        <v>323</v>
      </c>
      <c r="B4" s="2" t="str">
        <f>LOWER(VLOOKUP(A4,Xtal_Templ!A:B,2,FALSE))</f>
        <v>5ht1b_human</v>
      </c>
      <c r="C4" s="2" t="str">
        <f>VLOOKUP(A4,Classification!A:D,2,FALSE)</f>
        <v>A</v>
      </c>
      <c r="E4" s="2" t="s">
        <v>20</v>
      </c>
      <c r="N4" s="2" t="s">
        <v>43</v>
      </c>
      <c r="P4" s="4" t="s">
        <v>51</v>
      </c>
      <c r="R4" s="71" t="str">
        <f>MID(VLOOKUP($A4,Seqs!$A:$B,2,FALSE),VLOOKUP($A4,'NonXtal_SegEnds_Prot#'!A:AL,10,FALSE),1)</f>
        <v>D</v>
      </c>
      <c r="S4" s="102" t="str">
        <f>MID(VLOOKUP($A4,Seqs!$A:$B,2,FALSE),VLOOKUP($A4,'NonXtal_SegEnds_Prot#'!A:AL,10,FALSE)+6,1)</f>
        <v>L</v>
      </c>
      <c r="T4" s="102" t="str">
        <f>MID(VLOOKUP($A4,Seqs!$A:$B,2,FALSE),VLOOKUP($A4,'NonXtal_SegEnds_Prot#'!A:AL,10,FALSE)+7,1)</f>
        <v>V</v>
      </c>
      <c r="U4" s="102" t="str">
        <f>MID(VLOOKUP($A4,Seqs!$A:$B,2,FALSE),VLOOKUP($A4,'NonXtal_SegEnds_Prot#'!A:AL,10,FALSE)+8,1)</f>
        <v>M</v>
      </c>
      <c r="V4" s="102" t="str">
        <f>MID(VLOOKUP($A4,Seqs!$A:$B,2,FALSE),VLOOKUP($A4,'NonXtal_SegEnds_Prot#'!A:AL,10,FALSE)+9,1)</f>
        <v>P</v>
      </c>
      <c r="W4" s="71" t="str">
        <f>MID(VLOOKUP($A4,Seqs!$A:$B,2,FALSE),VLOOKUP($A4,'NonXtal_SegEnds_Prot#'!$A:$AL,22,FALSE)+6,1)</f>
        <v>I</v>
      </c>
      <c r="X4" s="102" t="str">
        <f>MID(VLOOKUP($A4,Seqs!$A:$B,2,FALSE),VLOOKUP($A4,'NonXtal_SegEnds_Prot#'!$A:$AL,22,FALSE)+7,1)</f>
        <v>S</v>
      </c>
      <c r="Y4" s="102" t="str">
        <f>MID(VLOOKUP($A4,Seqs!$A:$B,2,FALSE),VLOOKUP($A4,'NonXtal_SegEnds_Prot#'!$A:$AL,22,FALSE)+8,1)</f>
        <v>I</v>
      </c>
      <c r="Z4" s="102" t="str">
        <f>MID(VLOOKUP($A4,Seqs!$A:$B,2,FALSE),VLOOKUP($A4,'NonXtal_SegEnds_Prot#'!$A:$AL,22,FALSE)+9,1)</f>
        <v>P</v>
      </c>
      <c r="AA4" s="102" t="str">
        <f>MID(VLOOKUP($A4,Seqs!$A:$B,2,FALSE),VLOOKUP($A4,'NonXtal_SegEnds_Prot#'!$A:$AL,22,FALSE)+10,1)</f>
        <v>P</v>
      </c>
      <c r="AB4" s="71" t="str">
        <f>MID(VLOOKUP($A4,Seqs!$A:$B,2,FALSE),VLOOKUP($A4,'NonXtal_SegEnds_Prot#'!$A:$AL,28,FALSE)-4,1)</f>
        <v>A</v>
      </c>
      <c r="AC4" s="102" t="str">
        <f>MID(VLOOKUP($A4,Seqs!$A:$B,2,FALSE),VLOOKUP($A4,'NonXtal_SegEnds_Prot#'!$A:$AL,28,FALSE),1)</f>
        <v>P</v>
      </c>
    </row>
    <row r="5" spans="1:29" s="2" customFormat="1" x14ac:dyDescent="0.2">
      <c r="A5" s="2" t="s">
        <v>324</v>
      </c>
      <c r="B5" s="2" t="str">
        <f>LOWER(VLOOKUP(A5,Xtal_Templ!A:B,2,FALSE))</f>
        <v>5ht1b_human</v>
      </c>
      <c r="C5" s="2" t="str">
        <f>VLOOKUP(A5,Classification!A:D,2,FALSE)</f>
        <v>A</v>
      </c>
      <c r="E5" s="2" t="s">
        <v>20</v>
      </c>
      <c r="N5" s="2" t="s">
        <v>43</v>
      </c>
      <c r="P5" s="4" t="s">
        <v>51</v>
      </c>
      <c r="R5" s="71" t="str">
        <f>MID(VLOOKUP($A5,Seqs!$A:$B,2,FALSE),VLOOKUP($A5,'NonXtal_SegEnds_Prot#'!A:AL,10,FALSE),1)</f>
        <v>D</v>
      </c>
      <c r="S5" s="102" t="str">
        <f>MID(VLOOKUP($A5,Seqs!$A:$B,2,FALSE),VLOOKUP($A5,'NonXtal_SegEnds_Prot#'!A:AL,10,FALSE)+6,1)</f>
        <v>L</v>
      </c>
      <c r="T5" s="102" t="str">
        <f>MID(VLOOKUP($A5,Seqs!$A:$B,2,FALSE),VLOOKUP($A5,'NonXtal_SegEnds_Prot#'!A:AL,10,FALSE)+7,1)</f>
        <v>V</v>
      </c>
      <c r="U5" s="102" t="str">
        <f>MID(VLOOKUP($A5,Seqs!$A:$B,2,FALSE),VLOOKUP($A5,'NonXtal_SegEnds_Prot#'!A:AL,10,FALSE)+8,1)</f>
        <v>M</v>
      </c>
      <c r="V5" s="102" t="str">
        <f>MID(VLOOKUP($A5,Seqs!$A:$B,2,FALSE),VLOOKUP($A5,'NonXtal_SegEnds_Prot#'!A:AL,10,FALSE)+9,1)</f>
        <v>P</v>
      </c>
      <c r="W5" s="71" t="str">
        <f>MID(VLOOKUP($A5,Seqs!$A:$B,2,FALSE),VLOOKUP($A5,'NonXtal_SegEnds_Prot#'!$A:$AL,22,FALSE)+6,1)</f>
        <v>I</v>
      </c>
      <c r="X5" s="102" t="str">
        <f>MID(VLOOKUP($A5,Seqs!$A:$B,2,FALSE),VLOOKUP($A5,'NonXtal_SegEnds_Prot#'!$A:$AL,22,FALSE)+7,1)</f>
        <v>S</v>
      </c>
      <c r="Y5" s="102" t="str">
        <f>MID(VLOOKUP($A5,Seqs!$A:$B,2,FALSE),VLOOKUP($A5,'NonXtal_SegEnds_Prot#'!$A:$AL,22,FALSE)+8,1)</f>
        <v>M</v>
      </c>
      <c r="Z5" s="102" t="str">
        <f>MID(VLOOKUP($A5,Seqs!$A:$B,2,FALSE),VLOOKUP($A5,'NonXtal_SegEnds_Prot#'!$A:$AL,22,FALSE)+9,1)</f>
        <v>P</v>
      </c>
      <c r="AA5" s="102" t="str">
        <f>MID(VLOOKUP($A5,Seqs!$A:$B,2,FALSE),VLOOKUP($A5,'NonXtal_SegEnds_Prot#'!$A:$AL,22,FALSE)+10,1)</f>
        <v>P</v>
      </c>
      <c r="AB5" s="71" t="str">
        <f>MID(VLOOKUP($A5,Seqs!$A:$B,2,FALSE),VLOOKUP($A5,'NonXtal_SegEnds_Prot#'!$A:$AL,28,FALSE)-4,1)</f>
        <v>A</v>
      </c>
      <c r="AC5" s="102" t="str">
        <f>MID(VLOOKUP($A5,Seqs!$A:$B,2,FALSE),VLOOKUP($A5,'NonXtal_SegEnds_Prot#'!$A:$AL,28,FALSE),1)</f>
        <v>P</v>
      </c>
    </row>
    <row r="6" spans="1:29" s="2" customFormat="1" x14ac:dyDescent="0.2">
      <c r="A6" s="2" t="s">
        <v>325</v>
      </c>
      <c r="B6" s="2" t="str">
        <f>LOWER(VLOOKUP(A6,Xtal_Templ!A:B,2,FALSE))</f>
        <v>5ht1b_human</v>
      </c>
      <c r="C6" s="2" t="str">
        <f>VLOOKUP(A6,Classification!A:D,2,FALSE)</f>
        <v>A</v>
      </c>
      <c r="E6" s="2" t="s">
        <v>20</v>
      </c>
      <c r="N6" s="2" t="s">
        <v>43</v>
      </c>
      <c r="P6" s="4" t="s">
        <v>51</v>
      </c>
      <c r="R6" s="71" t="str">
        <f>MID(VLOOKUP($A6,Seqs!$A:$B,2,FALSE),VLOOKUP($A6,'NonXtal_SegEnds_Prot#'!A:AL,10,FALSE),1)</f>
        <v>D</v>
      </c>
      <c r="S6" s="102" t="str">
        <f>MID(VLOOKUP($A6,Seqs!$A:$B,2,FALSE),VLOOKUP($A6,'NonXtal_SegEnds_Prot#'!A:AL,10,FALSE)+6,1)</f>
        <v>L</v>
      </c>
      <c r="T6" s="102" t="str">
        <f>MID(VLOOKUP($A6,Seqs!$A:$B,2,FALSE),VLOOKUP($A6,'NonXtal_SegEnds_Prot#'!A:AL,10,FALSE)+7,1)</f>
        <v>V</v>
      </c>
      <c r="U6" s="102" t="str">
        <f>MID(VLOOKUP($A6,Seqs!$A:$B,2,FALSE),VLOOKUP($A6,'NonXtal_SegEnds_Prot#'!A:AL,10,FALSE)+8,1)</f>
        <v>M</v>
      </c>
      <c r="V6" s="102" t="str">
        <f>MID(VLOOKUP($A6,Seqs!$A:$B,2,FALSE),VLOOKUP($A6,'NonXtal_SegEnds_Prot#'!A:AL,10,FALSE)+9,1)</f>
        <v>P</v>
      </c>
      <c r="W6" s="71" t="str">
        <f>MID(VLOOKUP($A6,Seqs!$A:$B,2,FALSE),VLOOKUP($A6,'NonXtal_SegEnds_Prot#'!$A:$AL,22,FALSE)+6,1)</f>
        <v>I</v>
      </c>
      <c r="X6" s="102" t="str">
        <f>MID(VLOOKUP($A6,Seqs!$A:$B,2,FALSE),VLOOKUP($A6,'NonXtal_SegEnds_Prot#'!$A:$AL,22,FALSE)+7,1)</f>
        <v>S</v>
      </c>
      <c r="Y6" s="102" t="str">
        <f>MID(VLOOKUP($A6,Seqs!$A:$B,2,FALSE),VLOOKUP($A6,'NonXtal_SegEnds_Prot#'!$A:$AL,22,FALSE)+8,1)</f>
        <v>M</v>
      </c>
      <c r="Z6" s="102" t="str">
        <f>MID(VLOOKUP($A6,Seqs!$A:$B,2,FALSE),VLOOKUP($A6,'NonXtal_SegEnds_Prot#'!$A:$AL,22,FALSE)+9,1)</f>
        <v>P</v>
      </c>
      <c r="AA6" s="102" t="str">
        <f>MID(VLOOKUP($A6,Seqs!$A:$B,2,FALSE),VLOOKUP($A6,'NonXtal_SegEnds_Prot#'!$A:$AL,22,FALSE)+10,1)</f>
        <v>P</v>
      </c>
      <c r="AB6" s="71" t="str">
        <f>MID(VLOOKUP($A6,Seqs!$A:$B,2,FALSE),VLOOKUP($A6,'NonXtal_SegEnds_Prot#'!$A:$AL,28,FALSE)-4,1)</f>
        <v>A</v>
      </c>
      <c r="AC6" s="102" t="str">
        <f>MID(VLOOKUP($A6,Seqs!$A:$B,2,FALSE),VLOOKUP($A6,'NonXtal_SegEnds_Prot#'!$A:$AL,28,FALSE),1)</f>
        <v>P</v>
      </c>
    </row>
    <row r="7" spans="1:29" s="2" customFormat="1" x14ac:dyDescent="0.2">
      <c r="A7" s="2" t="s">
        <v>326</v>
      </c>
      <c r="B7" s="2" t="str">
        <f>LOWER(VLOOKUP(A7,Xtal_Templ!A:B,2,FALSE))</f>
        <v>5ht2b_human</v>
      </c>
      <c r="C7" s="2" t="str">
        <f>VLOOKUP(A7,Classification!A:D,2,FALSE)</f>
        <v>A</v>
      </c>
      <c r="E7" s="2" t="s">
        <v>20</v>
      </c>
      <c r="K7" s="2" t="s">
        <v>59</v>
      </c>
      <c r="N7" s="2" t="s">
        <v>43</v>
      </c>
      <c r="P7" s="4" t="s">
        <v>51</v>
      </c>
      <c r="R7" s="71" t="str">
        <f>MID(VLOOKUP($A7,Seqs!$A:$B,2,FALSE),VLOOKUP($A7,'NonXtal_SegEnds_Prot#'!A:AL,10,FALSE),1)</f>
        <v>D</v>
      </c>
      <c r="S7" s="102" t="str">
        <f>MID(VLOOKUP($A7,Seqs!$A:$B,2,FALSE),VLOOKUP($A7,'NonXtal_SegEnds_Prot#'!A:AL,10,FALSE)+6,1)</f>
        <v>L</v>
      </c>
      <c r="T7" s="102" t="str">
        <f>MID(VLOOKUP($A7,Seqs!$A:$B,2,FALSE),VLOOKUP($A7,'NonXtal_SegEnds_Prot#'!A:AL,10,FALSE)+7,1)</f>
        <v>V</v>
      </c>
      <c r="U7" s="102" t="str">
        <f>MID(VLOOKUP($A7,Seqs!$A:$B,2,FALSE),VLOOKUP($A7,'NonXtal_SegEnds_Prot#'!A:AL,10,FALSE)+8,1)</f>
        <v>M</v>
      </c>
      <c r="V7" s="102" t="str">
        <f>MID(VLOOKUP($A7,Seqs!$A:$B,2,FALSE),VLOOKUP($A7,'NonXtal_SegEnds_Prot#'!A:AL,10,FALSE)+9,1)</f>
        <v>P</v>
      </c>
      <c r="W7" s="71" t="str">
        <f>MID(VLOOKUP($A7,Seqs!$A:$B,2,FALSE),VLOOKUP($A7,'NonXtal_SegEnds_Prot#'!$A:$AL,22,FALSE)+6,1)</f>
        <v>I</v>
      </c>
      <c r="X7" s="102" t="str">
        <f>MID(VLOOKUP($A7,Seqs!$A:$B,2,FALSE),VLOOKUP($A7,'NonXtal_SegEnds_Prot#'!$A:$AL,22,FALSE)+7,1)</f>
        <v>S</v>
      </c>
      <c r="Y7" s="102" t="str">
        <f>MID(VLOOKUP($A7,Seqs!$A:$B,2,FALSE),VLOOKUP($A7,'NonXtal_SegEnds_Prot#'!$A:$AL,22,FALSE)+8,1)</f>
        <v>M</v>
      </c>
      <c r="Z7" s="102" t="str">
        <f>MID(VLOOKUP($A7,Seqs!$A:$B,2,FALSE),VLOOKUP($A7,'NonXtal_SegEnds_Prot#'!$A:$AL,22,FALSE)+9,1)</f>
        <v>P</v>
      </c>
      <c r="AA7" s="102" t="str">
        <f>MID(VLOOKUP($A7,Seqs!$A:$B,2,FALSE),VLOOKUP($A7,'NonXtal_SegEnds_Prot#'!$A:$AL,22,FALSE)+10,1)</f>
        <v>I</v>
      </c>
      <c r="AB7" s="71" t="str">
        <f>MID(VLOOKUP($A7,Seqs!$A:$B,2,FALSE),VLOOKUP($A7,'NonXtal_SegEnds_Prot#'!$A:$AL,28,FALSE)-4,1)</f>
        <v>S</v>
      </c>
      <c r="AC7" s="102" t="str">
        <f>MID(VLOOKUP($A7,Seqs!$A:$B,2,FALSE),VLOOKUP($A7,'NonXtal_SegEnds_Prot#'!$A:$AL,28,FALSE),1)</f>
        <v>P</v>
      </c>
    </row>
    <row r="8" spans="1:29" s="2" customFormat="1" x14ac:dyDescent="0.2">
      <c r="A8" s="2" t="s">
        <v>209</v>
      </c>
      <c r="B8" s="2" t="str">
        <f>LOWER(VLOOKUP(A8,Xtal_Templ!A:B,2,FALSE))</f>
        <v>5ht2b_human</v>
      </c>
      <c r="C8" s="2" t="str">
        <f>VLOOKUP(A8,Classification!A:D,2,FALSE)</f>
        <v>A</v>
      </c>
      <c r="D8" s="2" t="s">
        <v>56</v>
      </c>
      <c r="E8" s="2" t="s">
        <v>20</v>
      </c>
      <c r="K8" s="2" t="s">
        <v>59</v>
      </c>
      <c r="N8" s="2" t="s">
        <v>43</v>
      </c>
      <c r="P8" s="4" t="s">
        <v>51</v>
      </c>
      <c r="R8" s="71" t="str">
        <f>MID(VLOOKUP($A8,Seqs!$A:$B,2,FALSE),VLOOKUP($A8,'NonXtal_SegEnds_Prot#'!A:AL,10,FALSE),1)</f>
        <v>D</v>
      </c>
      <c r="S8" s="102" t="str">
        <f>MID(VLOOKUP($A8,Seqs!$A:$B,2,FALSE),VLOOKUP($A8,'NonXtal_SegEnds_Prot#'!A:AL,10,FALSE)+6,1)</f>
        <v>F</v>
      </c>
      <c r="T8" s="102" t="str">
        <f>MID(VLOOKUP($A8,Seqs!$A:$B,2,FALSE),VLOOKUP($A8,'NonXtal_SegEnds_Prot#'!A:AL,10,FALSE)+7,1)</f>
        <v>V</v>
      </c>
      <c r="U8" s="102" t="str">
        <f>MID(VLOOKUP($A8,Seqs!$A:$B,2,FALSE),VLOOKUP($A8,'NonXtal_SegEnds_Prot#'!A:AL,10,FALSE)+8,1)</f>
        <v>M</v>
      </c>
      <c r="V8" s="102" t="str">
        <f>MID(VLOOKUP($A8,Seqs!$A:$B,2,FALSE),VLOOKUP($A8,'NonXtal_SegEnds_Prot#'!A:AL,10,FALSE)+9,1)</f>
        <v>P</v>
      </c>
      <c r="W8" s="71" t="str">
        <f>MID(VLOOKUP($A8,Seqs!$A:$B,2,FALSE),VLOOKUP($A8,'NonXtal_SegEnds_Prot#'!$A:$AL,22,FALSE)+6,1)</f>
        <v>I</v>
      </c>
      <c r="X8" s="102" t="str">
        <f>MID(VLOOKUP($A8,Seqs!$A:$B,2,FALSE),VLOOKUP($A8,'NonXtal_SegEnds_Prot#'!$A:$AL,22,FALSE)+7,1)</f>
        <v>A</v>
      </c>
      <c r="Y8" s="102" t="str">
        <f>MID(VLOOKUP($A8,Seqs!$A:$B,2,FALSE),VLOOKUP($A8,'NonXtal_SegEnds_Prot#'!$A:$AL,22,FALSE)+8,1)</f>
        <v>I</v>
      </c>
      <c r="Z8" s="102" t="str">
        <f>MID(VLOOKUP($A8,Seqs!$A:$B,2,FALSE),VLOOKUP($A8,'NonXtal_SegEnds_Prot#'!$A:$AL,22,FALSE)+9,1)</f>
        <v>P</v>
      </c>
      <c r="AA8" s="102" t="str">
        <f>MID(VLOOKUP($A8,Seqs!$A:$B,2,FALSE),VLOOKUP($A8,'NonXtal_SegEnds_Prot#'!$A:$AL,22,FALSE)+10,1)</f>
        <v>V</v>
      </c>
      <c r="AB8" s="71" t="str">
        <f>MID(VLOOKUP($A8,Seqs!$A:$B,2,FALSE),VLOOKUP($A8,'NonXtal_SegEnds_Prot#'!$A:$AL,28,FALSE)-4,1)</f>
        <v>A</v>
      </c>
      <c r="AC8" s="102" t="str">
        <f>MID(VLOOKUP($A8,Seqs!$A:$B,2,FALSE),VLOOKUP($A8,'NonXtal_SegEnds_Prot#'!$A:$AL,28,FALSE),1)</f>
        <v>P</v>
      </c>
    </row>
    <row r="9" spans="1:29" s="2" customFormat="1" x14ac:dyDescent="0.2">
      <c r="A9" s="2" t="s">
        <v>327</v>
      </c>
      <c r="B9" s="2" t="str">
        <f>LOWER(VLOOKUP(A9,Xtal_Templ!A:B,2,FALSE))</f>
        <v>5ht2b_human</v>
      </c>
      <c r="C9" s="2" t="str">
        <f>VLOOKUP(A9,Classification!A:D,2,FALSE)</f>
        <v>A</v>
      </c>
      <c r="E9" s="2" t="s">
        <v>20</v>
      </c>
      <c r="K9" s="2" t="s">
        <v>59</v>
      </c>
      <c r="N9" s="2" t="s">
        <v>43</v>
      </c>
      <c r="P9" s="4" t="s">
        <v>51</v>
      </c>
      <c r="R9" s="71" t="str">
        <f>MID(VLOOKUP($A9,Seqs!$A:$B,2,FALSE),VLOOKUP($A9,'NonXtal_SegEnds_Prot#'!A:AL,10,FALSE),1)</f>
        <v>D</v>
      </c>
      <c r="S9" s="102" t="str">
        <f>MID(VLOOKUP($A9,Seqs!$A:$B,2,FALSE),VLOOKUP($A9,'NonXtal_SegEnds_Prot#'!A:AL,10,FALSE)+6,1)</f>
        <v>L</v>
      </c>
      <c r="T9" s="102" t="str">
        <f>MID(VLOOKUP($A9,Seqs!$A:$B,2,FALSE),VLOOKUP($A9,'NonXtal_SegEnds_Prot#'!A:AL,10,FALSE)+7,1)</f>
        <v>V</v>
      </c>
      <c r="U9" s="102" t="str">
        <f>MID(VLOOKUP($A9,Seqs!$A:$B,2,FALSE),VLOOKUP($A9,'NonXtal_SegEnds_Prot#'!A:AL,10,FALSE)+8,1)</f>
        <v>M</v>
      </c>
      <c r="V9" s="102" t="str">
        <f>MID(VLOOKUP($A9,Seqs!$A:$B,2,FALSE),VLOOKUP($A9,'NonXtal_SegEnds_Prot#'!A:AL,10,FALSE)+9,1)</f>
        <v>P</v>
      </c>
      <c r="W9" s="71" t="str">
        <f>MID(VLOOKUP($A9,Seqs!$A:$B,2,FALSE),VLOOKUP($A9,'NonXtal_SegEnds_Prot#'!$A:$AL,22,FALSE)+6,1)</f>
        <v>V</v>
      </c>
      <c r="X9" s="102" t="str">
        <f>MID(VLOOKUP($A9,Seqs!$A:$B,2,FALSE),VLOOKUP($A9,'NonXtal_SegEnds_Prot#'!$A:$AL,22,FALSE)+7,1)</f>
        <v>S</v>
      </c>
      <c r="Y9" s="102" t="str">
        <f>MID(VLOOKUP($A9,Seqs!$A:$B,2,FALSE),VLOOKUP($A9,'NonXtal_SegEnds_Prot#'!$A:$AL,22,FALSE)+8,1)</f>
        <v>V</v>
      </c>
      <c r="Z9" s="102" t="str">
        <f>MID(VLOOKUP($A9,Seqs!$A:$B,2,FALSE),VLOOKUP($A9,'NonXtal_SegEnds_Prot#'!$A:$AL,22,FALSE)+9,1)</f>
        <v>P</v>
      </c>
      <c r="AA9" s="102" t="str">
        <f>MID(VLOOKUP($A9,Seqs!$A:$B,2,FALSE),VLOOKUP($A9,'NonXtal_SegEnds_Prot#'!$A:$AL,22,FALSE)+10,1)</f>
        <v>I</v>
      </c>
      <c r="AB9" s="71" t="str">
        <f>MID(VLOOKUP($A9,Seqs!$A:$B,2,FALSE),VLOOKUP($A9,'NonXtal_SegEnds_Prot#'!$A:$AL,28,FALSE)-4,1)</f>
        <v>A</v>
      </c>
      <c r="AC9" s="102" t="str">
        <f>MID(VLOOKUP($A9,Seqs!$A:$B,2,FALSE),VLOOKUP($A9,'NonXtal_SegEnds_Prot#'!$A:$AL,28,FALSE),1)</f>
        <v>P</v>
      </c>
    </row>
    <row r="10" spans="1:29" s="2" customFormat="1" x14ac:dyDescent="0.2">
      <c r="A10" s="2" t="s">
        <v>328</v>
      </c>
      <c r="B10" s="2" t="str">
        <f>LOWER(VLOOKUP(A10,Xtal_Templ!A:B,2,FALSE))</f>
        <v>adrb1_melga</v>
      </c>
      <c r="C10" s="2" t="str">
        <f>VLOOKUP(A10,Classification!A:D,2,FALSE)</f>
        <v>A</v>
      </c>
      <c r="E10" s="2" t="s">
        <v>20</v>
      </c>
      <c r="N10" s="2" t="s">
        <v>43</v>
      </c>
      <c r="P10" s="4" t="s">
        <v>51</v>
      </c>
      <c r="R10" s="71" t="str">
        <f>MID(VLOOKUP($A10,Seqs!$A:$B,2,FALSE),VLOOKUP($A10,'NonXtal_SegEnds_Prot#'!A:AL,10,FALSE),1)</f>
        <v>D</v>
      </c>
      <c r="S10" s="102" t="str">
        <f>MID(VLOOKUP($A10,Seqs!$A:$B,2,FALSE),VLOOKUP($A10,'NonXtal_SegEnds_Prot#'!A:AL,10,FALSE)+6,1)</f>
        <v>L</v>
      </c>
      <c r="T10" s="102" t="str">
        <f>MID(VLOOKUP($A10,Seqs!$A:$B,2,FALSE),VLOOKUP($A10,'NonXtal_SegEnds_Prot#'!A:AL,10,FALSE)+7,1)</f>
        <v>V</v>
      </c>
      <c r="U10" s="102" t="str">
        <f>MID(VLOOKUP($A10,Seqs!$A:$B,2,FALSE),VLOOKUP($A10,'NonXtal_SegEnds_Prot#'!A:AL,10,FALSE)+8,1)</f>
        <v>M</v>
      </c>
      <c r="V10" s="102" t="str">
        <f>MID(VLOOKUP($A10,Seqs!$A:$B,2,FALSE),VLOOKUP($A10,'NonXtal_SegEnds_Prot#'!A:AL,10,FALSE)+9,1)</f>
        <v>P</v>
      </c>
      <c r="W10" s="71" t="str">
        <f>MID(VLOOKUP($A10,Seqs!$A:$B,2,FALSE),VLOOKUP($A10,'NonXtal_SegEnds_Prot#'!$A:$AL,22,FALSE)+6,1)</f>
        <v>I</v>
      </c>
      <c r="X10" s="102" t="str">
        <f>MID(VLOOKUP($A10,Seqs!$A:$B,2,FALSE),VLOOKUP($A10,'NonXtal_SegEnds_Prot#'!$A:$AL,22,FALSE)+7,1)</f>
        <v>S</v>
      </c>
      <c r="Y10" s="102" t="str">
        <f>MID(VLOOKUP($A10,Seqs!$A:$B,2,FALSE),VLOOKUP($A10,'NonXtal_SegEnds_Prot#'!$A:$AL,22,FALSE)+8,1)</f>
        <v>F</v>
      </c>
      <c r="Z10" s="102" t="str">
        <f>MID(VLOOKUP($A10,Seqs!$A:$B,2,FALSE),VLOOKUP($A10,'NonXtal_SegEnds_Prot#'!$A:$AL,22,FALSE)+9,1)</f>
        <v>L</v>
      </c>
      <c r="AA10" s="102" t="str">
        <f>MID(VLOOKUP($A10,Seqs!$A:$B,2,FALSE),VLOOKUP($A10,'NonXtal_SegEnds_Prot#'!$A:$AL,22,FALSE)+10,1)</f>
        <v>P</v>
      </c>
      <c r="AB10" s="71" t="str">
        <f>MID(VLOOKUP($A10,Seqs!$A:$B,2,FALSE),VLOOKUP($A10,'NonXtal_SegEnds_Prot#'!$A:$AL,28,FALSE)-4,1)</f>
        <v>A</v>
      </c>
      <c r="AC10" s="102" t="str">
        <f>MID(VLOOKUP($A10,Seqs!$A:$B,2,FALSE),VLOOKUP($A10,'NonXtal_SegEnds_Prot#'!$A:$AL,28,FALSE),1)</f>
        <v>P</v>
      </c>
    </row>
    <row r="11" spans="1:29" s="2" customFormat="1" x14ac:dyDescent="0.2">
      <c r="A11" s="2" t="s">
        <v>329</v>
      </c>
      <c r="B11" s="2" t="str">
        <f>LOWER(VLOOKUP(A11,Xtal_Templ!A:B,2,FALSE))</f>
        <v>5ht1b_human</v>
      </c>
      <c r="C11" s="2" t="str">
        <f>VLOOKUP(A11,Classification!A:D,2,FALSE)</f>
        <v>A</v>
      </c>
      <c r="E11" s="2" t="s">
        <v>20</v>
      </c>
      <c r="N11" s="2" t="s">
        <v>43</v>
      </c>
      <c r="P11" s="4" t="s">
        <v>51</v>
      </c>
      <c r="R11" s="71" t="str">
        <f>MID(VLOOKUP($A11,Seqs!$A:$B,2,FALSE),VLOOKUP($A11,'NonXtal_SegEnds_Prot#'!A:AL,10,FALSE),1)</f>
        <v>D</v>
      </c>
      <c r="S11" s="102" t="str">
        <f>MID(VLOOKUP($A11,Seqs!$A:$B,2,FALSE),VLOOKUP($A11,'NonXtal_SegEnds_Prot#'!A:AL,10,FALSE)+6,1)</f>
        <v>L</v>
      </c>
      <c r="T11" s="102" t="str">
        <f>MID(VLOOKUP($A11,Seqs!$A:$B,2,FALSE),VLOOKUP($A11,'NonXtal_SegEnds_Prot#'!A:AL,10,FALSE)+7,1)</f>
        <v>V</v>
      </c>
      <c r="U11" s="102" t="str">
        <f>MID(VLOOKUP($A11,Seqs!$A:$B,2,FALSE),VLOOKUP($A11,'NonXtal_SegEnds_Prot#'!A:AL,10,FALSE)+8,1)</f>
        <v>M</v>
      </c>
      <c r="V11" s="102" t="str">
        <f>MID(VLOOKUP($A11,Seqs!$A:$B,2,FALSE),VLOOKUP($A11,'NonXtal_SegEnds_Prot#'!A:AL,10,FALSE)+9,1)</f>
        <v>P</v>
      </c>
      <c r="W11" s="71" t="str">
        <f>MID(VLOOKUP($A11,Seqs!$A:$B,2,FALSE),VLOOKUP($A11,'NonXtal_SegEnds_Prot#'!$A:$AL,22,FALSE)+6,1)</f>
        <v>I</v>
      </c>
      <c r="X11" s="102" t="str">
        <f>MID(VLOOKUP($A11,Seqs!$A:$B,2,FALSE),VLOOKUP($A11,'NonXtal_SegEnds_Prot#'!$A:$AL,22,FALSE)+7,1)</f>
        <v>S</v>
      </c>
      <c r="Y11" s="102" t="str">
        <f>MID(VLOOKUP($A11,Seqs!$A:$B,2,FALSE),VLOOKUP($A11,'NonXtal_SegEnds_Prot#'!$A:$AL,22,FALSE)+8,1)</f>
        <v>L</v>
      </c>
      <c r="Z11" s="102" t="str">
        <f>MID(VLOOKUP($A11,Seqs!$A:$B,2,FALSE),VLOOKUP($A11,'NonXtal_SegEnds_Prot#'!$A:$AL,22,FALSE)+9,1)</f>
        <v>A</v>
      </c>
      <c r="AA11" s="102" t="str">
        <f>MID(VLOOKUP($A11,Seqs!$A:$B,2,FALSE),VLOOKUP($A11,'NonXtal_SegEnds_Prot#'!$A:$AL,22,FALSE)+10,1)</f>
        <v>P</v>
      </c>
      <c r="AB11" s="71" t="str">
        <f>MID(VLOOKUP($A11,Seqs!$A:$B,2,FALSE),VLOOKUP($A11,'NonXtal_SegEnds_Prot#'!$A:$AL,28,FALSE)-4,1)</f>
        <v>A</v>
      </c>
      <c r="AC11" s="102" t="str">
        <f>MID(VLOOKUP($A11,Seqs!$A:$B,2,FALSE),VLOOKUP($A11,'NonXtal_SegEnds_Prot#'!$A:$AL,28,FALSE),1)</f>
        <v>P</v>
      </c>
    </row>
    <row r="12" spans="1:29" s="2" customFormat="1" x14ac:dyDescent="0.2">
      <c r="A12" s="2" t="s">
        <v>330</v>
      </c>
      <c r="B12" s="2" t="str">
        <f>LOWER(VLOOKUP(A12,Xtal_Templ!A:B,2,FALSE))</f>
        <v>adrb1_melga</v>
      </c>
      <c r="C12" s="2" t="str">
        <f>VLOOKUP(A12,Classification!A:D,2,FALSE)</f>
        <v>A</v>
      </c>
      <c r="E12" s="2" t="s">
        <v>20</v>
      </c>
      <c r="N12" s="2" t="s">
        <v>43</v>
      </c>
      <c r="P12" s="4" t="s">
        <v>51</v>
      </c>
      <c r="R12" s="71" t="str">
        <f>MID(VLOOKUP($A12,Seqs!$A:$B,2,FALSE),VLOOKUP($A12,'NonXtal_SegEnds_Prot#'!A:AL,10,FALSE),1)</f>
        <v>D</v>
      </c>
      <c r="S12" s="102" t="str">
        <f>MID(VLOOKUP($A12,Seqs!$A:$B,2,FALSE),VLOOKUP($A12,'NonXtal_SegEnds_Prot#'!A:AL,10,FALSE)+6,1)</f>
        <v>V</v>
      </c>
      <c r="T12" s="102" t="str">
        <f>MID(VLOOKUP($A12,Seqs!$A:$B,2,FALSE),VLOOKUP($A12,'NonXtal_SegEnds_Prot#'!A:AL,10,FALSE)+7,1)</f>
        <v>V</v>
      </c>
      <c r="U12" s="102" t="str">
        <f>MID(VLOOKUP($A12,Seqs!$A:$B,2,FALSE),VLOOKUP($A12,'NonXtal_SegEnds_Prot#'!A:AL,10,FALSE)+8,1)</f>
        <v>M</v>
      </c>
      <c r="V12" s="102" t="str">
        <f>MID(VLOOKUP($A12,Seqs!$A:$B,2,FALSE),VLOOKUP($A12,'NonXtal_SegEnds_Prot#'!A:AL,10,FALSE)+9,1)</f>
        <v>P</v>
      </c>
      <c r="W12" s="71" t="str">
        <f>MID(VLOOKUP($A12,Seqs!$A:$B,2,FALSE),VLOOKUP($A12,'NonXtal_SegEnds_Prot#'!$A:$AL,22,FALSE)+6,1)</f>
        <v>A</v>
      </c>
      <c r="X12" s="102" t="str">
        <f>MID(VLOOKUP($A12,Seqs!$A:$B,2,FALSE),VLOOKUP($A12,'NonXtal_SegEnds_Prot#'!$A:$AL,22,FALSE)+7,1)</f>
        <v>S</v>
      </c>
      <c r="Y12" s="102" t="str">
        <f>MID(VLOOKUP($A12,Seqs!$A:$B,2,FALSE),VLOOKUP($A12,'NonXtal_SegEnds_Prot#'!$A:$AL,22,FALSE)+8,1)</f>
        <v>F</v>
      </c>
      <c r="Z12" s="102" t="str">
        <f>MID(VLOOKUP($A12,Seqs!$A:$B,2,FALSE),VLOOKUP($A12,'NonXtal_SegEnds_Prot#'!$A:$AL,22,FALSE)+9,1)</f>
        <v>L</v>
      </c>
      <c r="AA12" s="102" t="str">
        <f>MID(VLOOKUP($A12,Seqs!$A:$B,2,FALSE),VLOOKUP($A12,'NonXtal_SegEnds_Prot#'!$A:$AL,22,FALSE)+10,1)</f>
        <v>P</v>
      </c>
      <c r="AB12" s="71" t="str">
        <f>MID(VLOOKUP($A12,Seqs!$A:$B,2,FALSE),VLOOKUP($A12,'NonXtal_SegEnds_Prot#'!$A:$AL,28,FALSE)-4,1)</f>
        <v>T</v>
      </c>
      <c r="AC12" s="102" t="str">
        <f>MID(VLOOKUP($A12,Seqs!$A:$B,2,FALSE),VLOOKUP($A12,'NonXtal_SegEnds_Prot#'!$A:$AL,28,FALSE),1)</f>
        <v>P</v>
      </c>
    </row>
    <row r="13" spans="1:29" s="2" customFormat="1" x14ac:dyDescent="0.2">
      <c r="A13" s="2" t="s">
        <v>331</v>
      </c>
      <c r="B13" s="2" t="str">
        <f>LOWER(VLOOKUP(A13,Xtal_Templ!A:B,2,FALSE))</f>
        <v>5ht1b_human</v>
      </c>
      <c r="C13" s="2" t="str">
        <f>VLOOKUP(A13,Classification!A:D,2,FALSE)</f>
        <v>A</v>
      </c>
      <c r="E13" s="2" t="s">
        <v>20</v>
      </c>
      <c r="N13" s="2" t="s">
        <v>43</v>
      </c>
      <c r="P13" s="4" t="s">
        <v>51</v>
      </c>
      <c r="R13" s="71" t="str">
        <f>MID(VLOOKUP($A13,Seqs!$A:$B,2,FALSE),VLOOKUP($A13,'NonXtal_SegEnds_Prot#'!A:AL,10,FALSE),1)</f>
        <v>D</v>
      </c>
      <c r="S13" s="102" t="str">
        <f>MID(VLOOKUP($A13,Seqs!$A:$B,2,FALSE),VLOOKUP($A13,'NonXtal_SegEnds_Prot#'!A:AL,10,FALSE)+6,1)</f>
        <v>A</v>
      </c>
      <c r="T13" s="102" t="str">
        <f>MID(VLOOKUP($A13,Seqs!$A:$B,2,FALSE),VLOOKUP($A13,'NonXtal_SegEnds_Prot#'!A:AL,10,FALSE)+7,1)</f>
        <v>V</v>
      </c>
      <c r="U13" s="102" t="str">
        <f>MID(VLOOKUP($A13,Seqs!$A:$B,2,FALSE),VLOOKUP($A13,'NonXtal_SegEnds_Prot#'!A:AL,10,FALSE)+8,1)</f>
        <v>M</v>
      </c>
      <c r="V13" s="102" t="str">
        <f>MID(VLOOKUP($A13,Seqs!$A:$B,2,FALSE),VLOOKUP($A13,'NonXtal_SegEnds_Prot#'!A:AL,10,FALSE)+9,1)</f>
        <v>P</v>
      </c>
      <c r="W13" s="71" t="str">
        <f>MID(VLOOKUP($A13,Seqs!$A:$B,2,FALSE),VLOOKUP($A13,'NonXtal_SegEnds_Prot#'!$A:$AL,22,FALSE)+6,1)</f>
        <v>I</v>
      </c>
      <c r="X13" s="102" t="str">
        <f>MID(VLOOKUP($A13,Seqs!$A:$B,2,FALSE),VLOOKUP($A13,'NonXtal_SegEnds_Prot#'!$A:$AL,22,FALSE)+7,1)</f>
        <v>T</v>
      </c>
      <c r="Y13" s="102" t="str">
        <f>MID(VLOOKUP($A13,Seqs!$A:$B,2,FALSE),VLOOKUP($A13,'NonXtal_SegEnds_Prot#'!$A:$AL,22,FALSE)+8,1)</f>
        <v>L</v>
      </c>
      <c r="Z13" s="102" t="str">
        <f>MID(VLOOKUP($A13,Seqs!$A:$B,2,FALSE),VLOOKUP($A13,'NonXtal_SegEnds_Prot#'!$A:$AL,22,FALSE)+9,1)</f>
        <v>P</v>
      </c>
      <c r="AA13" s="102" t="str">
        <f>MID(VLOOKUP($A13,Seqs!$A:$B,2,FALSE),VLOOKUP($A13,'NonXtal_SegEnds_Prot#'!$A:$AL,22,FALSE)+10,1)</f>
        <v>P</v>
      </c>
      <c r="AB13" s="71" t="str">
        <f>MID(VLOOKUP($A13,Seqs!$A:$B,2,FALSE),VLOOKUP($A13,'NonXtal_SegEnds_Prot#'!$A:$AL,28,FALSE)-4,1)</f>
        <v>A</v>
      </c>
      <c r="AC13" s="102" t="str">
        <f>MID(VLOOKUP($A13,Seqs!$A:$B,2,FALSE),VLOOKUP($A13,'NonXtal_SegEnds_Prot#'!$A:$AL,28,FALSE),1)</f>
        <v>P</v>
      </c>
    </row>
    <row r="14" spans="1:29" s="2" customFormat="1" x14ac:dyDescent="0.2">
      <c r="A14" s="2" t="s">
        <v>332</v>
      </c>
      <c r="B14" s="2" t="str">
        <f>LOWER(VLOOKUP(A14,Xtal_Templ!A:B,2,FALSE))</f>
        <v>aa2ar_human</v>
      </c>
      <c r="C14" s="2" t="str">
        <f>VLOOKUP(A14,Classification!A:D,2,FALSE)</f>
        <v>A</v>
      </c>
      <c r="E14" s="2" t="s">
        <v>20</v>
      </c>
      <c r="L14" s="2" t="s">
        <v>1551</v>
      </c>
      <c r="N14" s="2" t="s">
        <v>43</v>
      </c>
      <c r="P14" s="4" t="s">
        <v>51</v>
      </c>
      <c r="R14" s="71" t="str">
        <f>MID(VLOOKUP($A14,Seqs!$A:$B,2,FALSE),VLOOKUP($A14,'NonXtal_SegEnds_Prot#'!A:AL,10,FALSE),1)</f>
        <v>D</v>
      </c>
      <c r="S14" s="102" t="str">
        <f>MID(VLOOKUP($A14,Seqs!$A:$B,2,FALSE),VLOOKUP($A14,'NonXtal_SegEnds_Prot#'!A:AL,10,FALSE)+6,1)</f>
        <v>L</v>
      </c>
      <c r="T14" s="102" t="str">
        <f>MID(VLOOKUP($A14,Seqs!$A:$B,2,FALSE),VLOOKUP($A14,'NonXtal_SegEnds_Prot#'!A:AL,10,FALSE)+7,1)</f>
        <v>V</v>
      </c>
      <c r="U14" s="102" t="str">
        <f>MID(VLOOKUP($A14,Seqs!$A:$B,2,FALSE),VLOOKUP($A14,'NonXtal_SegEnds_Prot#'!A:AL,10,FALSE)+8,1)</f>
        <v>I</v>
      </c>
      <c r="V14" s="102" t="str">
        <f>MID(VLOOKUP($A14,Seqs!$A:$B,2,FALSE),VLOOKUP($A14,'NonXtal_SegEnds_Prot#'!A:AL,10,FALSE)+9,1)</f>
        <v>P</v>
      </c>
      <c r="W14" s="71" t="str">
        <f>MID(VLOOKUP($A14,Seqs!$A:$B,2,FALSE),VLOOKUP($A14,'NonXtal_SegEnds_Prot#'!$A:$AL,22,FALSE)+6,1)</f>
        <v>V</v>
      </c>
      <c r="X14" s="102" t="str">
        <f>MID(VLOOKUP($A14,Seqs!$A:$B,2,FALSE),VLOOKUP($A14,'NonXtal_SegEnds_Prot#'!$A:$AL,22,FALSE)+7,1)</f>
        <v>G</v>
      </c>
      <c r="Y14" s="102" t="str">
        <f>MID(VLOOKUP($A14,Seqs!$A:$B,2,FALSE),VLOOKUP($A14,'NonXtal_SegEnds_Prot#'!$A:$AL,22,FALSE)+8,1)</f>
        <v>L</v>
      </c>
      <c r="Z14" s="102" t="str">
        <f>MID(VLOOKUP($A14,Seqs!$A:$B,2,FALSE),VLOOKUP($A14,'NonXtal_SegEnds_Prot#'!$A:$AL,22,FALSE)+9,1)</f>
        <v>T</v>
      </c>
      <c r="AA14" s="102" t="str">
        <f>MID(VLOOKUP($A14,Seqs!$A:$B,2,FALSE),VLOOKUP($A14,'NonXtal_SegEnds_Prot#'!$A:$AL,22,FALSE)+10,1)</f>
        <v>P</v>
      </c>
      <c r="AB14" s="71" t="str">
        <f>MID(VLOOKUP($A14,Seqs!$A:$B,2,FALSE),VLOOKUP($A14,'NonXtal_SegEnds_Prot#'!$A:$AL,28,FALSE)-4,1)</f>
        <v>W</v>
      </c>
      <c r="AC14" s="102" t="str">
        <f>MID(VLOOKUP($A14,Seqs!$A:$B,2,FALSE),VLOOKUP($A14,'NonXtal_SegEnds_Prot#'!$A:$AL,28,FALSE),1)</f>
        <v>P</v>
      </c>
    </row>
    <row r="15" spans="1:29" s="2" customFormat="1" x14ac:dyDescent="0.2">
      <c r="A15" s="2" t="s">
        <v>333</v>
      </c>
      <c r="B15" s="2" t="str">
        <f>LOWER(VLOOKUP(A15,Xtal_Templ!A:B,2,FALSE))</f>
        <v>aa2ar_human</v>
      </c>
      <c r="C15" s="2" t="str">
        <f>VLOOKUP(A15,Classification!A:D,2,FALSE)</f>
        <v>A</v>
      </c>
      <c r="E15" s="2" t="s">
        <v>20</v>
      </c>
      <c r="L15" s="2" t="s">
        <v>1551</v>
      </c>
      <c r="N15" s="2" t="s">
        <v>43</v>
      </c>
      <c r="P15" s="4" t="s">
        <v>51</v>
      </c>
      <c r="R15" s="71" t="str">
        <f>MID(VLOOKUP($A15,Seqs!$A:$B,2,FALSE),VLOOKUP($A15,'NonXtal_SegEnds_Prot#'!A:AL,10,FALSE),1)</f>
        <v>D</v>
      </c>
      <c r="S15" s="102" t="str">
        <f>MID(VLOOKUP($A15,Seqs!$A:$B,2,FALSE),VLOOKUP($A15,'NonXtal_SegEnds_Prot#'!A:AL,10,FALSE)+6,1)</f>
        <v>L</v>
      </c>
      <c r="T15" s="102" t="str">
        <f>MID(VLOOKUP($A15,Seqs!$A:$B,2,FALSE),VLOOKUP($A15,'NonXtal_SegEnds_Prot#'!A:AL,10,FALSE)+7,1)</f>
        <v>A</v>
      </c>
      <c r="U15" s="102" t="str">
        <f>MID(VLOOKUP($A15,Seqs!$A:$B,2,FALSE),VLOOKUP($A15,'NonXtal_SegEnds_Prot#'!A:AL,10,FALSE)+8,1)</f>
        <v>I</v>
      </c>
      <c r="V15" s="102" t="str">
        <f>MID(VLOOKUP($A15,Seqs!$A:$B,2,FALSE),VLOOKUP($A15,'NonXtal_SegEnds_Prot#'!A:AL,10,FALSE)+9,1)</f>
        <v>P</v>
      </c>
      <c r="W15" s="71" t="str">
        <f>MID(VLOOKUP($A15,Seqs!$A:$B,2,FALSE),VLOOKUP($A15,'NonXtal_SegEnds_Prot#'!$A:$AL,22,FALSE)+6,1)</f>
        <v>I</v>
      </c>
      <c r="X15" s="102" t="str">
        <f>MID(VLOOKUP($A15,Seqs!$A:$B,2,FALSE),VLOOKUP($A15,'NonXtal_SegEnds_Prot#'!$A:$AL,22,FALSE)+7,1)</f>
        <v>G</v>
      </c>
      <c r="Y15" s="102" t="str">
        <f>MID(VLOOKUP($A15,Seqs!$A:$B,2,FALSE),VLOOKUP($A15,'NonXtal_SegEnds_Prot#'!$A:$AL,22,FALSE)+8,1)</f>
        <v>L</v>
      </c>
      <c r="Z15" s="102" t="str">
        <f>MID(VLOOKUP($A15,Seqs!$A:$B,2,FALSE),VLOOKUP($A15,'NonXtal_SegEnds_Prot#'!$A:$AL,22,FALSE)+9,1)</f>
        <v>T</v>
      </c>
      <c r="AA15" s="102" t="str">
        <f>MID(VLOOKUP($A15,Seqs!$A:$B,2,FALSE),VLOOKUP($A15,'NonXtal_SegEnds_Prot#'!$A:$AL,22,FALSE)+10,1)</f>
        <v>P</v>
      </c>
      <c r="AB15" s="71" t="str">
        <f>MID(VLOOKUP($A15,Seqs!$A:$B,2,FALSE),VLOOKUP($A15,'NonXtal_SegEnds_Prot#'!$A:$AL,28,FALSE)-4,1)</f>
        <v>C</v>
      </c>
      <c r="AC15" s="102" t="str">
        <f>MID(VLOOKUP($A15,Seqs!$A:$B,2,FALSE),VLOOKUP($A15,'NonXtal_SegEnds_Prot#'!$A:$AL,28,FALSE),1)</f>
        <v>P</v>
      </c>
    </row>
    <row r="16" spans="1:29" s="2" customFormat="1" x14ac:dyDescent="0.2">
      <c r="A16" s="2" t="s">
        <v>334</v>
      </c>
      <c r="B16" s="2" t="str">
        <f>LOWER(VLOOKUP(A16,Xtal_Templ!A:B,2,FALSE))</f>
        <v>aa2ar_human</v>
      </c>
      <c r="C16" s="2" t="str">
        <f>VLOOKUP(A16,Classification!A:D,2,FALSE)</f>
        <v>A</v>
      </c>
      <c r="E16" s="2" t="s">
        <v>20</v>
      </c>
      <c r="L16" s="2" t="s">
        <v>1551</v>
      </c>
      <c r="N16" s="2" t="s">
        <v>43</v>
      </c>
      <c r="P16" s="4" t="s">
        <v>51</v>
      </c>
      <c r="R16" s="71" t="str">
        <f>MID(VLOOKUP($A16,Seqs!$A:$B,2,FALSE),VLOOKUP($A16,'NonXtal_SegEnds_Prot#'!A:AL,10,FALSE),1)</f>
        <v>D</v>
      </c>
      <c r="S16" s="102" t="str">
        <f>MID(VLOOKUP($A16,Seqs!$A:$B,2,FALSE),VLOOKUP($A16,'NonXtal_SegEnds_Prot#'!A:AL,10,FALSE)+6,1)</f>
        <v>F</v>
      </c>
      <c r="T16" s="102" t="str">
        <f>MID(VLOOKUP($A16,Seqs!$A:$B,2,FALSE),VLOOKUP($A16,'NonXtal_SegEnds_Prot#'!A:AL,10,FALSE)+7,1)</f>
        <v>A</v>
      </c>
      <c r="U16" s="102" t="str">
        <f>MID(VLOOKUP($A16,Seqs!$A:$B,2,FALSE),VLOOKUP($A16,'NonXtal_SegEnds_Prot#'!A:AL,10,FALSE)+8,1)</f>
        <v>I</v>
      </c>
      <c r="V16" s="102" t="str">
        <f>MID(VLOOKUP($A16,Seqs!$A:$B,2,FALSE),VLOOKUP($A16,'NonXtal_SegEnds_Prot#'!A:AL,10,FALSE)+9,1)</f>
        <v>P</v>
      </c>
      <c r="W16" s="71" t="str">
        <f>MID(VLOOKUP($A16,Seqs!$A:$B,2,FALSE),VLOOKUP($A16,'NonXtal_SegEnds_Prot#'!$A:$AL,22,FALSE)+6,1)</f>
        <v>I</v>
      </c>
      <c r="X16" s="102" t="str">
        <f>MID(VLOOKUP($A16,Seqs!$A:$B,2,FALSE),VLOOKUP($A16,'NonXtal_SegEnds_Prot#'!$A:$AL,22,FALSE)+7,1)</f>
        <v>G</v>
      </c>
      <c r="Y16" s="102" t="str">
        <f>MID(VLOOKUP($A16,Seqs!$A:$B,2,FALSE),VLOOKUP($A16,'NonXtal_SegEnds_Prot#'!$A:$AL,22,FALSE)+8,1)</f>
        <v>L</v>
      </c>
      <c r="Z16" s="102" t="str">
        <f>MID(VLOOKUP($A16,Seqs!$A:$B,2,FALSE),VLOOKUP($A16,'NonXtal_SegEnds_Prot#'!$A:$AL,22,FALSE)+9,1)</f>
        <v>T</v>
      </c>
      <c r="AA16" s="102" t="str">
        <f>MID(VLOOKUP($A16,Seqs!$A:$B,2,FALSE),VLOOKUP($A16,'NonXtal_SegEnds_Prot#'!$A:$AL,22,FALSE)+10,1)</f>
        <v>P</v>
      </c>
      <c r="AB16" s="71" t="str">
        <f>MID(VLOOKUP($A16,Seqs!$A:$B,2,FALSE),VLOOKUP($A16,'NonXtal_SegEnds_Prot#'!$A:$AL,28,FALSE)-4,1)</f>
        <v>C</v>
      </c>
      <c r="AC16" s="102" t="str">
        <f>MID(VLOOKUP($A16,Seqs!$A:$B,2,FALSE),VLOOKUP($A16,'NonXtal_SegEnds_Prot#'!$A:$AL,28,FALSE),1)</f>
        <v>P</v>
      </c>
    </row>
    <row r="17" spans="1:29" s="2" customFormat="1" x14ac:dyDescent="0.2">
      <c r="A17" s="2" t="s">
        <v>335</v>
      </c>
      <c r="B17" s="2" t="str">
        <f>LOWER(VLOOKUP(A17,Xtal_Templ!A:B,2,FALSE))</f>
        <v>aa2ar_human</v>
      </c>
      <c r="C17" s="2" t="str">
        <f>VLOOKUP(A17,Classification!A:D,2,FALSE)</f>
        <v>A</v>
      </c>
      <c r="E17" s="2" t="s">
        <v>20</v>
      </c>
      <c r="L17" s="2" t="s">
        <v>1551</v>
      </c>
      <c r="N17" s="2" t="s">
        <v>43</v>
      </c>
      <c r="P17" s="4" t="s">
        <v>51</v>
      </c>
      <c r="R17" s="71" t="str">
        <f>MID(VLOOKUP($A17,Seqs!$A:$B,2,FALSE),VLOOKUP($A17,'NonXtal_SegEnds_Prot#'!A:AL,10,FALSE),1)</f>
        <v>D</v>
      </c>
      <c r="S17" s="102" t="str">
        <f>MID(VLOOKUP($A17,Seqs!$A:$B,2,FALSE),VLOOKUP($A17,'NonXtal_SegEnds_Prot#'!A:AL,10,FALSE)+6,1)</f>
        <v>L</v>
      </c>
      <c r="T17" s="102" t="str">
        <f>MID(VLOOKUP($A17,Seqs!$A:$B,2,FALSE),VLOOKUP($A17,'NonXtal_SegEnds_Prot#'!A:AL,10,FALSE)+7,1)</f>
        <v>V</v>
      </c>
      <c r="U17" s="102" t="str">
        <f>MID(VLOOKUP($A17,Seqs!$A:$B,2,FALSE),VLOOKUP($A17,'NonXtal_SegEnds_Prot#'!A:AL,10,FALSE)+8,1)</f>
        <v>M</v>
      </c>
      <c r="V17" s="102" t="str">
        <f>MID(VLOOKUP($A17,Seqs!$A:$B,2,FALSE),VLOOKUP($A17,'NonXtal_SegEnds_Prot#'!A:AL,10,FALSE)+9,1)</f>
        <v>P</v>
      </c>
      <c r="W17" s="71" t="str">
        <f>MID(VLOOKUP($A17,Seqs!$A:$B,2,FALSE),VLOOKUP($A17,'NonXtal_SegEnds_Prot#'!$A:$AL,22,FALSE)+6,1)</f>
        <v>V</v>
      </c>
      <c r="X17" s="102" t="str">
        <f>MID(VLOOKUP($A17,Seqs!$A:$B,2,FALSE),VLOOKUP($A17,'NonXtal_SegEnds_Prot#'!$A:$AL,22,FALSE)+7,1)</f>
        <v>G</v>
      </c>
      <c r="Y17" s="102" t="str">
        <f>MID(VLOOKUP($A17,Seqs!$A:$B,2,FALSE),VLOOKUP($A17,'NonXtal_SegEnds_Prot#'!$A:$AL,22,FALSE)+8,1)</f>
        <v>L</v>
      </c>
      <c r="Z17" s="102" t="str">
        <f>MID(VLOOKUP($A17,Seqs!$A:$B,2,FALSE),VLOOKUP($A17,'NonXtal_SegEnds_Prot#'!$A:$AL,22,FALSE)+9,1)</f>
        <v>T</v>
      </c>
      <c r="AA17" s="102" t="str">
        <f>MID(VLOOKUP($A17,Seqs!$A:$B,2,FALSE),VLOOKUP($A17,'NonXtal_SegEnds_Prot#'!$A:$AL,22,FALSE)+10,1)</f>
        <v>P</v>
      </c>
      <c r="AB17" s="71" t="str">
        <f>MID(VLOOKUP($A17,Seqs!$A:$B,2,FALSE),VLOOKUP($A17,'NonXtal_SegEnds_Prot#'!$A:$AL,28,FALSE)-4,1)</f>
        <v>W</v>
      </c>
      <c r="AC17" s="102" t="str">
        <f>MID(VLOOKUP($A17,Seqs!$A:$B,2,FALSE),VLOOKUP($A17,'NonXtal_SegEnds_Prot#'!$A:$AL,28,FALSE),1)</f>
        <v>P</v>
      </c>
    </row>
    <row r="18" spans="1:29" s="2" customFormat="1" x14ac:dyDescent="0.2">
      <c r="A18" s="2" t="s">
        <v>336</v>
      </c>
      <c r="B18" s="2" t="str">
        <f>LOWER(VLOOKUP(A18,Xtal_Templ!A:B,2,FALSE))</f>
        <v>ccr5_human</v>
      </c>
      <c r="C18" s="2" t="str">
        <f>VLOOKUP(A18,Classification!A:D,2,FALSE)</f>
        <v>A</v>
      </c>
      <c r="K18" s="2" t="s">
        <v>59</v>
      </c>
      <c r="P18" s="4" t="s">
        <v>51</v>
      </c>
      <c r="R18" s="71" t="str">
        <f>MID(VLOOKUP($A18,Seqs!$A:$B,2,FALSE),VLOOKUP($A18,'NonXtal_SegEnds_Prot#'!A:AL,10,FALSE),1)</f>
        <v>S</v>
      </c>
      <c r="S18" s="102" t="str">
        <f>MID(VLOOKUP($A18,Seqs!$A:$B,2,FALSE),VLOOKUP($A18,'NonXtal_SegEnds_Prot#'!A:AL,10,FALSE)+6,1)</f>
        <v>V</v>
      </c>
      <c r="T18" s="102" t="str">
        <f>MID(VLOOKUP($A18,Seqs!$A:$B,2,FALSE),VLOOKUP($A18,'NonXtal_SegEnds_Prot#'!A:AL,10,FALSE)+7,1)</f>
        <v>V</v>
      </c>
      <c r="U18" s="102" t="str">
        <f>MID(VLOOKUP($A18,Seqs!$A:$B,2,FALSE),VLOOKUP($A18,'NonXtal_SegEnds_Prot#'!A:AL,10,FALSE)+8,1)</f>
        <v>P</v>
      </c>
      <c r="V18" s="102" t="str">
        <f>MID(VLOOKUP($A18,Seqs!$A:$B,2,FALSE),VLOOKUP($A18,'NonXtal_SegEnds_Prot#'!A:AL,10,FALSE)+9,1)</f>
        <v>V</v>
      </c>
      <c r="W18" s="71" t="str">
        <f>MID(VLOOKUP($A18,Seqs!$A:$B,2,FALSE),VLOOKUP($A18,'NonXtal_SegEnds_Prot#'!$A:$AL,22,FALSE)+6,1)</f>
        <v>L</v>
      </c>
      <c r="X18" s="102" t="str">
        <f>MID(VLOOKUP($A18,Seqs!$A:$B,2,FALSE),VLOOKUP($A18,'NonXtal_SegEnds_Prot#'!$A:$AL,22,FALSE)+7,1)</f>
        <v>T</v>
      </c>
      <c r="Y18" s="102" t="str">
        <f>MID(VLOOKUP($A18,Seqs!$A:$B,2,FALSE),VLOOKUP($A18,'NonXtal_SegEnds_Prot#'!$A:$AL,22,FALSE)+8,1)</f>
        <v>L</v>
      </c>
      <c r="Z18" s="102" t="str">
        <f>MID(VLOOKUP($A18,Seqs!$A:$B,2,FALSE),VLOOKUP($A18,'NonXtal_SegEnds_Prot#'!$A:$AL,22,FALSE)+9,1)</f>
        <v>P</v>
      </c>
      <c r="AA18" s="102" t="str">
        <f>MID(VLOOKUP($A18,Seqs!$A:$B,2,FALSE),VLOOKUP($A18,'NonXtal_SegEnds_Prot#'!$A:$AL,22,FALSE)+10,1)</f>
        <v>V</v>
      </c>
      <c r="AB18" s="71" t="str">
        <f>MID(VLOOKUP($A18,Seqs!$A:$B,2,FALSE),VLOOKUP($A18,'NonXtal_SegEnds_Prot#'!$A:$AL,28,FALSE)-4,1)</f>
        <v>C</v>
      </c>
      <c r="AC18" s="102" t="str">
        <f>MID(VLOOKUP($A18,Seqs!$A:$B,2,FALSE),VLOOKUP($A18,'NonXtal_SegEnds_Prot#'!$A:$AL,28,FALSE),1)</f>
        <v>F</v>
      </c>
    </row>
    <row r="19" spans="1:29" s="2" customFormat="1" x14ac:dyDescent="0.2">
      <c r="A19" s="2" t="s">
        <v>337</v>
      </c>
      <c r="B19" s="2" t="str">
        <f>LOWER(VLOOKUP(A19,Xtal_Templ!A:B,2,FALSE))</f>
        <v>ccr5_human</v>
      </c>
      <c r="C19" s="2" t="str">
        <f>VLOOKUP(A19,Classification!A:D,2,FALSE)</f>
        <v>A</v>
      </c>
      <c r="K19" s="2" t="s">
        <v>59</v>
      </c>
      <c r="N19" s="2" t="s">
        <v>43</v>
      </c>
      <c r="P19" s="4" t="s">
        <v>51</v>
      </c>
      <c r="R19" s="71" t="str">
        <f>MID(VLOOKUP($A19,Seqs!$A:$B,2,FALSE),VLOOKUP($A19,'NonXtal_SegEnds_Prot#'!A:AL,10,FALSE),1)</f>
        <v>N</v>
      </c>
      <c r="S19" s="102" t="str">
        <f>MID(VLOOKUP($A19,Seqs!$A:$B,2,FALSE),VLOOKUP($A19,'NonXtal_SegEnds_Prot#'!A:AL,10,FALSE)+6,1)</f>
        <v>T</v>
      </c>
      <c r="T19" s="102" t="str">
        <f>MID(VLOOKUP($A19,Seqs!$A:$B,2,FALSE),VLOOKUP($A19,'NonXtal_SegEnds_Prot#'!A:AL,10,FALSE)+7,1)</f>
        <v>L</v>
      </c>
      <c r="U19" s="102" t="str">
        <f>MID(VLOOKUP($A19,Seqs!$A:$B,2,FALSE),VLOOKUP($A19,'NonXtal_SegEnds_Prot#'!A:AL,10,FALSE)+8,1)</f>
        <v>P</v>
      </c>
      <c r="V19" s="102" t="str">
        <f>MID(VLOOKUP($A19,Seqs!$A:$B,2,FALSE),VLOOKUP($A19,'NonXtal_SegEnds_Prot#'!A:AL,10,FALSE)+9,1)</f>
        <v>F</v>
      </c>
      <c r="W19" s="71" t="str">
        <f>MID(VLOOKUP($A19,Seqs!$A:$B,2,FALSE),VLOOKUP($A19,'NonXtal_SegEnds_Prot#'!$A:$AL,22,FALSE)+6,1)</f>
        <v>V</v>
      </c>
      <c r="X19" s="102" t="str">
        <f>MID(VLOOKUP($A19,Seqs!$A:$B,2,FALSE),VLOOKUP($A19,'NonXtal_SegEnds_Prot#'!$A:$AL,22,FALSE)+7,1)</f>
        <v>S</v>
      </c>
      <c r="Y19" s="102" t="str">
        <f>MID(VLOOKUP($A19,Seqs!$A:$B,2,FALSE),VLOOKUP($A19,'NonXtal_SegEnds_Prot#'!$A:$AL,22,FALSE)+8,1)</f>
        <v>I</v>
      </c>
      <c r="Z19" s="102" t="str">
        <f>MID(VLOOKUP($A19,Seqs!$A:$B,2,FALSE),VLOOKUP($A19,'NonXtal_SegEnds_Prot#'!$A:$AL,22,FALSE)+9,1)</f>
        <v>P</v>
      </c>
      <c r="AA19" s="102" t="str">
        <f>MID(VLOOKUP($A19,Seqs!$A:$B,2,FALSE),VLOOKUP($A19,'NonXtal_SegEnds_Prot#'!$A:$AL,22,FALSE)+10,1)</f>
        <v>D</v>
      </c>
      <c r="AB19" s="71" t="str">
        <f>MID(VLOOKUP($A19,Seqs!$A:$B,2,FALSE),VLOOKUP($A19,'NonXtal_SegEnds_Prot#'!$A:$AL,28,FALSE)-4,1)</f>
        <v>G</v>
      </c>
      <c r="AC19" s="102" t="str">
        <f>MID(VLOOKUP($A19,Seqs!$A:$B,2,FALSE),VLOOKUP($A19,'NonXtal_SegEnds_Prot#'!$A:$AL,28,FALSE),1)</f>
        <v>P</v>
      </c>
    </row>
    <row r="20" spans="1:29" s="2" customFormat="1" x14ac:dyDescent="0.2">
      <c r="A20" s="2" t="s">
        <v>338</v>
      </c>
      <c r="B20" s="2" t="str">
        <f>LOWER(VLOOKUP(A20,Xtal_Templ!A:B,2,FALSE))</f>
        <v>agtr1_human</v>
      </c>
      <c r="C20" s="2" t="str">
        <f>VLOOKUP(A20,Classification!A:D,2,FALSE)</f>
        <v>A</v>
      </c>
      <c r="K20" s="2" t="s">
        <v>59</v>
      </c>
      <c r="N20" s="2" t="s">
        <v>43</v>
      </c>
      <c r="P20" s="4" t="s">
        <v>51</v>
      </c>
      <c r="R20" s="71" t="str">
        <f>MID(VLOOKUP($A20,Seqs!$A:$B,2,FALSE),VLOOKUP($A20,'NonXtal_SegEnds_Prot#'!A:AL,10,FALSE),1)</f>
        <v>D</v>
      </c>
      <c r="S20" s="102" t="str">
        <f>MID(VLOOKUP($A20,Seqs!$A:$B,2,FALSE),VLOOKUP($A20,'NonXtal_SegEnds_Prot#'!A:AL,10,FALSE)+6,1)</f>
        <v>T</v>
      </c>
      <c r="T20" s="102" t="str">
        <f>MID(VLOOKUP($A20,Seqs!$A:$B,2,FALSE),VLOOKUP($A20,'NonXtal_SegEnds_Prot#'!A:AL,10,FALSE)+7,1)</f>
        <v>I</v>
      </c>
      <c r="U20" s="102" t="str">
        <f>MID(VLOOKUP($A20,Seqs!$A:$B,2,FALSE),VLOOKUP($A20,'NonXtal_SegEnds_Prot#'!A:AL,10,FALSE)+8,1)</f>
        <v>P</v>
      </c>
      <c r="V20" s="102" t="str">
        <f>MID(VLOOKUP($A20,Seqs!$A:$B,2,FALSE),VLOOKUP($A20,'NonXtal_SegEnds_Prot#'!A:AL,10,FALSE)+9,1)</f>
        <v>V</v>
      </c>
      <c r="W20" s="71" t="str">
        <f>MID(VLOOKUP($A20,Seqs!$A:$B,2,FALSE),VLOOKUP($A20,'NonXtal_SegEnds_Prot#'!$A:$AL,22,FALSE)+6,1)</f>
        <v>V</v>
      </c>
      <c r="X20" s="102" t="str">
        <f>MID(VLOOKUP($A20,Seqs!$A:$B,2,FALSE),VLOOKUP($A20,'NonXtal_SegEnds_Prot#'!$A:$AL,22,FALSE)+7,1)</f>
        <v>S</v>
      </c>
      <c r="Y20" s="102" t="str">
        <f>MID(VLOOKUP($A20,Seqs!$A:$B,2,FALSE),VLOOKUP($A20,'NonXtal_SegEnds_Prot#'!$A:$AL,22,FALSE)+8,1)</f>
        <v>L</v>
      </c>
      <c r="Z20" s="102" t="str">
        <f>MID(VLOOKUP($A20,Seqs!$A:$B,2,FALSE),VLOOKUP($A20,'NonXtal_SegEnds_Prot#'!$A:$AL,22,FALSE)+9,1)</f>
        <v>P</v>
      </c>
      <c r="AA20" s="102" t="str">
        <f>MID(VLOOKUP($A20,Seqs!$A:$B,2,FALSE),VLOOKUP($A20,'NonXtal_SegEnds_Prot#'!$A:$AL,22,FALSE)+10,1)</f>
        <v>D</v>
      </c>
      <c r="AB20" s="71" t="str">
        <f>MID(VLOOKUP($A20,Seqs!$A:$B,2,FALSE),VLOOKUP($A20,'NonXtal_SegEnds_Prot#'!$A:$AL,28,FALSE)-4,1)</f>
        <v>G</v>
      </c>
      <c r="AC20" s="102" t="str">
        <f>MID(VLOOKUP($A20,Seqs!$A:$B,2,FALSE),VLOOKUP($A20,'NonXtal_SegEnds_Prot#'!$A:$AL,28,FALSE),1)</f>
        <v>P</v>
      </c>
    </row>
    <row r="21" spans="1:29" s="2" customFormat="1" x14ac:dyDescent="0.2">
      <c r="A21" s="2" t="s">
        <v>339</v>
      </c>
      <c r="B21" s="2" t="str">
        <f>LOWER(VLOOKUP(A21,Xtal_Templ!A:B,2,FALSE))</f>
        <v>ccr5_human</v>
      </c>
      <c r="C21" s="2" t="str">
        <f>VLOOKUP(A21,Classification!A:D,2,FALSE)</f>
        <v>A</v>
      </c>
      <c r="K21" s="2" t="s">
        <v>59</v>
      </c>
      <c r="N21" s="2" t="s">
        <v>43</v>
      </c>
      <c r="P21" s="4" t="s">
        <v>51</v>
      </c>
      <c r="R21" s="71" t="str">
        <f>MID(VLOOKUP($A21,Seqs!$A:$B,2,FALSE),VLOOKUP($A21,'NonXtal_SegEnds_Prot#'!A:AL,10,FALSE),1)</f>
        <v>D</v>
      </c>
      <c r="S21" s="102" t="str">
        <f>MID(VLOOKUP($A21,Seqs!$A:$B,2,FALSE),VLOOKUP($A21,'NonXtal_SegEnds_Prot#'!A:AL,10,FALSE)+6,1)</f>
        <v>T</v>
      </c>
      <c r="T21" s="102" t="str">
        <f>MID(VLOOKUP($A21,Seqs!$A:$B,2,FALSE),VLOOKUP($A21,'NonXtal_SegEnds_Prot#'!A:AL,10,FALSE)+7,1)</f>
        <v>L</v>
      </c>
      <c r="U21" s="102" t="str">
        <f>MID(VLOOKUP($A21,Seqs!$A:$B,2,FALSE),VLOOKUP($A21,'NonXtal_SegEnds_Prot#'!A:AL,10,FALSE)+8,1)</f>
        <v>P</v>
      </c>
      <c r="V21" s="102" t="str">
        <f>MID(VLOOKUP($A21,Seqs!$A:$B,2,FALSE),VLOOKUP($A21,'NonXtal_SegEnds_Prot#'!A:AL,10,FALSE)+9,1)</f>
        <v>F</v>
      </c>
      <c r="W21" s="71" t="str">
        <f>MID(VLOOKUP($A21,Seqs!$A:$B,2,FALSE),VLOOKUP($A21,'NonXtal_SegEnds_Prot#'!$A:$AL,22,FALSE)+6,1)</f>
        <v>L</v>
      </c>
      <c r="X21" s="102" t="str">
        <f>MID(VLOOKUP($A21,Seqs!$A:$B,2,FALSE),VLOOKUP($A21,'NonXtal_SegEnds_Prot#'!$A:$AL,22,FALSE)+7,1)</f>
        <v>S</v>
      </c>
      <c r="Y21" s="102" t="str">
        <f>MID(VLOOKUP($A21,Seqs!$A:$B,2,FALSE),VLOOKUP($A21,'NonXtal_SegEnds_Prot#'!$A:$AL,22,FALSE)+8,1)</f>
        <v>I</v>
      </c>
      <c r="Z21" s="102" t="str">
        <f>MID(VLOOKUP($A21,Seqs!$A:$B,2,FALSE),VLOOKUP($A21,'NonXtal_SegEnds_Prot#'!$A:$AL,22,FALSE)+9,1)</f>
        <v>P</v>
      </c>
      <c r="AA21" s="102" t="str">
        <f>MID(VLOOKUP($A21,Seqs!$A:$B,2,FALSE),VLOOKUP($A21,'NonXtal_SegEnds_Prot#'!$A:$AL,22,FALSE)+10,1)</f>
        <v>Q</v>
      </c>
      <c r="AB21" s="71" t="str">
        <f>MID(VLOOKUP($A21,Seqs!$A:$B,2,FALSE),VLOOKUP($A21,'NonXtal_SegEnds_Prot#'!$A:$AL,28,FALSE)-4,1)</f>
        <v>G</v>
      </c>
      <c r="AC21" s="102" t="str">
        <f>MID(VLOOKUP($A21,Seqs!$A:$B,2,FALSE),VLOOKUP($A21,'NonXtal_SegEnds_Prot#'!$A:$AL,28,FALSE),1)</f>
        <v>P</v>
      </c>
    </row>
    <row r="22" spans="1:29" s="2" customFormat="1" x14ac:dyDescent="0.2">
      <c r="A22" s="2" t="s">
        <v>340</v>
      </c>
      <c r="B22" s="2" t="str">
        <f>LOWER(VLOOKUP(A22,Xtal_Templ!A:B,2,FALSE))</f>
        <v>acm1_human</v>
      </c>
      <c r="C22" s="2" t="str">
        <f>VLOOKUP(A22,Classification!A:D,2,FALSE)</f>
        <v>A</v>
      </c>
      <c r="E22" s="2" t="s">
        <v>20</v>
      </c>
      <c r="N22" s="2" t="s">
        <v>43</v>
      </c>
      <c r="P22" s="4" t="s">
        <v>51</v>
      </c>
      <c r="R22" s="71" t="str">
        <f>MID(VLOOKUP($A22,Seqs!$A:$B,2,FALSE),VLOOKUP($A22,'NonXtal_SegEnds_Prot#'!A:AL,10,FALSE),1)</f>
        <v>D</v>
      </c>
      <c r="S22" s="102" t="str">
        <f>MID(VLOOKUP($A22,Seqs!$A:$B,2,FALSE),VLOOKUP($A22,'NonXtal_SegEnds_Prot#'!A:AL,10,FALSE)+6,1)</f>
        <v>F</v>
      </c>
      <c r="T22" s="102" t="str">
        <f>MID(VLOOKUP($A22,Seqs!$A:$B,2,FALSE),VLOOKUP($A22,'NonXtal_SegEnds_Prot#'!A:AL,10,FALSE)+7,1)</f>
        <v>S</v>
      </c>
      <c r="U22" s="102" t="str">
        <f>MID(VLOOKUP($A22,Seqs!$A:$B,2,FALSE),VLOOKUP($A22,'NonXtal_SegEnds_Prot#'!A:AL,10,FALSE)+8,1)</f>
        <v>M</v>
      </c>
      <c r="V22" s="102" t="str">
        <f>MID(VLOOKUP($A22,Seqs!$A:$B,2,FALSE),VLOOKUP($A22,'NonXtal_SegEnds_Prot#'!A:AL,10,FALSE)+9,1)</f>
        <v>N</v>
      </c>
      <c r="W22" s="71" t="str">
        <f>MID(VLOOKUP($A22,Seqs!$A:$B,2,FALSE),VLOOKUP($A22,'NonXtal_SegEnds_Prot#'!$A:$AL,22,FALSE)+6,1)</f>
        <v>L</v>
      </c>
      <c r="X22" s="102" t="str">
        <f>MID(VLOOKUP($A22,Seqs!$A:$B,2,FALSE),VLOOKUP($A22,'NonXtal_SegEnds_Prot#'!$A:$AL,22,FALSE)+7,1)</f>
        <v>W</v>
      </c>
      <c r="Y22" s="102" t="str">
        <f>MID(VLOOKUP($A22,Seqs!$A:$B,2,FALSE),VLOOKUP($A22,'NonXtal_SegEnds_Prot#'!$A:$AL,22,FALSE)+8,1)</f>
        <v>A</v>
      </c>
      <c r="Z22" s="102" t="str">
        <f>MID(VLOOKUP($A22,Seqs!$A:$B,2,FALSE),VLOOKUP($A22,'NonXtal_SegEnds_Prot#'!$A:$AL,22,FALSE)+9,1)</f>
        <v>P</v>
      </c>
      <c r="AA22" s="102" t="str">
        <f>MID(VLOOKUP($A22,Seqs!$A:$B,2,FALSE),VLOOKUP($A22,'NonXtal_SegEnds_Prot#'!$A:$AL,22,FALSE)+10,1)</f>
        <v>A</v>
      </c>
      <c r="AB22" s="71" t="str">
        <f>MID(VLOOKUP($A22,Seqs!$A:$B,2,FALSE),VLOOKUP($A22,'NonXtal_SegEnds_Prot#'!$A:$AL,28,FALSE)-4,1)</f>
        <v>A</v>
      </c>
      <c r="AC22" s="102" t="str">
        <f>MID(VLOOKUP($A22,Seqs!$A:$B,2,FALSE),VLOOKUP($A22,'NonXtal_SegEnds_Prot#'!$A:$AL,28,FALSE),1)</f>
        <v>P</v>
      </c>
    </row>
    <row r="23" spans="1:29" s="2" customFormat="1" x14ac:dyDescent="0.2">
      <c r="A23" s="2" t="s">
        <v>341</v>
      </c>
      <c r="B23" s="2" t="str">
        <f>LOWER(VLOOKUP(A23,Xtal_Templ!A:B,2,FALSE))</f>
        <v>acm2_human</v>
      </c>
      <c r="C23" s="2" t="str">
        <f>VLOOKUP(A23,Classification!A:D,2,FALSE)</f>
        <v>A</v>
      </c>
      <c r="E23" s="2" t="s">
        <v>20</v>
      </c>
      <c r="N23" s="2" t="s">
        <v>43</v>
      </c>
      <c r="P23" s="4" t="s">
        <v>51</v>
      </c>
      <c r="R23" s="71" t="str">
        <f>MID(VLOOKUP($A23,Seqs!$A:$B,2,FALSE),VLOOKUP($A23,'NonXtal_SegEnds_Prot#'!A:AL,10,FALSE),1)</f>
        <v>D</v>
      </c>
      <c r="S23" s="102" t="str">
        <f>MID(VLOOKUP($A23,Seqs!$A:$B,2,FALSE),VLOOKUP($A23,'NonXtal_SegEnds_Prot#'!A:AL,10,FALSE)+6,1)</f>
        <v>F</v>
      </c>
      <c r="T23" s="102" t="str">
        <f>MID(VLOOKUP($A23,Seqs!$A:$B,2,FALSE),VLOOKUP($A23,'NonXtal_SegEnds_Prot#'!A:AL,10,FALSE)+7,1)</f>
        <v>S</v>
      </c>
      <c r="U23" s="102" t="str">
        <f>MID(VLOOKUP($A23,Seqs!$A:$B,2,FALSE),VLOOKUP($A23,'NonXtal_SegEnds_Prot#'!A:AL,10,FALSE)+8,1)</f>
        <v>M</v>
      </c>
      <c r="V23" s="102" t="str">
        <f>MID(VLOOKUP($A23,Seqs!$A:$B,2,FALSE),VLOOKUP($A23,'NonXtal_SegEnds_Prot#'!A:AL,10,FALSE)+9,1)</f>
        <v>N</v>
      </c>
      <c r="W23" s="71" t="str">
        <f>MID(VLOOKUP($A23,Seqs!$A:$B,2,FALSE),VLOOKUP($A23,'NonXtal_SegEnds_Prot#'!$A:$AL,22,FALSE)+6,1)</f>
        <v>L</v>
      </c>
      <c r="X23" s="102" t="str">
        <f>MID(VLOOKUP($A23,Seqs!$A:$B,2,FALSE),VLOOKUP($A23,'NonXtal_SegEnds_Prot#'!$A:$AL,22,FALSE)+7,1)</f>
        <v>W</v>
      </c>
      <c r="Y23" s="102" t="str">
        <f>MID(VLOOKUP($A23,Seqs!$A:$B,2,FALSE),VLOOKUP($A23,'NonXtal_SegEnds_Prot#'!$A:$AL,22,FALSE)+8,1)</f>
        <v>A</v>
      </c>
      <c r="Z23" s="102" t="str">
        <f>MID(VLOOKUP($A23,Seqs!$A:$B,2,FALSE),VLOOKUP($A23,'NonXtal_SegEnds_Prot#'!$A:$AL,22,FALSE)+9,1)</f>
        <v>P</v>
      </c>
      <c r="AA23" s="102" t="str">
        <f>MID(VLOOKUP($A23,Seqs!$A:$B,2,FALSE),VLOOKUP($A23,'NonXtal_SegEnds_Prot#'!$A:$AL,22,FALSE)+10,1)</f>
        <v>A</v>
      </c>
      <c r="AB23" s="71" t="str">
        <f>MID(VLOOKUP($A23,Seqs!$A:$B,2,FALSE),VLOOKUP($A23,'NonXtal_SegEnds_Prot#'!$A:$AL,28,FALSE)-4,1)</f>
        <v>A</v>
      </c>
      <c r="AC23" s="102" t="str">
        <f>MID(VLOOKUP($A23,Seqs!$A:$B,2,FALSE),VLOOKUP($A23,'NonXtal_SegEnds_Prot#'!$A:$AL,28,FALSE),1)</f>
        <v>P</v>
      </c>
    </row>
    <row r="24" spans="1:29" s="2" customFormat="1" x14ac:dyDescent="0.2">
      <c r="A24" s="2" t="s">
        <v>342</v>
      </c>
      <c r="B24" s="2" t="str">
        <f>LOWER(VLOOKUP(A24,Xtal_Templ!A:B,2,FALSE))</f>
        <v>acm3_rat</v>
      </c>
      <c r="C24" s="2" t="str">
        <f>VLOOKUP(A24,Classification!A:D,2,FALSE)</f>
        <v>A</v>
      </c>
      <c r="E24" s="2" t="s">
        <v>20</v>
      </c>
      <c r="N24" s="2" t="s">
        <v>43</v>
      </c>
      <c r="P24" s="4" t="s">
        <v>51</v>
      </c>
      <c r="R24" s="71" t="str">
        <f>MID(VLOOKUP($A24,Seqs!$A:$B,2,FALSE),VLOOKUP($A24,'NonXtal_SegEnds_Prot#'!A:AL,10,FALSE),1)</f>
        <v>D</v>
      </c>
      <c r="S24" s="102" t="str">
        <f>MID(VLOOKUP($A24,Seqs!$A:$B,2,FALSE),VLOOKUP($A24,'NonXtal_SegEnds_Prot#'!A:AL,10,FALSE)+6,1)</f>
        <v>I</v>
      </c>
      <c r="T24" s="102" t="str">
        <f>MID(VLOOKUP($A24,Seqs!$A:$B,2,FALSE),VLOOKUP($A24,'NonXtal_SegEnds_Prot#'!A:AL,10,FALSE)+7,1)</f>
        <v>S</v>
      </c>
      <c r="U24" s="102" t="str">
        <f>MID(VLOOKUP($A24,Seqs!$A:$B,2,FALSE),VLOOKUP($A24,'NonXtal_SegEnds_Prot#'!A:AL,10,FALSE)+8,1)</f>
        <v>M</v>
      </c>
      <c r="V24" s="102" t="str">
        <f>MID(VLOOKUP($A24,Seqs!$A:$B,2,FALSE),VLOOKUP($A24,'NonXtal_SegEnds_Prot#'!A:AL,10,FALSE)+9,1)</f>
        <v>N</v>
      </c>
      <c r="W24" s="71" t="str">
        <f>MID(VLOOKUP($A24,Seqs!$A:$B,2,FALSE),VLOOKUP($A24,'NonXtal_SegEnds_Prot#'!$A:$AL,22,FALSE)+6,1)</f>
        <v>L</v>
      </c>
      <c r="X24" s="102" t="str">
        <f>MID(VLOOKUP($A24,Seqs!$A:$B,2,FALSE),VLOOKUP($A24,'NonXtal_SegEnds_Prot#'!$A:$AL,22,FALSE)+7,1)</f>
        <v>W</v>
      </c>
      <c r="Y24" s="102" t="str">
        <f>MID(VLOOKUP($A24,Seqs!$A:$B,2,FALSE),VLOOKUP($A24,'NonXtal_SegEnds_Prot#'!$A:$AL,22,FALSE)+8,1)</f>
        <v>A</v>
      </c>
      <c r="Z24" s="102" t="str">
        <f>MID(VLOOKUP($A24,Seqs!$A:$B,2,FALSE),VLOOKUP($A24,'NonXtal_SegEnds_Prot#'!$A:$AL,22,FALSE)+9,1)</f>
        <v>P</v>
      </c>
      <c r="AA24" s="102" t="str">
        <f>MID(VLOOKUP($A24,Seqs!$A:$B,2,FALSE),VLOOKUP($A24,'NonXtal_SegEnds_Prot#'!$A:$AL,22,FALSE)+10,1)</f>
        <v>A</v>
      </c>
      <c r="AB24" s="71" t="str">
        <f>MID(VLOOKUP($A24,Seqs!$A:$B,2,FALSE),VLOOKUP($A24,'NonXtal_SegEnds_Prot#'!$A:$AL,28,FALSE)-4,1)</f>
        <v>A</v>
      </c>
      <c r="AC24" s="102" t="str">
        <f>MID(VLOOKUP($A24,Seqs!$A:$B,2,FALSE),VLOOKUP($A24,'NonXtal_SegEnds_Prot#'!$A:$AL,28,FALSE),1)</f>
        <v>P</v>
      </c>
    </row>
    <row r="25" spans="1:29" s="2" customFormat="1" x14ac:dyDescent="0.2">
      <c r="A25" s="2" t="s">
        <v>1106</v>
      </c>
      <c r="B25" s="2" t="str">
        <f>LOWER(VLOOKUP(A25,Xtal_Templ!A:B,2,FALSE))</f>
        <v>acm3_rat</v>
      </c>
      <c r="C25" s="2" t="str">
        <f>VLOOKUP(A25,Classification!A:D,2,FALSE)</f>
        <v>A</v>
      </c>
      <c r="E25" s="2" t="s">
        <v>20</v>
      </c>
      <c r="N25" s="2" t="s">
        <v>43</v>
      </c>
      <c r="P25" s="4" t="s">
        <v>51</v>
      </c>
      <c r="R25" s="71" t="str">
        <f>MID(VLOOKUP($A25,Seqs!$A:$B,2,FALSE),VLOOKUP($A25,'NonXtal_SegEnds_Prot#'!A:AL,10,FALSE),1)</f>
        <v>D</v>
      </c>
      <c r="S25" s="102" t="str">
        <f>MID(VLOOKUP($A25,Seqs!$A:$B,2,FALSE),VLOOKUP($A25,'NonXtal_SegEnds_Prot#'!A:AL,10,FALSE)+6,1)</f>
        <v>I</v>
      </c>
      <c r="T25" s="102" t="str">
        <f>MID(VLOOKUP($A25,Seqs!$A:$B,2,FALSE),VLOOKUP($A25,'NonXtal_SegEnds_Prot#'!A:AL,10,FALSE)+7,1)</f>
        <v>S</v>
      </c>
      <c r="U25" s="102" t="str">
        <f>MID(VLOOKUP($A25,Seqs!$A:$B,2,FALSE),VLOOKUP($A25,'NonXtal_SegEnds_Prot#'!A:AL,10,FALSE)+8,1)</f>
        <v>M</v>
      </c>
      <c r="V25" s="102" t="str">
        <f>MID(VLOOKUP($A25,Seqs!$A:$B,2,FALSE),VLOOKUP($A25,'NonXtal_SegEnds_Prot#'!A:AL,10,FALSE)+9,1)</f>
        <v>N</v>
      </c>
      <c r="W25" s="71" t="str">
        <f>MID(VLOOKUP($A25,Seqs!$A:$B,2,FALSE),VLOOKUP($A25,'NonXtal_SegEnds_Prot#'!$A:$AL,22,FALSE)+6,1)</f>
        <v>L</v>
      </c>
      <c r="X25" s="102" t="str">
        <f>MID(VLOOKUP($A25,Seqs!$A:$B,2,FALSE),VLOOKUP($A25,'NonXtal_SegEnds_Prot#'!$A:$AL,22,FALSE)+7,1)</f>
        <v>W</v>
      </c>
      <c r="Y25" s="102" t="str">
        <f>MID(VLOOKUP($A25,Seqs!$A:$B,2,FALSE),VLOOKUP($A25,'NonXtal_SegEnds_Prot#'!$A:$AL,22,FALSE)+8,1)</f>
        <v>A</v>
      </c>
      <c r="Z25" s="102" t="str">
        <f>MID(VLOOKUP($A25,Seqs!$A:$B,2,FALSE),VLOOKUP($A25,'NonXtal_SegEnds_Prot#'!$A:$AL,22,FALSE)+9,1)</f>
        <v>P</v>
      </c>
      <c r="AA25" s="102" t="str">
        <f>MID(VLOOKUP($A25,Seqs!$A:$B,2,FALSE),VLOOKUP($A25,'NonXtal_SegEnds_Prot#'!$A:$AL,22,FALSE)+10,1)</f>
        <v>A</v>
      </c>
      <c r="AB25" s="71" t="str">
        <f>MID(VLOOKUP($A25,Seqs!$A:$B,2,FALSE),VLOOKUP($A25,'NonXtal_SegEnds_Prot#'!$A:$AL,28,FALSE)-4,1)</f>
        <v>A</v>
      </c>
      <c r="AC25" s="102" t="str">
        <f>MID(VLOOKUP($A25,Seqs!$A:$B,2,FALSE),VLOOKUP($A25,'NonXtal_SegEnds_Prot#'!$A:$AL,28,FALSE),1)</f>
        <v>P</v>
      </c>
    </row>
    <row r="26" spans="1:29" s="2" customFormat="1" x14ac:dyDescent="0.2">
      <c r="A26" s="2" t="s">
        <v>343</v>
      </c>
      <c r="B26" s="2" t="str">
        <f>LOWER(VLOOKUP(A26,Xtal_Templ!A:B,2,FALSE))</f>
        <v>acm4_human</v>
      </c>
      <c r="C26" s="2" t="str">
        <f>VLOOKUP(A26,Classification!A:D,2,FALSE)</f>
        <v>A</v>
      </c>
      <c r="E26" s="2" t="s">
        <v>20</v>
      </c>
      <c r="N26" s="2" t="s">
        <v>43</v>
      </c>
      <c r="P26" s="4" t="s">
        <v>51</v>
      </c>
      <c r="R26" s="71" t="str">
        <f>MID(VLOOKUP($A26,Seqs!$A:$B,2,FALSE),VLOOKUP($A26,'NonXtal_SegEnds_Prot#'!A:AL,10,FALSE),1)</f>
        <v>D</v>
      </c>
      <c r="S26" s="102" t="str">
        <f>MID(VLOOKUP($A26,Seqs!$A:$B,2,FALSE),VLOOKUP($A26,'NonXtal_SegEnds_Prot#'!A:AL,10,FALSE)+6,1)</f>
        <v>F</v>
      </c>
      <c r="T26" s="102" t="str">
        <f>MID(VLOOKUP($A26,Seqs!$A:$B,2,FALSE),VLOOKUP($A26,'NonXtal_SegEnds_Prot#'!A:AL,10,FALSE)+7,1)</f>
        <v>S</v>
      </c>
      <c r="U26" s="102" t="str">
        <f>MID(VLOOKUP($A26,Seqs!$A:$B,2,FALSE),VLOOKUP($A26,'NonXtal_SegEnds_Prot#'!A:AL,10,FALSE)+8,1)</f>
        <v>M</v>
      </c>
      <c r="V26" s="102" t="str">
        <f>MID(VLOOKUP($A26,Seqs!$A:$B,2,FALSE),VLOOKUP($A26,'NonXtal_SegEnds_Prot#'!A:AL,10,FALSE)+9,1)</f>
        <v>N</v>
      </c>
      <c r="W26" s="71" t="str">
        <f>MID(VLOOKUP($A26,Seqs!$A:$B,2,FALSE),VLOOKUP($A26,'NonXtal_SegEnds_Prot#'!$A:$AL,22,FALSE)+6,1)</f>
        <v>L</v>
      </c>
      <c r="X26" s="102" t="str">
        <f>MID(VLOOKUP($A26,Seqs!$A:$B,2,FALSE),VLOOKUP($A26,'NonXtal_SegEnds_Prot#'!$A:$AL,22,FALSE)+7,1)</f>
        <v>W</v>
      </c>
      <c r="Y26" s="102" t="str">
        <f>MID(VLOOKUP($A26,Seqs!$A:$B,2,FALSE),VLOOKUP($A26,'NonXtal_SegEnds_Prot#'!$A:$AL,22,FALSE)+8,1)</f>
        <v>A</v>
      </c>
      <c r="Z26" s="102" t="str">
        <f>MID(VLOOKUP($A26,Seqs!$A:$B,2,FALSE),VLOOKUP($A26,'NonXtal_SegEnds_Prot#'!$A:$AL,22,FALSE)+9,1)</f>
        <v>P</v>
      </c>
      <c r="AA26" s="102" t="str">
        <f>MID(VLOOKUP($A26,Seqs!$A:$B,2,FALSE),VLOOKUP($A26,'NonXtal_SegEnds_Prot#'!$A:$AL,22,FALSE)+10,1)</f>
        <v>A</v>
      </c>
      <c r="AB26" s="71" t="str">
        <f>MID(VLOOKUP($A26,Seqs!$A:$B,2,FALSE),VLOOKUP($A26,'NonXtal_SegEnds_Prot#'!$A:$AL,28,FALSE)-4,1)</f>
        <v>A</v>
      </c>
      <c r="AC26" s="102" t="str">
        <f>MID(VLOOKUP($A26,Seqs!$A:$B,2,FALSE),VLOOKUP($A26,'NonXtal_SegEnds_Prot#'!$A:$AL,28,FALSE),1)</f>
        <v>P</v>
      </c>
    </row>
    <row r="27" spans="1:29" s="2" customFormat="1" x14ac:dyDescent="0.2">
      <c r="A27" s="2" t="s">
        <v>344</v>
      </c>
      <c r="B27" s="2" t="str">
        <f>LOWER(VLOOKUP(A27,Xtal_Templ!A:B,2,FALSE))</f>
        <v>acm3_rat</v>
      </c>
      <c r="C27" s="2" t="str">
        <f>VLOOKUP(A27,Classification!A:D,2,FALSE)</f>
        <v>A</v>
      </c>
      <c r="E27" s="2" t="s">
        <v>20</v>
      </c>
      <c r="N27" s="2" t="s">
        <v>43</v>
      </c>
      <c r="P27" s="4" t="s">
        <v>51</v>
      </c>
      <c r="R27" s="71" t="str">
        <f>MID(VLOOKUP($A27,Seqs!$A:$B,2,FALSE),VLOOKUP($A27,'NonXtal_SegEnds_Prot#'!A:AL,10,FALSE),1)</f>
        <v>D</v>
      </c>
      <c r="S27" s="102" t="str">
        <f>MID(VLOOKUP($A27,Seqs!$A:$B,2,FALSE),VLOOKUP($A27,'NonXtal_SegEnds_Prot#'!A:AL,10,FALSE)+6,1)</f>
        <v>F</v>
      </c>
      <c r="T27" s="102" t="str">
        <f>MID(VLOOKUP($A27,Seqs!$A:$B,2,FALSE),VLOOKUP($A27,'NonXtal_SegEnds_Prot#'!A:AL,10,FALSE)+7,1)</f>
        <v>S</v>
      </c>
      <c r="U27" s="102" t="str">
        <f>MID(VLOOKUP($A27,Seqs!$A:$B,2,FALSE),VLOOKUP($A27,'NonXtal_SegEnds_Prot#'!A:AL,10,FALSE)+8,1)</f>
        <v>M</v>
      </c>
      <c r="V27" s="102" t="str">
        <f>MID(VLOOKUP($A27,Seqs!$A:$B,2,FALSE),VLOOKUP($A27,'NonXtal_SegEnds_Prot#'!A:AL,10,FALSE)+9,1)</f>
        <v>N</v>
      </c>
      <c r="W27" s="71" t="str">
        <f>MID(VLOOKUP($A27,Seqs!$A:$B,2,FALSE),VLOOKUP($A27,'NonXtal_SegEnds_Prot#'!$A:$AL,22,FALSE)+6,1)</f>
        <v>L</v>
      </c>
      <c r="X27" s="102" t="str">
        <f>MID(VLOOKUP($A27,Seqs!$A:$B,2,FALSE),VLOOKUP($A27,'NonXtal_SegEnds_Prot#'!$A:$AL,22,FALSE)+7,1)</f>
        <v>W</v>
      </c>
      <c r="Y27" s="102" t="str">
        <f>MID(VLOOKUP($A27,Seqs!$A:$B,2,FALSE),VLOOKUP($A27,'NonXtal_SegEnds_Prot#'!$A:$AL,22,FALSE)+8,1)</f>
        <v>A</v>
      </c>
      <c r="Z27" s="102" t="str">
        <f>MID(VLOOKUP($A27,Seqs!$A:$B,2,FALSE),VLOOKUP($A27,'NonXtal_SegEnds_Prot#'!$A:$AL,22,FALSE)+9,1)</f>
        <v>P</v>
      </c>
      <c r="AA27" s="102" t="str">
        <f>MID(VLOOKUP($A27,Seqs!$A:$B,2,FALSE),VLOOKUP($A27,'NonXtal_SegEnds_Prot#'!$A:$AL,22,FALSE)+10,1)</f>
        <v>A</v>
      </c>
      <c r="AB27" s="71" t="str">
        <f>MID(VLOOKUP($A27,Seqs!$A:$B,2,FALSE),VLOOKUP($A27,'NonXtal_SegEnds_Prot#'!$A:$AL,28,FALSE)-4,1)</f>
        <v>A</v>
      </c>
      <c r="AC27" s="102" t="str">
        <f>MID(VLOOKUP($A27,Seqs!$A:$B,2,FALSE),VLOOKUP($A27,'NonXtal_SegEnds_Prot#'!$A:$AL,28,FALSE),1)</f>
        <v>P</v>
      </c>
    </row>
    <row r="28" spans="1:29" s="2" customFormat="1" x14ac:dyDescent="0.2">
      <c r="A28" s="2" t="s">
        <v>345</v>
      </c>
      <c r="B28" s="2" t="str">
        <f>LOWER(VLOOKUP(A28,Xtal_Templ!A:B,2,FALSE))</f>
        <v>s1pr1_human</v>
      </c>
      <c r="C28" s="2" t="str">
        <f>VLOOKUP(A28,Classification!A:D,2,FALSE)</f>
        <v>A</v>
      </c>
      <c r="P28" s="4" t="s">
        <v>51</v>
      </c>
      <c r="R28" s="71" t="str">
        <f>MID(VLOOKUP($A28,Seqs!$A:$B,2,FALSE),VLOOKUP($A28,'NonXtal_SegEnds_Prot#'!A:AL,10,FALSE),1)</f>
        <v>D</v>
      </c>
      <c r="S28" s="102" t="str">
        <f>MID(VLOOKUP($A28,Seqs!$A:$B,2,FALSE),VLOOKUP($A28,'NonXtal_SegEnds_Prot#'!A:AL,10,FALSE)+6,1)</f>
        <v>Y</v>
      </c>
      <c r="T28" s="102" t="str">
        <f>MID(VLOOKUP($A28,Seqs!$A:$B,2,FALSE),VLOOKUP($A28,'NonXtal_SegEnds_Prot#'!A:AL,10,FALSE)+7,1)</f>
        <v>K</v>
      </c>
      <c r="U28" s="102" t="str">
        <f>MID(VLOOKUP($A28,Seqs!$A:$B,2,FALSE),VLOOKUP($A28,'NonXtal_SegEnds_Prot#'!A:AL,10,FALSE)+8,1)</f>
        <v>I</v>
      </c>
      <c r="V28" s="102" t="str">
        <f>MID(VLOOKUP($A28,Seqs!$A:$B,2,FALSE),VLOOKUP($A28,'NonXtal_SegEnds_Prot#'!A:AL,10,FALSE)+9,1)</f>
        <v>L</v>
      </c>
      <c r="W28" s="71" t="str">
        <f>MID(VLOOKUP($A28,Seqs!$A:$B,2,FALSE),VLOOKUP($A28,'NonXtal_SegEnds_Prot#'!$A:$AL,22,FALSE)+6,1)</f>
        <v>T</v>
      </c>
      <c r="X28" s="102" t="str">
        <f>MID(VLOOKUP($A28,Seqs!$A:$B,2,FALSE),VLOOKUP($A28,'NonXtal_SegEnds_Prot#'!$A:$AL,22,FALSE)+7,1)</f>
        <v>G</v>
      </c>
      <c r="Y28" s="102" t="str">
        <f>MID(VLOOKUP($A28,Seqs!$A:$B,2,FALSE),VLOOKUP($A28,'NonXtal_SegEnds_Prot#'!$A:$AL,22,FALSE)+8,1)</f>
        <v>I</v>
      </c>
      <c r="Z28" s="102" t="str">
        <f>MID(VLOOKUP($A28,Seqs!$A:$B,2,FALSE),VLOOKUP($A28,'NonXtal_SegEnds_Prot#'!$A:$AL,22,FALSE)+9,1)</f>
        <v>T</v>
      </c>
      <c r="AA28" s="102" t="str">
        <f>MID(VLOOKUP($A28,Seqs!$A:$B,2,FALSE),VLOOKUP($A28,'NonXtal_SegEnds_Prot#'!$A:$AL,22,FALSE)+10,1)</f>
        <v>M</v>
      </c>
      <c r="AB28" s="71" t="str">
        <f>MID(VLOOKUP($A28,Seqs!$A:$B,2,FALSE),VLOOKUP($A28,'NonXtal_SegEnds_Prot#'!$A:$AL,28,FALSE)-4,1)</f>
        <v>L</v>
      </c>
      <c r="AC28" s="102" t="str">
        <f>MID(VLOOKUP($A28,Seqs!$A:$B,2,FALSE),VLOOKUP($A28,'NonXtal_SegEnds_Prot#'!$A:$AL,28,FALSE),1)</f>
        <v>M</v>
      </c>
    </row>
    <row r="29" spans="1:29" s="2" customFormat="1" x14ac:dyDescent="0.2">
      <c r="A29" s="2" t="s">
        <v>346</v>
      </c>
      <c r="B29" s="2" t="str">
        <f>LOWER(VLOOKUP(A29,Xtal_Templ!A:B,2,FALSE))</f>
        <v>5ht1b_human</v>
      </c>
      <c r="C29" s="2" t="str">
        <f>VLOOKUP(A29,Classification!A:D,2,FALSE)</f>
        <v>A</v>
      </c>
      <c r="E29" s="2" t="s">
        <v>20</v>
      </c>
      <c r="N29" s="2" t="s">
        <v>43</v>
      </c>
      <c r="P29" s="4" t="s">
        <v>51</v>
      </c>
      <c r="R29" s="71" t="str">
        <f>MID(VLOOKUP($A29,Seqs!$A:$B,2,FALSE),VLOOKUP($A29,'NonXtal_SegEnds_Prot#'!A:AL,10,FALSE),1)</f>
        <v>D</v>
      </c>
      <c r="S29" s="102" t="str">
        <f>MID(VLOOKUP($A29,Seqs!$A:$B,2,FALSE),VLOOKUP($A29,'NonXtal_SegEnds_Prot#'!A:AL,10,FALSE)+6,1)</f>
        <v>T</v>
      </c>
      <c r="T29" s="102" t="str">
        <f>MID(VLOOKUP($A29,Seqs!$A:$B,2,FALSE),VLOOKUP($A29,'NonXtal_SegEnds_Prot#'!A:AL,10,FALSE)+7,1)</f>
        <v>V</v>
      </c>
      <c r="U29" s="102" t="str">
        <f>MID(VLOOKUP($A29,Seqs!$A:$B,2,FALSE),VLOOKUP($A29,'NonXtal_SegEnds_Prot#'!A:AL,10,FALSE)+8,1)</f>
        <v>L</v>
      </c>
      <c r="V29" s="102" t="str">
        <f>MID(VLOOKUP($A29,Seqs!$A:$B,2,FALSE),VLOOKUP($A29,'NonXtal_SegEnds_Prot#'!A:AL,10,FALSE)+9,1)</f>
        <v>P</v>
      </c>
      <c r="W29" s="71" t="str">
        <f>MID(VLOOKUP($A29,Seqs!$A:$B,2,FALSE),VLOOKUP($A29,'NonXtal_SegEnds_Prot#'!$A:$AL,22,FALSE)+6,1)</f>
        <v>I</v>
      </c>
      <c r="X29" s="102" t="str">
        <f>MID(VLOOKUP($A29,Seqs!$A:$B,2,FALSE),VLOOKUP($A29,'NonXtal_SegEnds_Prot#'!$A:$AL,22,FALSE)+7,1)</f>
        <v>S</v>
      </c>
      <c r="Y29" s="102" t="str">
        <f>MID(VLOOKUP($A29,Seqs!$A:$B,2,FALSE),VLOOKUP($A29,'NonXtal_SegEnds_Prot#'!$A:$AL,22,FALSE)+8,1)</f>
        <v>I</v>
      </c>
      <c r="Z29" s="102" t="str">
        <f>MID(VLOOKUP($A29,Seqs!$A:$B,2,FALSE),VLOOKUP($A29,'NonXtal_SegEnds_Prot#'!$A:$AL,22,FALSE)+9,1)</f>
        <v>G</v>
      </c>
      <c r="AA29" s="102" t="str">
        <f>MID(VLOOKUP($A29,Seqs!$A:$B,2,FALSE),VLOOKUP($A29,'NonXtal_SegEnds_Prot#'!$A:$AL,22,FALSE)+10,1)</f>
        <v>P</v>
      </c>
      <c r="AB29" s="71" t="str">
        <f>MID(VLOOKUP($A29,Seqs!$A:$B,2,FALSE),VLOOKUP($A29,'NonXtal_SegEnds_Prot#'!$A:$AL,28,FALSE)-4,1)</f>
        <v>S</v>
      </c>
      <c r="AC29" s="102" t="str">
        <f>MID(VLOOKUP($A29,Seqs!$A:$B,2,FALSE),VLOOKUP($A29,'NonXtal_SegEnds_Prot#'!$A:$AL,28,FALSE),1)</f>
        <v>P</v>
      </c>
    </row>
    <row r="30" spans="1:29" s="2" customFormat="1" x14ac:dyDescent="0.2">
      <c r="A30" s="2" t="s">
        <v>347</v>
      </c>
      <c r="B30" s="2" t="str">
        <f>LOWER(VLOOKUP(A30,Xtal_Templ!A:B,2,FALSE))</f>
        <v>adrb1_melga</v>
      </c>
      <c r="C30" s="2" t="str">
        <f>VLOOKUP(A30,Classification!A:D,2,FALSE)</f>
        <v>A</v>
      </c>
      <c r="E30" s="2" t="s">
        <v>20</v>
      </c>
      <c r="N30" s="2" t="s">
        <v>43</v>
      </c>
      <c r="P30" s="4" t="s">
        <v>51</v>
      </c>
      <c r="R30" s="71" t="str">
        <f>MID(VLOOKUP($A30,Seqs!$A:$B,2,FALSE),VLOOKUP($A30,'NonXtal_SegEnds_Prot#'!A:AL,10,FALSE),1)</f>
        <v>D</v>
      </c>
      <c r="S30" s="102" t="str">
        <f>MID(VLOOKUP($A30,Seqs!$A:$B,2,FALSE),VLOOKUP($A30,'NonXtal_SegEnds_Prot#'!A:AL,10,FALSE)+6,1)</f>
        <v>T</v>
      </c>
      <c r="T30" s="102" t="str">
        <f>MID(VLOOKUP($A30,Seqs!$A:$B,2,FALSE),VLOOKUP($A30,'NonXtal_SegEnds_Prot#'!A:AL,10,FALSE)+7,1)</f>
        <v>V</v>
      </c>
      <c r="U30" s="102" t="str">
        <f>MID(VLOOKUP($A30,Seqs!$A:$B,2,FALSE),VLOOKUP($A30,'NonXtal_SegEnds_Prot#'!A:AL,10,FALSE)+8,1)</f>
        <v>L</v>
      </c>
      <c r="V30" s="102" t="str">
        <f>MID(VLOOKUP($A30,Seqs!$A:$B,2,FALSE),VLOOKUP($A30,'NonXtal_SegEnds_Prot#'!A:AL,10,FALSE)+9,1)</f>
        <v>P</v>
      </c>
      <c r="W30" s="71" t="str">
        <f>MID(VLOOKUP($A30,Seqs!$A:$B,2,FALSE),VLOOKUP($A30,'NonXtal_SegEnds_Prot#'!$A:$AL,22,FALSE)+6,1)</f>
        <v>I</v>
      </c>
      <c r="X30" s="102" t="str">
        <f>MID(VLOOKUP($A30,Seqs!$A:$B,2,FALSE),VLOOKUP($A30,'NonXtal_SegEnds_Prot#'!$A:$AL,22,FALSE)+7,1)</f>
        <v>S</v>
      </c>
      <c r="Y30" s="102" t="str">
        <f>MID(VLOOKUP($A30,Seqs!$A:$B,2,FALSE),VLOOKUP($A30,'NonXtal_SegEnds_Prot#'!$A:$AL,22,FALSE)+8,1)</f>
        <v>I</v>
      </c>
      <c r="Z30" s="102" t="str">
        <f>MID(VLOOKUP($A30,Seqs!$A:$B,2,FALSE),VLOOKUP($A30,'NonXtal_SegEnds_Prot#'!$A:$AL,22,FALSE)+9,1)</f>
        <v>G</v>
      </c>
      <c r="AA30" s="102" t="str">
        <f>MID(VLOOKUP($A30,Seqs!$A:$B,2,FALSE),VLOOKUP($A30,'NonXtal_SegEnds_Prot#'!$A:$AL,22,FALSE)+10,1)</f>
        <v>P</v>
      </c>
      <c r="AB30" s="71" t="str">
        <f>MID(VLOOKUP($A30,Seqs!$A:$B,2,FALSE),VLOOKUP($A30,'NonXtal_SegEnds_Prot#'!$A:$AL,28,FALSE)-4,1)</f>
        <v>S</v>
      </c>
      <c r="AC30" s="102" t="str">
        <f>MID(VLOOKUP($A30,Seqs!$A:$B,2,FALSE),VLOOKUP($A30,'NonXtal_SegEnds_Prot#'!$A:$AL,28,FALSE),1)</f>
        <v>P</v>
      </c>
    </row>
    <row r="31" spans="1:29" s="2" customFormat="1" x14ac:dyDescent="0.2">
      <c r="A31" s="2" t="s">
        <v>348</v>
      </c>
      <c r="B31" s="2" t="str">
        <f>LOWER(VLOOKUP(A31,Xtal_Templ!A:B,2,FALSE))</f>
        <v>adrb1_melga</v>
      </c>
      <c r="C31" s="2" t="str">
        <f>VLOOKUP(A31,Classification!A:D,2,FALSE)</f>
        <v>A</v>
      </c>
      <c r="E31" s="2" t="s">
        <v>20</v>
      </c>
      <c r="N31" s="2" t="s">
        <v>43</v>
      </c>
      <c r="P31" s="4" t="s">
        <v>51</v>
      </c>
      <c r="R31" s="71" t="str">
        <f>MID(VLOOKUP($A31,Seqs!$A:$B,2,FALSE),VLOOKUP($A31,'NonXtal_SegEnds_Prot#'!A:AL,10,FALSE),1)</f>
        <v>D</v>
      </c>
      <c r="S31" s="102" t="str">
        <f>MID(VLOOKUP($A31,Seqs!$A:$B,2,FALSE),VLOOKUP($A31,'NonXtal_SegEnds_Prot#'!A:AL,10,FALSE)+6,1)</f>
        <v>T</v>
      </c>
      <c r="T31" s="102" t="str">
        <f>MID(VLOOKUP($A31,Seqs!$A:$B,2,FALSE),VLOOKUP($A31,'NonXtal_SegEnds_Prot#'!A:AL,10,FALSE)+7,1)</f>
        <v>V</v>
      </c>
      <c r="U31" s="102" t="str">
        <f>MID(VLOOKUP($A31,Seqs!$A:$B,2,FALSE),VLOOKUP($A31,'NonXtal_SegEnds_Prot#'!A:AL,10,FALSE)+8,1)</f>
        <v>L</v>
      </c>
      <c r="V31" s="102" t="str">
        <f>MID(VLOOKUP($A31,Seqs!$A:$B,2,FALSE),VLOOKUP($A31,'NonXtal_SegEnds_Prot#'!A:AL,10,FALSE)+9,1)</f>
        <v>P</v>
      </c>
      <c r="W31" s="71" t="str">
        <f>MID(VLOOKUP($A31,Seqs!$A:$B,2,FALSE),VLOOKUP($A31,'NonXtal_SegEnds_Prot#'!$A:$AL,22,FALSE)+6,1)</f>
        <v>V</v>
      </c>
      <c r="X31" s="102" t="str">
        <f>MID(VLOOKUP($A31,Seqs!$A:$B,2,FALSE),VLOOKUP($A31,'NonXtal_SegEnds_Prot#'!$A:$AL,22,FALSE)+7,1)</f>
        <v>S</v>
      </c>
      <c r="Y31" s="102" t="str">
        <f>MID(VLOOKUP($A31,Seqs!$A:$B,2,FALSE),VLOOKUP($A31,'NonXtal_SegEnds_Prot#'!$A:$AL,22,FALSE)+8,1)</f>
        <v>V</v>
      </c>
      <c r="Z31" s="102" t="str">
        <f>MID(VLOOKUP($A31,Seqs!$A:$B,2,FALSE),VLOOKUP($A31,'NonXtal_SegEnds_Prot#'!$A:$AL,22,FALSE)+9,1)</f>
        <v>G</v>
      </c>
      <c r="AA31" s="102" t="str">
        <f>MID(VLOOKUP($A31,Seqs!$A:$B,2,FALSE),VLOOKUP($A31,'NonXtal_SegEnds_Prot#'!$A:$AL,22,FALSE)+10,1)</f>
        <v>P</v>
      </c>
      <c r="AB31" s="71" t="str">
        <f>MID(VLOOKUP($A31,Seqs!$A:$B,2,FALSE),VLOOKUP($A31,'NonXtal_SegEnds_Prot#'!$A:$AL,28,FALSE)-4,1)</f>
        <v>S</v>
      </c>
      <c r="AC31" s="102" t="str">
        <f>MID(VLOOKUP($A31,Seqs!$A:$B,2,FALSE),VLOOKUP($A31,'NonXtal_SegEnds_Prot#'!$A:$AL,28,FALSE),1)</f>
        <v>P</v>
      </c>
    </row>
    <row r="32" spans="1:29" s="2" customFormat="1" x14ac:dyDescent="0.2">
      <c r="A32" s="2" t="s">
        <v>349</v>
      </c>
      <c r="B32" s="2" t="str">
        <f>LOWER(VLOOKUP(A32,Xtal_Templ!A:B,2,FALSE))</f>
        <v>5ht1b_human</v>
      </c>
      <c r="C32" s="2" t="str">
        <f>VLOOKUP(A32,Classification!A:D,2,FALSE)</f>
        <v>A</v>
      </c>
      <c r="E32" s="2" t="s">
        <v>20</v>
      </c>
      <c r="N32" s="2" t="s">
        <v>43</v>
      </c>
      <c r="P32" s="4" t="s">
        <v>51</v>
      </c>
      <c r="R32" s="71" t="str">
        <f>MID(VLOOKUP($A32,Seqs!$A:$B,2,FALSE),VLOOKUP($A32,'NonXtal_SegEnds_Prot#'!A:AL,10,FALSE),1)</f>
        <v>D</v>
      </c>
      <c r="S32" s="102" t="str">
        <f>MID(VLOOKUP($A32,Seqs!$A:$B,2,FALSE),VLOOKUP($A32,'NonXtal_SegEnds_Prot#'!A:AL,10,FALSE)+6,1)</f>
        <v>L</v>
      </c>
      <c r="T32" s="102" t="str">
        <f>MID(VLOOKUP($A32,Seqs!$A:$B,2,FALSE),VLOOKUP($A32,'NonXtal_SegEnds_Prot#'!A:AL,10,FALSE)+7,1)</f>
        <v>V</v>
      </c>
      <c r="U32" s="102" t="str">
        <f>MID(VLOOKUP($A32,Seqs!$A:$B,2,FALSE),VLOOKUP($A32,'NonXtal_SegEnds_Prot#'!A:AL,10,FALSE)+8,1)</f>
        <v>I</v>
      </c>
      <c r="V32" s="102" t="str">
        <f>MID(VLOOKUP($A32,Seqs!$A:$B,2,FALSE),VLOOKUP($A32,'NonXtal_SegEnds_Prot#'!A:AL,10,FALSE)+9,1)</f>
        <v>P</v>
      </c>
      <c r="W32" s="71" t="str">
        <f>MID(VLOOKUP($A32,Seqs!$A:$B,2,FALSE),VLOOKUP($A32,'NonXtal_SegEnds_Prot#'!$A:$AL,22,FALSE)+6,1)</f>
        <v>I</v>
      </c>
      <c r="X32" s="102" t="str">
        <f>MID(VLOOKUP($A32,Seqs!$A:$B,2,FALSE),VLOOKUP($A32,'NonXtal_SegEnds_Prot#'!$A:$AL,22,FALSE)+7,1)</f>
        <v>S</v>
      </c>
      <c r="Y32" s="102" t="str">
        <f>MID(VLOOKUP($A32,Seqs!$A:$B,2,FALSE),VLOOKUP($A32,'NonXtal_SegEnds_Prot#'!$A:$AL,22,FALSE)+8,1)</f>
        <v>F</v>
      </c>
      <c r="Z32" s="102" t="str">
        <f>MID(VLOOKUP($A32,Seqs!$A:$B,2,FALSE),VLOOKUP($A32,'NonXtal_SegEnds_Prot#'!$A:$AL,22,FALSE)+9,1)</f>
        <v>P</v>
      </c>
      <c r="AA32" s="102" t="str">
        <f>MID(VLOOKUP($A32,Seqs!$A:$B,2,FALSE),VLOOKUP($A32,'NonXtal_SegEnds_Prot#'!$A:$AL,22,FALSE)+10,1)</f>
        <v>P</v>
      </c>
      <c r="AB32" s="71" t="str">
        <f>MID(VLOOKUP($A32,Seqs!$A:$B,2,FALSE),VLOOKUP($A32,'NonXtal_SegEnds_Prot#'!$A:$AL,28,FALSE)-4,1)</f>
        <v>S</v>
      </c>
      <c r="AC32" s="102" t="str">
        <f>MID(VLOOKUP($A32,Seqs!$A:$B,2,FALSE),VLOOKUP($A32,'NonXtal_SegEnds_Prot#'!$A:$AL,28,FALSE),1)</f>
        <v>P</v>
      </c>
    </row>
    <row r="33" spans="1:29" s="2" customFormat="1" x14ac:dyDescent="0.2">
      <c r="A33" s="2" t="s">
        <v>350</v>
      </c>
      <c r="B33" s="2" t="str">
        <f>LOWER(VLOOKUP(A33,Xtal_Templ!A:B,2,FALSE))</f>
        <v>drd3_human</v>
      </c>
      <c r="C33" s="2" t="str">
        <f>VLOOKUP(A33,Classification!A:D,2,FALSE)</f>
        <v>A</v>
      </c>
      <c r="E33" s="2" t="s">
        <v>20</v>
      </c>
      <c r="N33" s="2" t="s">
        <v>43</v>
      </c>
      <c r="P33" s="4" t="s">
        <v>51</v>
      </c>
      <c r="R33" s="71" t="str">
        <f>MID(VLOOKUP($A33,Seqs!$A:$B,2,FALSE),VLOOKUP($A33,'NonXtal_SegEnds_Prot#'!A:AL,10,FALSE),1)</f>
        <v>D</v>
      </c>
      <c r="S33" s="102" t="str">
        <f>MID(VLOOKUP($A33,Seqs!$A:$B,2,FALSE),VLOOKUP($A33,'NonXtal_SegEnds_Prot#'!A:AL,10,FALSE)+6,1)</f>
        <v>L</v>
      </c>
      <c r="T33" s="102" t="str">
        <f>MID(VLOOKUP($A33,Seqs!$A:$B,2,FALSE),VLOOKUP($A33,'NonXtal_SegEnds_Prot#'!A:AL,10,FALSE)+7,1)</f>
        <v>I</v>
      </c>
      <c r="U33" s="102" t="str">
        <f>MID(VLOOKUP($A33,Seqs!$A:$B,2,FALSE),VLOOKUP($A33,'NonXtal_SegEnds_Prot#'!A:AL,10,FALSE)+8,1)</f>
        <v>I</v>
      </c>
      <c r="V33" s="102" t="str">
        <f>MID(VLOOKUP($A33,Seqs!$A:$B,2,FALSE),VLOOKUP($A33,'NonXtal_SegEnds_Prot#'!A:AL,10,FALSE)+9,1)</f>
        <v>P</v>
      </c>
      <c r="W33" s="71" t="str">
        <f>MID(VLOOKUP($A33,Seqs!$A:$B,2,FALSE),VLOOKUP($A33,'NonXtal_SegEnds_Prot#'!$A:$AL,22,FALSE)+6,1)</f>
        <v>I</v>
      </c>
      <c r="X33" s="102" t="str">
        <f>MID(VLOOKUP($A33,Seqs!$A:$B,2,FALSE),VLOOKUP($A33,'NonXtal_SegEnds_Prot#'!$A:$AL,22,FALSE)+7,1)</f>
        <v>S</v>
      </c>
      <c r="Y33" s="102" t="str">
        <f>MID(VLOOKUP($A33,Seqs!$A:$B,2,FALSE),VLOOKUP($A33,'NonXtal_SegEnds_Prot#'!$A:$AL,22,FALSE)+8,1)</f>
        <v>L</v>
      </c>
      <c r="Z33" s="102" t="str">
        <f>MID(VLOOKUP($A33,Seqs!$A:$B,2,FALSE),VLOOKUP($A33,'NonXtal_SegEnds_Prot#'!$A:$AL,22,FALSE)+9,1)</f>
        <v>P</v>
      </c>
      <c r="AA33" s="102" t="str">
        <f>MID(VLOOKUP($A33,Seqs!$A:$B,2,FALSE),VLOOKUP($A33,'NonXtal_SegEnds_Prot#'!$A:$AL,22,FALSE)+10,1)</f>
        <v>P</v>
      </c>
      <c r="AB33" s="71" t="str">
        <f>MID(VLOOKUP($A33,Seqs!$A:$B,2,FALSE),VLOOKUP($A33,'NonXtal_SegEnds_Prot#'!$A:$AL,28,FALSE)-4,1)</f>
        <v>S</v>
      </c>
      <c r="AC33" s="102" t="str">
        <f>MID(VLOOKUP($A33,Seqs!$A:$B,2,FALSE),VLOOKUP($A33,'NonXtal_SegEnds_Prot#'!$A:$AL,28,FALSE),1)</f>
        <v>P</v>
      </c>
    </row>
    <row r="34" spans="1:29" s="2" customFormat="1" x14ac:dyDescent="0.2">
      <c r="A34" s="2" t="s">
        <v>351</v>
      </c>
      <c r="B34" s="2" t="str">
        <f>LOWER(VLOOKUP(A34,Xtal_Templ!A:B,2,FALSE))</f>
        <v>5ht1b_human</v>
      </c>
      <c r="C34" s="2" t="str">
        <f>VLOOKUP(A34,Classification!A:D,2,FALSE)</f>
        <v>A</v>
      </c>
      <c r="E34" s="2" t="s">
        <v>20</v>
      </c>
      <c r="N34" s="2" t="s">
        <v>43</v>
      </c>
      <c r="P34" s="4" t="s">
        <v>51</v>
      </c>
      <c r="R34" s="71" t="str">
        <f>MID(VLOOKUP($A34,Seqs!$A:$B,2,FALSE),VLOOKUP($A34,'NonXtal_SegEnds_Prot#'!A:AL,10,FALSE),1)</f>
        <v>D</v>
      </c>
      <c r="S34" s="102" t="str">
        <f>MID(VLOOKUP($A34,Seqs!$A:$B,2,FALSE),VLOOKUP($A34,'NonXtal_SegEnds_Prot#'!A:AL,10,FALSE)+6,1)</f>
        <v>L</v>
      </c>
      <c r="T34" s="102" t="str">
        <f>MID(VLOOKUP($A34,Seqs!$A:$B,2,FALSE),VLOOKUP($A34,'NonXtal_SegEnds_Prot#'!A:AL,10,FALSE)+7,1)</f>
        <v>V</v>
      </c>
      <c r="U34" s="102" t="str">
        <f>MID(VLOOKUP($A34,Seqs!$A:$B,2,FALSE),VLOOKUP($A34,'NonXtal_SegEnds_Prot#'!A:AL,10,FALSE)+8,1)</f>
        <v>M</v>
      </c>
      <c r="V34" s="102" t="str">
        <f>MID(VLOOKUP($A34,Seqs!$A:$B,2,FALSE),VLOOKUP($A34,'NonXtal_SegEnds_Prot#'!A:AL,10,FALSE)+9,1)</f>
        <v>P</v>
      </c>
      <c r="W34" s="71" t="str">
        <f>MID(VLOOKUP($A34,Seqs!$A:$B,2,FALSE),VLOOKUP($A34,'NonXtal_SegEnds_Prot#'!$A:$AL,22,FALSE)+6,1)</f>
        <v>I</v>
      </c>
      <c r="X34" s="102" t="str">
        <f>MID(VLOOKUP($A34,Seqs!$A:$B,2,FALSE),VLOOKUP($A34,'NonXtal_SegEnds_Prot#'!$A:$AL,22,FALSE)+7,1)</f>
        <v>S</v>
      </c>
      <c r="Y34" s="102" t="str">
        <f>MID(VLOOKUP($A34,Seqs!$A:$B,2,FALSE),VLOOKUP($A34,'NonXtal_SegEnds_Prot#'!$A:$AL,22,FALSE)+8,1)</f>
        <v>F</v>
      </c>
      <c r="Z34" s="102" t="str">
        <f>MID(VLOOKUP($A34,Seqs!$A:$B,2,FALSE),VLOOKUP($A34,'NonXtal_SegEnds_Prot#'!$A:$AL,22,FALSE)+9,1)</f>
        <v>P</v>
      </c>
      <c r="AA34" s="102" t="str">
        <f>MID(VLOOKUP($A34,Seqs!$A:$B,2,FALSE),VLOOKUP($A34,'NonXtal_SegEnds_Prot#'!$A:$AL,22,FALSE)+10,1)</f>
        <v>P</v>
      </c>
      <c r="AB34" s="71" t="str">
        <f>MID(VLOOKUP($A34,Seqs!$A:$B,2,FALSE),VLOOKUP($A34,'NonXtal_SegEnds_Prot#'!$A:$AL,28,FALSE)-4,1)</f>
        <v>S</v>
      </c>
      <c r="AC34" s="102" t="str">
        <f>MID(VLOOKUP($A34,Seqs!$A:$B,2,FALSE),VLOOKUP($A34,'NonXtal_SegEnds_Prot#'!$A:$AL,28,FALSE),1)</f>
        <v>P</v>
      </c>
    </row>
    <row r="35" spans="1:29" s="2" customFormat="1" x14ac:dyDescent="0.2">
      <c r="A35" s="2" t="s">
        <v>319</v>
      </c>
      <c r="B35" s="2" t="str">
        <f>LOWER(VLOOKUP(A35,Xtal_Templ!A:B,2,FALSE))</f>
        <v>adrb1_melga</v>
      </c>
      <c r="C35" s="2" t="str">
        <f>VLOOKUP(A35,Classification!A:D,2,FALSE)</f>
        <v>A</v>
      </c>
      <c r="E35" s="2" t="s">
        <v>20</v>
      </c>
      <c r="N35" s="2" t="s">
        <v>43</v>
      </c>
      <c r="P35" s="4" t="s">
        <v>51</v>
      </c>
      <c r="R35" s="71" t="str">
        <f>MID(VLOOKUP($A35,Seqs!$A:$B,2,FALSE),VLOOKUP($A35,'NonXtal_SegEnds_Prot#'!A:AL,10,FALSE),1)</f>
        <v>D</v>
      </c>
      <c r="S35" s="102" t="str">
        <f>MID(VLOOKUP($A35,Seqs!$A:$B,2,FALSE),VLOOKUP($A35,'NonXtal_SegEnds_Prot#'!A:AL,10,FALSE)+6,1)</f>
        <v>L</v>
      </c>
      <c r="T35" s="102" t="str">
        <f>MID(VLOOKUP($A35,Seqs!$A:$B,2,FALSE),VLOOKUP($A35,'NonXtal_SegEnds_Prot#'!A:AL,10,FALSE)+7,1)</f>
        <v>V</v>
      </c>
      <c r="U35" s="102" t="str">
        <f>MID(VLOOKUP($A35,Seqs!$A:$B,2,FALSE),VLOOKUP($A35,'NonXtal_SegEnds_Prot#'!A:AL,10,FALSE)+8,1)</f>
        <v>V</v>
      </c>
      <c r="V35" s="102" t="str">
        <f>MID(VLOOKUP($A35,Seqs!$A:$B,2,FALSE),VLOOKUP($A35,'NonXtal_SegEnds_Prot#'!A:AL,10,FALSE)+9,1)</f>
        <v>P</v>
      </c>
      <c r="W35" s="71" t="str">
        <f>MID(VLOOKUP($A35,Seqs!$A:$B,2,FALSE),VLOOKUP($A35,'NonXtal_SegEnds_Prot#'!$A:$AL,22,FALSE)+6,1)</f>
        <v>V</v>
      </c>
      <c r="X35" s="102" t="str">
        <f>MID(VLOOKUP($A35,Seqs!$A:$B,2,FALSE),VLOOKUP($A35,'NonXtal_SegEnds_Prot#'!$A:$AL,22,FALSE)+7,1)</f>
        <v>S</v>
      </c>
      <c r="Y35" s="102" t="str">
        <f>MID(VLOOKUP($A35,Seqs!$A:$B,2,FALSE),VLOOKUP($A35,'NonXtal_SegEnds_Prot#'!$A:$AL,22,FALSE)+8,1)</f>
        <v>F</v>
      </c>
      <c r="Z35" s="102" t="str">
        <f>MID(VLOOKUP($A35,Seqs!$A:$B,2,FALSE),VLOOKUP($A35,'NonXtal_SegEnds_Prot#'!$A:$AL,22,FALSE)+9,1)</f>
        <v>L</v>
      </c>
      <c r="AA35" s="102" t="str">
        <f>MID(VLOOKUP($A35,Seqs!$A:$B,2,FALSE),VLOOKUP($A35,'NonXtal_SegEnds_Prot#'!$A:$AL,22,FALSE)+10,1)</f>
        <v>P</v>
      </c>
      <c r="AB35" s="71" t="str">
        <f>MID(VLOOKUP($A35,Seqs!$A:$B,2,FALSE),VLOOKUP($A35,'NonXtal_SegEnds_Prot#'!$A:$AL,28,FALSE)-4,1)</f>
        <v>S</v>
      </c>
      <c r="AC35" s="102" t="str">
        <f>MID(VLOOKUP($A35,Seqs!$A:$B,2,FALSE),VLOOKUP($A35,'NonXtal_SegEnds_Prot#'!$A:$AL,28,FALSE),1)</f>
        <v>P</v>
      </c>
    </row>
    <row r="36" spans="1:29" s="2" customFormat="1" x14ac:dyDescent="0.2">
      <c r="A36" s="2" t="s">
        <v>1108</v>
      </c>
      <c r="B36" s="2" t="str">
        <f>LOWER(VLOOKUP(A36,Xtal_Templ!A:B,2,FALSE))</f>
        <v>adrb1_melga</v>
      </c>
      <c r="C36" s="2" t="str">
        <f>VLOOKUP(A36,Classification!A:D,2,FALSE)</f>
        <v>A</v>
      </c>
      <c r="E36" s="2" t="s">
        <v>20</v>
      </c>
      <c r="N36" s="2" t="s">
        <v>43</v>
      </c>
      <c r="P36" s="4" t="s">
        <v>51</v>
      </c>
      <c r="R36" s="71" t="str">
        <f>MID(VLOOKUP($A36,Seqs!$A:$B,2,FALSE),VLOOKUP($A36,'NonXtal_SegEnds_Prot#'!A:AL,10,FALSE),1)</f>
        <v>D</v>
      </c>
      <c r="S36" s="102" t="str">
        <f>MID(VLOOKUP($A36,Seqs!$A:$B,2,FALSE),VLOOKUP($A36,'NonXtal_SegEnds_Prot#'!A:AL,10,FALSE)+6,1)</f>
        <v>L</v>
      </c>
      <c r="T36" s="102" t="str">
        <f>MID(VLOOKUP($A36,Seqs!$A:$B,2,FALSE),VLOOKUP($A36,'NonXtal_SegEnds_Prot#'!A:AL,10,FALSE)+7,1)</f>
        <v>V</v>
      </c>
      <c r="U36" s="102" t="str">
        <f>MID(VLOOKUP($A36,Seqs!$A:$B,2,FALSE),VLOOKUP($A36,'NonXtal_SegEnds_Prot#'!A:AL,10,FALSE)+8,1)</f>
        <v>V</v>
      </c>
      <c r="V36" s="102" t="str">
        <f>MID(VLOOKUP($A36,Seqs!$A:$B,2,FALSE),VLOOKUP($A36,'NonXtal_SegEnds_Prot#'!A:AL,10,FALSE)+9,1)</f>
        <v>P</v>
      </c>
      <c r="W36" s="71" t="str">
        <f>MID(VLOOKUP($A36,Seqs!$A:$B,2,FALSE),VLOOKUP($A36,'NonXtal_SegEnds_Prot#'!$A:$AL,22,FALSE)+6,1)</f>
        <v>V</v>
      </c>
      <c r="X36" s="102" t="str">
        <f>MID(VLOOKUP($A36,Seqs!$A:$B,2,FALSE),VLOOKUP($A36,'NonXtal_SegEnds_Prot#'!$A:$AL,22,FALSE)+7,1)</f>
        <v>S</v>
      </c>
      <c r="Y36" s="102" t="str">
        <f>MID(VLOOKUP($A36,Seqs!$A:$B,2,FALSE),VLOOKUP($A36,'NonXtal_SegEnds_Prot#'!$A:$AL,22,FALSE)+8,1)</f>
        <v>F</v>
      </c>
      <c r="Z36" s="102" t="str">
        <f>MID(VLOOKUP($A36,Seqs!$A:$B,2,FALSE),VLOOKUP($A36,'NonXtal_SegEnds_Prot#'!$A:$AL,22,FALSE)+9,1)</f>
        <v>L</v>
      </c>
      <c r="AA36" s="102" t="str">
        <f>MID(VLOOKUP($A36,Seqs!$A:$B,2,FALSE),VLOOKUP($A36,'NonXtal_SegEnds_Prot#'!$A:$AL,22,FALSE)+10,1)</f>
        <v>P</v>
      </c>
      <c r="AB36" s="71" t="str">
        <f>MID(VLOOKUP($A36,Seqs!$A:$B,2,FALSE),VLOOKUP($A36,'NonXtal_SegEnds_Prot#'!$A:$AL,28,FALSE)-4,1)</f>
        <v>S</v>
      </c>
      <c r="AC36" s="102" t="str">
        <f>MID(VLOOKUP($A36,Seqs!$A:$B,2,FALSE),VLOOKUP($A36,'NonXtal_SegEnds_Prot#'!$A:$AL,28,FALSE),1)</f>
        <v>P</v>
      </c>
    </row>
    <row r="37" spans="1:29" s="2" customFormat="1" x14ac:dyDescent="0.2">
      <c r="A37" s="2" t="s">
        <v>320</v>
      </c>
      <c r="B37" s="2" t="str">
        <f>LOWER(VLOOKUP(A37,Xtal_Templ!A:B,2,FALSE))</f>
        <v>adrb2_human</v>
      </c>
      <c r="C37" s="2" t="str">
        <f>VLOOKUP(A37,Classification!A:D,2,FALSE)</f>
        <v>A</v>
      </c>
      <c r="E37" s="2" t="s">
        <v>20</v>
      </c>
      <c r="N37" s="2" t="s">
        <v>43</v>
      </c>
      <c r="P37" s="4" t="s">
        <v>51</v>
      </c>
      <c r="R37" s="71" t="str">
        <f>MID(VLOOKUP($A37,Seqs!$A:$B,2,FALSE),VLOOKUP($A37,'NonXtal_SegEnds_Prot#'!A:AL,10,FALSE),1)</f>
        <v>D</v>
      </c>
      <c r="S37" s="102" t="str">
        <f>MID(VLOOKUP($A37,Seqs!$A:$B,2,FALSE),VLOOKUP($A37,'NonXtal_SegEnds_Prot#'!A:AL,10,FALSE)+6,1)</f>
        <v>A</v>
      </c>
      <c r="T37" s="102" t="str">
        <f>MID(VLOOKUP($A37,Seqs!$A:$B,2,FALSE),VLOOKUP($A37,'NonXtal_SegEnds_Prot#'!A:AL,10,FALSE)+7,1)</f>
        <v>V</v>
      </c>
      <c r="U37" s="102" t="str">
        <f>MID(VLOOKUP($A37,Seqs!$A:$B,2,FALSE),VLOOKUP($A37,'NonXtal_SegEnds_Prot#'!A:AL,10,FALSE)+8,1)</f>
        <v>V</v>
      </c>
      <c r="V37" s="102" t="str">
        <f>MID(VLOOKUP($A37,Seqs!$A:$B,2,FALSE),VLOOKUP($A37,'NonXtal_SegEnds_Prot#'!A:AL,10,FALSE)+9,1)</f>
        <v>P</v>
      </c>
      <c r="W37" s="71" t="str">
        <f>MID(VLOOKUP($A37,Seqs!$A:$B,2,FALSE),VLOOKUP($A37,'NonXtal_SegEnds_Prot#'!$A:$AL,22,FALSE)+6,1)</f>
        <v>T</v>
      </c>
      <c r="X37" s="102" t="str">
        <f>MID(VLOOKUP($A37,Seqs!$A:$B,2,FALSE),VLOOKUP($A37,'NonXtal_SegEnds_Prot#'!$A:$AL,22,FALSE)+7,1)</f>
        <v>S</v>
      </c>
      <c r="Y37" s="102" t="str">
        <f>MID(VLOOKUP($A37,Seqs!$A:$B,2,FALSE),VLOOKUP($A37,'NonXtal_SegEnds_Prot#'!$A:$AL,22,FALSE)+8,1)</f>
        <v>F</v>
      </c>
      <c r="Z37" s="102" t="str">
        <f>MID(VLOOKUP($A37,Seqs!$A:$B,2,FALSE),VLOOKUP($A37,'NonXtal_SegEnds_Prot#'!$A:$AL,22,FALSE)+9,1)</f>
        <v>L</v>
      </c>
      <c r="AA37" s="102" t="str">
        <f>MID(VLOOKUP($A37,Seqs!$A:$B,2,FALSE),VLOOKUP($A37,'NonXtal_SegEnds_Prot#'!$A:$AL,22,FALSE)+10,1)</f>
        <v>P</v>
      </c>
      <c r="AB37" s="71" t="str">
        <f>MID(VLOOKUP($A37,Seqs!$A:$B,2,FALSE),VLOOKUP($A37,'NonXtal_SegEnds_Prot#'!$A:$AL,28,FALSE)-4,1)</f>
        <v>S</v>
      </c>
      <c r="AC37" s="102" t="str">
        <f>MID(VLOOKUP($A37,Seqs!$A:$B,2,FALSE),VLOOKUP($A37,'NonXtal_SegEnds_Prot#'!$A:$AL,28,FALSE),1)</f>
        <v>P</v>
      </c>
    </row>
    <row r="38" spans="1:29" s="2" customFormat="1" x14ac:dyDescent="0.2">
      <c r="A38" s="2" t="s">
        <v>296</v>
      </c>
      <c r="B38" s="2" t="str">
        <f>LOWER(VLOOKUP(A38,Xtal_Templ!A:B,2,FALSE))</f>
        <v>adrb1_melga</v>
      </c>
      <c r="C38" s="2" t="str">
        <f>VLOOKUP(A38,Classification!A:D,2,FALSE)</f>
        <v>A</v>
      </c>
      <c r="E38" s="2" t="s">
        <v>20</v>
      </c>
      <c r="N38" s="2" t="s">
        <v>43</v>
      </c>
      <c r="P38" s="4" t="s">
        <v>51</v>
      </c>
      <c r="R38" s="71" t="str">
        <f>MID(VLOOKUP($A38,Seqs!$A:$B,2,FALSE),VLOOKUP($A38,'NonXtal_SegEnds_Prot#'!A:AL,10,FALSE),1)</f>
        <v>D</v>
      </c>
      <c r="S38" s="102" t="str">
        <f>MID(VLOOKUP($A38,Seqs!$A:$B,2,FALSE),VLOOKUP($A38,'NonXtal_SegEnds_Prot#'!A:AL,10,FALSE)+6,1)</f>
        <v>L</v>
      </c>
      <c r="T38" s="102" t="str">
        <f>MID(VLOOKUP($A38,Seqs!$A:$B,2,FALSE),VLOOKUP($A38,'NonXtal_SegEnds_Prot#'!A:AL,10,FALSE)+7,1)</f>
        <v>V</v>
      </c>
      <c r="U38" s="102" t="str">
        <f>MID(VLOOKUP($A38,Seqs!$A:$B,2,FALSE),VLOOKUP($A38,'NonXtal_SegEnds_Prot#'!A:AL,10,FALSE)+8,1)</f>
        <v>V</v>
      </c>
      <c r="V38" s="102" t="str">
        <f>MID(VLOOKUP($A38,Seqs!$A:$B,2,FALSE),VLOOKUP($A38,'NonXtal_SegEnds_Prot#'!A:AL,10,FALSE)+9,1)</f>
        <v>P</v>
      </c>
      <c r="W38" s="71" t="str">
        <f>MID(VLOOKUP($A38,Seqs!$A:$B,2,FALSE),VLOOKUP($A38,'NonXtal_SegEnds_Prot#'!$A:$AL,22,FALSE)+6,1)</f>
        <v>V</v>
      </c>
      <c r="X38" s="102" t="str">
        <f>MID(VLOOKUP($A38,Seqs!$A:$B,2,FALSE),VLOOKUP($A38,'NonXtal_SegEnds_Prot#'!$A:$AL,22,FALSE)+7,1)</f>
        <v>S</v>
      </c>
      <c r="Y38" s="102" t="str">
        <f>MID(VLOOKUP($A38,Seqs!$A:$B,2,FALSE),VLOOKUP($A38,'NonXtal_SegEnds_Prot#'!$A:$AL,22,FALSE)+8,1)</f>
        <v>F</v>
      </c>
      <c r="Z38" s="102" t="str">
        <f>MID(VLOOKUP($A38,Seqs!$A:$B,2,FALSE),VLOOKUP($A38,'NonXtal_SegEnds_Prot#'!$A:$AL,22,FALSE)+9,1)</f>
        <v>A</v>
      </c>
      <c r="AA38" s="102" t="str">
        <f>MID(VLOOKUP($A38,Seqs!$A:$B,2,FALSE),VLOOKUP($A38,'NonXtal_SegEnds_Prot#'!$A:$AL,22,FALSE)+10,1)</f>
        <v>P</v>
      </c>
      <c r="AB38" s="71" t="str">
        <f>MID(VLOOKUP($A38,Seqs!$A:$B,2,FALSE),VLOOKUP($A38,'NonXtal_SegEnds_Prot#'!$A:$AL,28,FALSE)-4,1)</f>
        <v>S</v>
      </c>
      <c r="AC38" s="102" t="str">
        <f>MID(VLOOKUP($A38,Seqs!$A:$B,2,FALSE),VLOOKUP($A38,'NonXtal_SegEnds_Prot#'!$A:$AL,28,FALSE),1)</f>
        <v>P</v>
      </c>
    </row>
    <row r="39" spans="1:29" s="2" customFormat="1" x14ac:dyDescent="0.2">
      <c r="A39" s="2" t="s">
        <v>352</v>
      </c>
      <c r="B39" s="2" t="str">
        <f>LOWER(VLOOKUP(A39,Xtal_Templ!A:B,2,FALSE))</f>
        <v>agtr1_human</v>
      </c>
      <c r="C39" s="2" t="str">
        <f>VLOOKUP(A39,Classification!A:D,2,FALSE)</f>
        <v>A</v>
      </c>
      <c r="J39" s="2" t="s">
        <v>98</v>
      </c>
      <c r="N39" s="2" t="s">
        <v>43</v>
      </c>
      <c r="P39" s="4" t="s">
        <v>51</v>
      </c>
      <c r="R39" s="71" t="str">
        <f>MID(VLOOKUP($A39,Seqs!$A:$B,2,FALSE),VLOOKUP($A39,'NonXtal_SegEnds_Prot#'!A:AL,10,FALSE),1)</f>
        <v>D</v>
      </c>
      <c r="S39" s="102" t="str">
        <f>MID(VLOOKUP($A39,Seqs!$A:$B,2,FALSE),VLOOKUP($A39,'NonXtal_SegEnds_Prot#'!A:AL,10,FALSE)+6,1)</f>
        <v>T</v>
      </c>
      <c r="T39" s="102" t="str">
        <f>MID(VLOOKUP($A39,Seqs!$A:$B,2,FALSE),VLOOKUP($A39,'NonXtal_SegEnds_Prot#'!A:AL,10,FALSE)+7,1)</f>
        <v>L</v>
      </c>
      <c r="U39" s="102" t="str">
        <f>MID(VLOOKUP($A39,Seqs!$A:$B,2,FALSE),VLOOKUP($A39,'NonXtal_SegEnds_Prot#'!A:AL,10,FALSE)+8,1)</f>
        <v>P</v>
      </c>
      <c r="V39" s="102" t="str">
        <f>MID(VLOOKUP($A39,Seqs!$A:$B,2,FALSE),VLOOKUP($A39,'NonXtal_SegEnds_Prot#'!A:AL,10,FALSE)+9,1)</f>
        <v>L</v>
      </c>
      <c r="W39" s="71" t="str">
        <f>MID(VLOOKUP($A39,Seqs!$A:$B,2,FALSE),VLOOKUP($A39,'NonXtal_SegEnds_Prot#'!$A:$AL,22,FALSE)+6,1)</f>
        <v>A</v>
      </c>
      <c r="X39" s="102" t="str">
        <f>MID(VLOOKUP($A39,Seqs!$A:$B,2,FALSE),VLOOKUP($A39,'NonXtal_SegEnds_Prot#'!$A:$AL,22,FALSE)+7,1)</f>
        <v>S</v>
      </c>
      <c r="Y39" s="102" t="str">
        <f>MID(VLOOKUP($A39,Seqs!$A:$B,2,FALSE),VLOOKUP($A39,'NonXtal_SegEnds_Prot#'!$A:$AL,22,FALSE)+8,1)</f>
        <v>L</v>
      </c>
      <c r="Z39" s="102" t="str">
        <f>MID(VLOOKUP($A39,Seqs!$A:$B,2,FALSE),VLOOKUP($A39,'NonXtal_SegEnds_Prot#'!$A:$AL,22,FALSE)+9,1)</f>
        <v>P</v>
      </c>
      <c r="AA39" s="102" t="str">
        <f>MID(VLOOKUP($A39,Seqs!$A:$B,2,FALSE),VLOOKUP($A39,'NonXtal_SegEnds_Prot#'!$A:$AL,22,FALSE)+10,1)</f>
        <v>A</v>
      </c>
      <c r="AB39" s="71" t="str">
        <f>MID(VLOOKUP($A39,Seqs!$A:$B,2,FALSE),VLOOKUP($A39,'NonXtal_SegEnds_Prot#'!$A:$AL,28,FALSE)-4,1)</f>
        <v>G</v>
      </c>
      <c r="AC39" s="102" t="str">
        <f>MID(VLOOKUP($A39,Seqs!$A:$B,2,FALSE),VLOOKUP($A39,'NonXtal_SegEnds_Prot#'!$A:$AL,28,FALSE),1)</f>
        <v>P</v>
      </c>
    </row>
    <row r="40" spans="1:29" s="2" customFormat="1" x14ac:dyDescent="0.2">
      <c r="A40" s="2" t="s">
        <v>353</v>
      </c>
      <c r="B40" s="2" t="str">
        <f>LOWER(VLOOKUP(A40,Xtal_Templ!A:B,2,FALSE))</f>
        <v>agtr1_human</v>
      </c>
      <c r="C40" s="2" t="str">
        <f>VLOOKUP(A40,Classification!A:D,2,FALSE)</f>
        <v>A</v>
      </c>
      <c r="K40" s="2" t="s">
        <v>59</v>
      </c>
      <c r="N40" s="2" t="s">
        <v>43</v>
      </c>
      <c r="P40" s="4" t="s">
        <v>51</v>
      </c>
      <c r="R40" s="71" t="str">
        <f>MID(VLOOKUP($A40,Seqs!$A:$B,2,FALSE),VLOOKUP($A40,'NonXtal_SegEnds_Prot#'!A:AL,10,FALSE),1)</f>
        <v>D</v>
      </c>
      <c r="S40" s="102" t="str">
        <f>MID(VLOOKUP($A40,Seqs!$A:$B,2,FALSE),VLOOKUP($A40,'NonXtal_SegEnds_Prot#'!A:AL,10,FALSE)+6,1)</f>
        <v>T</v>
      </c>
      <c r="T40" s="102" t="str">
        <f>MID(VLOOKUP($A40,Seqs!$A:$B,2,FALSE),VLOOKUP($A40,'NonXtal_SegEnds_Prot#'!A:AL,10,FALSE)+7,1)</f>
        <v>L</v>
      </c>
      <c r="U40" s="102" t="str">
        <f>MID(VLOOKUP($A40,Seqs!$A:$B,2,FALSE),VLOOKUP($A40,'NonXtal_SegEnds_Prot#'!A:AL,10,FALSE)+8,1)</f>
        <v>P</v>
      </c>
      <c r="V40" s="102" t="str">
        <f>MID(VLOOKUP($A40,Seqs!$A:$B,2,FALSE),VLOOKUP($A40,'NonXtal_SegEnds_Prot#'!A:AL,10,FALSE)+9,1)</f>
        <v>L</v>
      </c>
      <c r="W40" s="71" t="str">
        <f>MID(VLOOKUP($A40,Seqs!$A:$B,2,FALSE),VLOOKUP($A40,'NonXtal_SegEnds_Prot#'!$A:$AL,22,FALSE)+6,1)</f>
        <v>S</v>
      </c>
      <c r="X40" s="102" t="str">
        <f>MID(VLOOKUP($A40,Seqs!$A:$B,2,FALSE),VLOOKUP($A40,'NonXtal_SegEnds_Prot#'!$A:$AL,22,FALSE)+7,1)</f>
        <v>S</v>
      </c>
      <c r="Y40" s="102" t="str">
        <f>MID(VLOOKUP($A40,Seqs!$A:$B,2,FALSE),VLOOKUP($A40,'NonXtal_SegEnds_Prot#'!$A:$AL,22,FALSE)+8,1)</f>
        <v>L</v>
      </c>
      <c r="Z40" s="102" t="str">
        <f>MID(VLOOKUP($A40,Seqs!$A:$B,2,FALSE),VLOOKUP($A40,'NonXtal_SegEnds_Prot#'!$A:$AL,22,FALSE)+9,1)</f>
        <v>P</v>
      </c>
      <c r="AA40" s="102" t="str">
        <f>MID(VLOOKUP($A40,Seqs!$A:$B,2,FALSE),VLOOKUP($A40,'NonXtal_SegEnds_Prot#'!$A:$AL,22,FALSE)+10,1)</f>
        <v>T</v>
      </c>
      <c r="AB40" s="71" t="str">
        <f>MID(VLOOKUP($A40,Seqs!$A:$B,2,FALSE),VLOOKUP($A40,'NonXtal_SegEnds_Prot#'!$A:$AL,28,FALSE)-4,1)</f>
        <v>G</v>
      </c>
      <c r="AC40" s="102" t="str">
        <f>MID(VLOOKUP($A40,Seqs!$A:$B,2,FALSE),VLOOKUP($A40,'NonXtal_SegEnds_Prot#'!$A:$AL,28,FALSE),1)</f>
        <v>P</v>
      </c>
    </row>
    <row r="41" spans="1:29" s="2" customFormat="1" x14ac:dyDescent="0.2">
      <c r="A41" s="2" t="s">
        <v>354</v>
      </c>
      <c r="B41" s="2" t="str">
        <f>LOWER(VLOOKUP(A41,Xtal_Templ!A:B,2,FALSE))</f>
        <v>agtr1_human</v>
      </c>
      <c r="C41" s="2" t="str">
        <f>VLOOKUP(A41,Classification!A:D,2,FALSE)</f>
        <v>A</v>
      </c>
      <c r="K41" s="2" t="s">
        <v>59</v>
      </c>
      <c r="N41" s="2" t="s">
        <v>43</v>
      </c>
      <c r="P41" s="4" t="s">
        <v>51</v>
      </c>
      <c r="R41" s="71" t="str">
        <f>MID(VLOOKUP($A41,Seqs!$A:$B,2,FALSE),VLOOKUP($A41,'NonXtal_SegEnds_Prot#'!A:AL,10,FALSE),1)</f>
        <v>D</v>
      </c>
      <c r="S41" s="102" t="str">
        <f>MID(VLOOKUP($A41,Seqs!$A:$B,2,FALSE),VLOOKUP($A41,'NonXtal_SegEnds_Prot#'!A:AL,10,FALSE)+6,1)</f>
        <v>T</v>
      </c>
      <c r="T41" s="102" t="str">
        <f>MID(VLOOKUP($A41,Seqs!$A:$B,2,FALSE),VLOOKUP($A41,'NonXtal_SegEnds_Prot#'!A:AL,10,FALSE)+7,1)</f>
        <v>L</v>
      </c>
      <c r="U41" s="102" t="str">
        <f>MID(VLOOKUP($A41,Seqs!$A:$B,2,FALSE),VLOOKUP($A41,'NonXtal_SegEnds_Prot#'!A:AL,10,FALSE)+8,1)</f>
        <v>P</v>
      </c>
      <c r="V41" s="102" t="str">
        <f>MID(VLOOKUP($A41,Seqs!$A:$B,2,FALSE),VLOOKUP($A41,'NonXtal_SegEnds_Prot#'!A:AL,10,FALSE)+9,1)</f>
        <v>L</v>
      </c>
      <c r="W41" s="71" t="str">
        <f>MID(VLOOKUP($A41,Seqs!$A:$B,2,FALSE),VLOOKUP($A41,'NonXtal_SegEnds_Prot#'!$A:$AL,22,FALSE)+6,1)</f>
        <v>L</v>
      </c>
      <c r="X41" s="102" t="str">
        <f>MID(VLOOKUP($A41,Seqs!$A:$B,2,FALSE),VLOOKUP($A41,'NonXtal_SegEnds_Prot#'!$A:$AL,22,FALSE)+7,1)</f>
        <v>A</v>
      </c>
      <c r="Y41" s="102" t="str">
        <f>MID(VLOOKUP($A41,Seqs!$A:$B,2,FALSE),VLOOKUP($A41,'NonXtal_SegEnds_Prot#'!$A:$AL,22,FALSE)+8,1)</f>
        <v>M</v>
      </c>
      <c r="Z41" s="102" t="str">
        <f>MID(VLOOKUP($A41,Seqs!$A:$B,2,FALSE),VLOOKUP($A41,'NonXtal_SegEnds_Prot#'!$A:$AL,22,FALSE)+9,1)</f>
        <v>P</v>
      </c>
      <c r="AA41" s="102" t="str">
        <f>MID(VLOOKUP($A41,Seqs!$A:$B,2,FALSE),VLOOKUP($A41,'NonXtal_SegEnds_Prot#'!$A:$AL,22,FALSE)+10,1)</f>
        <v>V</v>
      </c>
      <c r="AB41" s="71" t="str">
        <f>MID(VLOOKUP($A41,Seqs!$A:$B,2,FALSE),VLOOKUP($A41,'NonXtal_SegEnds_Prot#'!$A:$AL,28,FALSE)-4,1)</f>
        <v>G</v>
      </c>
      <c r="AC41" s="102" t="str">
        <f>MID(VLOOKUP($A41,Seqs!$A:$B,2,FALSE),VLOOKUP($A41,'NonXtal_SegEnds_Prot#'!$A:$AL,28,FALSE),1)</f>
        <v>P</v>
      </c>
    </row>
    <row r="42" spans="1:29" s="2" customFormat="1" x14ac:dyDescent="0.2">
      <c r="A42" s="2" t="s">
        <v>355</v>
      </c>
      <c r="B42" s="2" t="str">
        <f>LOWER(VLOOKUP(A42,Xtal_Templ!A:B,2,FALSE))</f>
        <v>agtr1_human</v>
      </c>
      <c r="C42" s="2" t="str">
        <f>VLOOKUP(A42,Classification!A:D,2,FALSE)</f>
        <v>A</v>
      </c>
      <c r="K42" s="2" t="s">
        <v>59</v>
      </c>
      <c r="N42" s="2" t="s">
        <v>43</v>
      </c>
      <c r="P42" s="4" t="s">
        <v>51</v>
      </c>
      <c r="R42" s="71" t="str">
        <f>MID(VLOOKUP($A42,Seqs!$A:$B,2,FALSE),VLOOKUP($A42,'NonXtal_SegEnds_Prot#'!A:AL,10,FALSE),1)</f>
        <v>D</v>
      </c>
      <c r="S42" s="102" t="str">
        <f>MID(VLOOKUP($A42,Seqs!$A:$B,2,FALSE),VLOOKUP($A42,'NonXtal_SegEnds_Prot#'!A:AL,10,FALSE)+6,1)</f>
        <v>G</v>
      </c>
      <c r="T42" s="102" t="str">
        <f>MID(VLOOKUP($A42,Seqs!$A:$B,2,FALSE),VLOOKUP($A42,'NonXtal_SegEnds_Prot#'!A:AL,10,FALSE)+7,1)</f>
        <v>L</v>
      </c>
      <c r="U42" s="102" t="str">
        <f>MID(VLOOKUP($A42,Seqs!$A:$B,2,FALSE),VLOOKUP($A42,'NonXtal_SegEnds_Prot#'!A:AL,10,FALSE)+8,1)</f>
        <v>P</v>
      </c>
      <c r="V42" s="102" t="str">
        <f>MID(VLOOKUP($A42,Seqs!$A:$B,2,FALSE),VLOOKUP($A42,'NonXtal_SegEnds_Prot#'!A:AL,10,FALSE)+9,1)</f>
        <v>F</v>
      </c>
      <c r="W42" s="71" t="str">
        <f>MID(VLOOKUP($A42,Seqs!$A:$B,2,FALSE),VLOOKUP($A42,'NonXtal_SegEnds_Prot#'!$A:$AL,22,FALSE)+6,1)</f>
        <v>L</v>
      </c>
      <c r="X42" s="102" t="str">
        <f>MID(VLOOKUP($A42,Seqs!$A:$B,2,FALSE),VLOOKUP($A42,'NonXtal_SegEnds_Prot#'!$A:$AL,22,FALSE)+7,1)</f>
        <v>S</v>
      </c>
      <c r="Y42" s="102" t="str">
        <f>MID(VLOOKUP($A42,Seqs!$A:$B,2,FALSE),VLOOKUP($A42,'NonXtal_SegEnds_Prot#'!$A:$AL,22,FALSE)+8,1)</f>
        <v>I</v>
      </c>
      <c r="Z42" s="102" t="str">
        <f>MID(VLOOKUP($A42,Seqs!$A:$B,2,FALSE),VLOOKUP($A42,'NonXtal_SegEnds_Prot#'!$A:$AL,22,FALSE)+9,1)</f>
        <v>P</v>
      </c>
      <c r="AA42" s="102" t="str">
        <f>MID(VLOOKUP($A42,Seqs!$A:$B,2,FALSE),VLOOKUP($A42,'NonXtal_SegEnds_Prot#'!$A:$AL,22,FALSE)+10,1)</f>
        <v>T</v>
      </c>
      <c r="AB42" s="71" t="str">
        <f>MID(VLOOKUP($A42,Seqs!$A:$B,2,FALSE),VLOOKUP($A42,'NonXtal_SegEnds_Prot#'!$A:$AL,28,FALSE)-4,1)</f>
        <v>G</v>
      </c>
      <c r="AC42" s="102" t="str">
        <f>MID(VLOOKUP($A42,Seqs!$A:$B,2,FALSE),VLOOKUP($A42,'NonXtal_SegEnds_Prot#'!$A:$AL,28,FALSE),1)</f>
        <v>P</v>
      </c>
    </row>
    <row r="43" spans="1:29" s="2" customFormat="1" x14ac:dyDescent="0.2">
      <c r="A43" s="2" t="s">
        <v>356</v>
      </c>
      <c r="B43" s="2" t="str">
        <f>LOWER(VLOOKUP(A43,Xtal_Templ!A:B,2,FALSE))</f>
        <v>agtr1_human</v>
      </c>
      <c r="C43" s="2" t="str">
        <f>VLOOKUP(A43,Classification!A:D,2,FALSE)</f>
        <v>A</v>
      </c>
      <c r="N43" s="2" t="s">
        <v>43</v>
      </c>
      <c r="P43" s="4" t="s">
        <v>51</v>
      </c>
      <c r="R43" s="71" t="str">
        <f>MID(VLOOKUP($A43,Seqs!$A:$B,2,FALSE),VLOOKUP($A43,'NonXtal_SegEnds_Prot#'!A:AL,10,FALSE),1)</f>
        <v>D</v>
      </c>
      <c r="S43" s="102" t="str">
        <f>MID(VLOOKUP($A43,Seqs!$A:$B,2,FALSE),VLOOKUP($A43,'NonXtal_SegEnds_Prot#'!A:AL,10,FALSE)+6,1)</f>
        <v>G</v>
      </c>
      <c r="T43" s="102" t="str">
        <f>MID(VLOOKUP($A43,Seqs!$A:$B,2,FALSE),VLOOKUP($A43,'NonXtal_SegEnds_Prot#'!A:AL,10,FALSE)+7,1)</f>
        <v>L</v>
      </c>
      <c r="U43" s="102" t="str">
        <f>MID(VLOOKUP($A43,Seqs!$A:$B,2,FALSE),VLOOKUP($A43,'NonXtal_SegEnds_Prot#'!A:AL,10,FALSE)+8,1)</f>
        <v>P</v>
      </c>
      <c r="V43" s="102" t="str">
        <f>MID(VLOOKUP($A43,Seqs!$A:$B,2,FALSE),VLOOKUP($A43,'NonXtal_SegEnds_Prot#'!A:AL,10,FALSE)+9,1)</f>
        <v>F</v>
      </c>
      <c r="W43" s="71" t="str">
        <f>MID(VLOOKUP($A43,Seqs!$A:$B,2,FALSE),VLOOKUP($A43,'NonXtal_SegEnds_Prot#'!$A:$AL,22,FALSE)+6,1)</f>
        <v>L</v>
      </c>
      <c r="X43" s="102" t="str">
        <f>MID(VLOOKUP($A43,Seqs!$A:$B,2,FALSE),VLOOKUP($A43,'NonXtal_SegEnds_Prot#'!$A:$AL,22,FALSE)+7,1)</f>
        <v>S</v>
      </c>
      <c r="Y43" s="102" t="str">
        <f>MID(VLOOKUP($A43,Seqs!$A:$B,2,FALSE),VLOOKUP($A43,'NonXtal_SegEnds_Prot#'!$A:$AL,22,FALSE)+8,1)</f>
        <v>S</v>
      </c>
      <c r="Z43" s="102" t="str">
        <f>MID(VLOOKUP($A43,Seqs!$A:$B,2,FALSE),VLOOKUP($A43,'NonXtal_SegEnds_Prot#'!$A:$AL,22,FALSE)+9,1)</f>
        <v>P</v>
      </c>
      <c r="AA43" s="102" t="str">
        <f>MID(VLOOKUP($A43,Seqs!$A:$B,2,FALSE),VLOOKUP($A43,'NonXtal_SegEnds_Prot#'!$A:$AL,22,FALSE)+10,1)</f>
        <v>M</v>
      </c>
      <c r="AB43" s="71" t="str">
        <f>MID(VLOOKUP($A43,Seqs!$A:$B,2,FALSE),VLOOKUP($A43,'NonXtal_SegEnds_Prot#'!$A:$AL,28,FALSE)-4,1)</f>
        <v>G</v>
      </c>
      <c r="AC43" s="102" t="str">
        <f>MID(VLOOKUP($A43,Seqs!$A:$B,2,FALSE),VLOOKUP($A43,'NonXtal_SegEnds_Prot#'!$A:$AL,28,FALSE),1)</f>
        <v>P</v>
      </c>
    </row>
    <row r="44" spans="1:29" s="2" customFormat="1" ht="17" customHeight="1" x14ac:dyDescent="0.2">
      <c r="A44" s="2" t="s">
        <v>357</v>
      </c>
      <c r="B44" s="2" t="str">
        <f>LOWER(VLOOKUP(A44,Xtal_Templ!A:B,2,FALSE))</f>
        <v>ox2r_human</v>
      </c>
      <c r="C44" s="2" t="str">
        <f>VLOOKUP(A44,Classification!A:D,2,FALSE)</f>
        <v>A</v>
      </c>
      <c r="E44" s="2" t="s">
        <v>20</v>
      </c>
      <c r="K44" s="2" t="s">
        <v>59</v>
      </c>
      <c r="P44" s="4" t="s">
        <v>51</v>
      </c>
      <c r="R44" s="71" t="str">
        <f>MID(VLOOKUP($A44,Seqs!$A:$B,2,FALSE),VLOOKUP($A44,'NonXtal_SegEnds_Prot#'!A:AL,10,FALSE),1)</f>
        <v>D</v>
      </c>
      <c r="S44" s="102" t="str">
        <f>MID(VLOOKUP($A44,Seqs!$A:$B,2,FALSE),VLOOKUP($A44,'NonXtal_SegEnds_Prot#'!A:AL,10,FALSE)+6,1)</f>
        <v>T</v>
      </c>
      <c r="T44" s="102" t="str">
        <f>MID(VLOOKUP($A44,Seqs!$A:$B,2,FALSE),VLOOKUP($A44,'NonXtal_SegEnds_Prot#'!A:AL,10,FALSE)+7,1)</f>
        <v>C</v>
      </c>
      <c r="U44" s="102" t="str">
        <f>MID(VLOOKUP($A44,Seqs!$A:$B,2,FALSE),VLOOKUP($A44,'NonXtal_SegEnds_Prot#'!A:AL,10,FALSE)+8,1)</f>
        <v>V</v>
      </c>
      <c r="V44" s="102" t="str">
        <f>MID(VLOOKUP($A44,Seqs!$A:$B,2,FALSE),VLOOKUP($A44,'NonXtal_SegEnds_Prot#'!A:AL,10,FALSE)+9,1)</f>
        <v>P</v>
      </c>
      <c r="W44" s="71" t="str">
        <f>MID(VLOOKUP($A44,Seqs!$A:$B,2,FALSE),VLOOKUP($A44,'NonXtal_SegEnds_Prot#'!$A:$AL,22,FALSE)+6,1)</f>
        <v>F</v>
      </c>
      <c r="X44" s="102" t="str">
        <f>MID(VLOOKUP($A44,Seqs!$A:$B,2,FALSE),VLOOKUP($A44,'NonXtal_SegEnds_Prot#'!$A:$AL,22,FALSE)+7,1)</f>
        <v>A</v>
      </c>
      <c r="Y44" s="102" t="str">
        <f>MID(VLOOKUP($A44,Seqs!$A:$B,2,FALSE),VLOOKUP($A44,'NonXtal_SegEnds_Prot#'!$A:$AL,22,FALSE)+8,1)</f>
        <v>L</v>
      </c>
      <c r="Z44" s="102" t="str">
        <f>MID(VLOOKUP($A44,Seqs!$A:$B,2,FALSE),VLOOKUP($A44,'NonXtal_SegEnds_Prot#'!$A:$AL,22,FALSE)+9,1)</f>
        <v>P</v>
      </c>
      <c r="AA44" s="102" t="str">
        <f>MID(VLOOKUP($A44,Seqs!$A:$B,2,FALSE),VLOOKUP($A44,'NonXtal_SegEnds_Prot#'!$A:$AL,22,FALSE)+10,1)</f>
        <v>E</v>
      </c>
      <c r="AB44" s="71" t="str">
        <f>MID(VLOOKUP($A44,Seqs!$A:$B,2,FALSE),VLOOKUP($A44,'NonXtal_SegEnds_Prot#'!$A:$AL,28,FALSE)-4,1)</f>
        <v>F</v>
      </c>
      <c r="AC44" s="102" t="str">
        <f>MID(VLOOKUP($A44,Seqs!$A:$B,2,FALSE),VLOOKUP($A44,'NonXtal_SegEnds_Prot#'!$A:$AL,28,FALSE),1)</f>
        <v>P</v>
      </c>
    </row>
    <row r="45" spans="1:29" s="2" customFormat="1" x14ac:dyDescent="0.2">
      <c r="A45" s="2" t="s">
        <v>358</v>
      </c>
      <c r="B45" s="2" t="str">
        <f>LOWER(VLOOKUP(A45,Xtal_Templ!A:B,2,FALSE))</f>
        <v>oprk_human</v>
      </c>
      <c r="C45" s="2" t="str">
        <f>VLOOKUP(A45,Classification!A:D,2,FALSE)</f>
        <v>A</v>
      </c>
      <c r="K45" s="2" t="s">
        <v>59</v>
      </c>
      <c r="N45" s="2" t="s">
        <v>43</v>
      </c>
      <c r="P45" s="4" t="s">
        <v>51</v>
      </c>
      <c r="R45" s="71" t="str">
        <f>MID(VLOOKUP($A45,Seqs!$A:$B,2,FALSE),VLOOKUP($A45,'NonXtal_SegEnds_Prot#'!A:AL,10,FALSE),1)</f>
        <v>D</v>
      </c>
      <c r="S45" s="102" t="str">
        <f>MID(VLOOKUP($A45,Seqs!$A:$B,2,FALSE),VLOOKUP($A45,'NonXtal_SegEnds_Prot#'!A:AL,10,FALSE)+6,1)</f>
        <v>S</v>
      </c>
      <c r="T45" s="102" t="str">
        <f>MID(VLOOKUP($A45,Seqs!$A:$B,2,FALSE),VLOOKUP($A45,'NonXtal_SegEnds_Prot#'!A:AL,10,FALSE)+7,1)</f>
        <v>L</v>
      </c>
      <c r="U45" s="102" t="str">
        <f>MID(VLOOKUP($A45,Seqs!$A:$B,2,FALSE),VLOOKUP($A45,'NonXtal_SegEnds_Prot#'!A:AL,10,FALSE)+8,1)</f>
        <v>P</v>
      </c>
      <c r="V45" s="102" t="str">
        <f>MID(VLOOKUP($A45,Seqs!$A:$B,2,FALSE),VLOOKUP($A45,'NonXtal_SegEnds_Prot#'!A:AL,10,FALSE)+9,1)</f>
        <v>F</v>
      </c>
      <c r="W45" s="71" t="str">
        <f>MID(VLOOKUP($A45,Seqs!$A:$B,2,FALSE),VLOOKUP($A45,'NonXtal_SegEnds_Prot#'!$A:$AL,22,FALSE)+6,1)</f>
        <v>M</v>
      </c>
      <c r="X45" s="102" t="str">
        <f>MID(VLOOKUP($A45,Seqs!$A:$B,2,FALSE),VLOOKUP($A45,'NonXtal_SegEnds_Prot#'!$A:$AL,22,FALSE)+7,1)</f>
        <v>C</v>
      </c>
      <c r="Y45" s="102" t="str">
        <f>MID(VLOOKUP($A45,Seqs!$A:$B,2,FALSE),VLOOKUP($A45,'NonXtal_SegEnds_Prot#'!$A:$AL,22,FALSE)+8,1)</f>
        <v>I</v>
      </c>
      <c r="Z45" s="102" t="str">
        <f>MID(VLOOKUP($A45,Seqs!$A:$B,2,FALSE),VLOOKUP($A45,'NonXtal_SegEnds_Prot#'!$A:$AL,22,FALSE)+9,1)</f>
        <v>P</v>
      </c>
      <c r="AA45" s="102" t="str">
        <f>MID(VLOOKUP($A45,Seqs!$A:$B,2,FALSE),VLOOKUP($A45,'NonXtal_SegEnds_Prot#'!$A:$AL,22,FALSE)+10,1)</f>
        <v>V</v>
      </c>
      <c r="AB45" s="71" t="str">
        <f>MID(VLOOKUP($A45,Seqs!$A:$B,2,FALSE),VLOOKUP($A45,'NonXtal_SegEnds_Prot#'!$A:$AL,28,FALSE)-4,1)</f>
        <v>G</v>
      </c>
      <c r="AC45" s="102" t="str">
        <f>MID(VLOOKUP($A45,Seqs!$A:$B,2,FALSE),VLOOKUP($A45,'NonXtal_SegEnds_Prot#'!$A:$AL,28,FALSE),1)</f>
        <v>P</v>
      </c>
    </row>
    <row r="46" spans="1:29" s="2" customFormat="1" x14ac:dyDescent="0.2">
      <c r="A46" s="2" t="s">
        <v>359</v>
      </c>
      <c r="B46" s="2" t="str">
        <f>LOWER(VLOOKUP(A46,Xtal_Templ!A:B,2,FALSE))</f>
        <v>agtr1_human</v>
      </c>
      <c r="C46" s="2" t="str">
        <f>VLOOKUP(A46,Classification!A:D,2,FALSE)</f>
        <v>A</v>
      </c>
      <c r="K46" s="2" t="s">
        <v>59</v>
      </c>
      <c r="N46" s="2" t="s">
        <v>43</v>
      </c>
      <c r="P46" s="4" t="s">
        <v>51</v>
      </c>
      <c r="R46" s="71" t="str">
        <f>MID(VLOOKUP($A46,Seqs!$A:$B,2,FALSE),VLOOKUP($A46,'NonXtal_SegEnds_Prot#'!A:AL,10,FALSE),1)</f>
        <v>D</v>
      </c>
      <c r="S46" s="102" t="str">
        <f>MID(VLOOKUP($A46,Seqs!$A:$B,2,FALSE),VLOOKUP($A46,'NonXtal_SegEnds_Prot#'!A:AL,10,FALSE)+6,1)</f>
        <v>A</v>
      </c>
      <c r="T46" s="102" t="str">
        <f>MID(VLOOKUP($A46,Seqs!$A:$B,2,FALSE),VLOOKUP($A46,'NonXtal_SegEnds_Prot#'!A:AL,10,FALSE)+7,1)</f>
        <v>L</v>
      </c>
      <c r="U46" s="102" t="str">
        <f>MID(VLOOKUP($A46,Seqs!$A:$B,2,FALSE),VLOOKUP($A46,'NonXtal_SegEnds_Prot#'!A:AL,10,FALSE)+8,1)</f>
        <v>P</v>
      </c>
      <c r="V46" s="102" t="str">
        <f>MID(VLOOKUP($A46,Seqs!$A:$B,2,FALSE),VLOOKUP($A46,'NonXtal_SegEnds_Prot#'!A:AL,10,FALSE)+9,1)</f>
        <v>I</v>
      </c>
      <c r="W46" s="71" t="str">
        <f>MID(VLOOKUP($A46,Seqs!$A:$B,2,FALSE),VLOOKUP($A46,'NonXtal_SegEnds_Prot#'!$A:$AL,22,FALSE)+6,1)</f>
        <v>L</v>
      </c>
      <c r="X46" s="102" t="str">
        <f>MID(VLOOKUP($A46,Seqs!$A:$B,2,FALSE),VLOOKUP($A46,'NonXtal_SegEnds_Prot#'!$A:$AL,22,FALSE)+7,1)</f>
        <v>T</v>
      </c>
      <c r="Y46" s="102" t="str">
        <f>MID(VLOOKUP($A46,Seqs!$A:$B,2,FALSE),VLOOKUP($A46,'NonXtal_SegEnds_Prot#'!$A:$AL,22,FALSE)+8,1)</f>
        <v>I</v>
      </c>
      <c r="Z46" s="102" t="str">
        <f>MID(VLOOKUP($A46,Seqs!$A:$B,2,FALSE),VLOOKUP($A46,'NonXtal_SegEnds_Prot#'!$A:$AL,22,FALSE)+9,1)</f>
        <v>P</v>
      </c>
      <c r="AA46" s="102" t="str">
        <f>MID(VLOOKUP($A46,Seqs!$A:$B,2,FALSE),VLOOKUP($A46,'NonXtal_SegEnds_Prot#'!$A:$AL,22,FALSE)+10,1)</f>
        <v>S</v>
      </c>
      <c r="AB46" s="71" t="str">
        <f>MID(VLOOKUP($A46,Seqs!$A:$B,2,FALSE),VLOOKUP($A46,'NonXtal_SegEnds_Prot#'!$A:$AL,28,FALSE)-4,1)</f>
        <v>G</v>
      </c>
      <c r="AC46" s="102" t="str">
        <f>MID(VLOOKUP($A46,Seqs!$A:$B,2,FALSE),VLOOKUP($A46,'NonXtal_SegEnds_Prot#'!$A:$AL,28,FALSE),1)</f>
        <v>P</v>
      </c>
    </row>
    <row r="47" spans="1:29" s="2" customFormat="1" x14ac:dyDescent="0.2">
      <c r="A47" s="2" t="s">
        <v>360</v>
      </c>
      <c r="B47" s="2" t="str">
        <f>LOWER(VLOOKUP(A47,Xtal_Templ!A:B,2,FALSE))</f>
        <v>cxcr4_human</v>
      </c>
      <c r="C47" s="2" t="str">
        <f>VLOOKUP(A47,Classification!A:D,2,FALSE)</f>
        <v>A</v>
      </c>
      <c r="K47" s="2" t="s">
        <v>59</v>
      </c>
      <c r="N47" s="2" t="s">
        <v>43</v>
      </c>
      <c r="P47" s="4" t="s">
        <v>51</v>
      </c>
      <c r="R47" s="71" t="str">
        <f>MID(VLOOKUP($A47,Seqs!$A:$B,2,FALSE),VLOOKUP($A47,'NonXtal_SegEnds_Prot#'!A:AL,10,FALSE),1)</f>
        <v>D</v>
      </c>
      <c r="S47" s="102" t="str">
        <f>MID(VLOOKUP($A47,Seqs!$A:$B,2,FALSE),VLOOKUP($A47,'NonXtal_SegEnds_Prot#'!A:AL,10,FALSE)+6,1)</f>
        <v>S</v>
      </c>
      <c r="T47" s="102" t="str">
        <f>MID(VLOOKUP($A47,Seqs!$A:$B,2,FALSE),VLOOKUP($A47,'NonXtal_SegEnds_Prot#'!A:AL,10,FALSE)+7,1)</f>
        <v>L</v>
      </c>
      <c r="U47" s="102" t="str">
        <f>MID(VLOOKUP($A47,Seqs!$A:$B,2,FALSE),VLOOKUP($A47,'NonXtal_SegEnds_Prot#'!A:AL,10,FALSE)+8,1)</f>
        <v>P</v>
      </c>
      <c r="V47" s="102" t="str">
        <f>MID(VLOOKUP($A47,Seqs!$A:$B,2,FALSE),VLOOKUP($A47,'NonXtal_SegEnds_Prot#'!A:AL,10,FALSE)+9,1)</f>
        <v>I</v>
      </c>
      <c r="W47" s="71" t="str">
        <f>MID(VLOOKUP($A47,Seqs!$A:$B,2,FALSE),VLOOKUP($A47,'NonXtal_SegEnds_Prot#'!$A:$AL,22,FALSE)+6,1)</f>
        <v>L</v>
      </c>
      <c r="X47" s="102" t="str">
        <f>MID(VLOOKUP($A47,Seqs!$A:$B,2,FALSE),VLOOKUP($A47,'NonXtal_SegEnds_Prot#'!$A:$AL,22,FALSE)+7,1)</f>
        <v>T</v>
      </c>
      <c r="Y47" s="102" t="str">
        <f>MID(VLOOKUP($A47,Seqs!$A:$B,2,FALSE),VLOOKUP($A47,'NonXtal_SegEnds_Prot#'!$A:$AL,22,FALSE)+8,1)</f>
        <v>V</v>
      </c>
      <c r="Z47" s="102" t="str">
        <f>MID(VLOOKUP($A47,Seqs!$A:$B,2,FALSE),VLOOKUP($A47,'NonXtal_SegEnds_Prot#'!$A:$AL,22,FALSE)+9,1)</f>
        <v>P</v>
      </c>
      <c r="AA47" s="102" t="str">
        <f>MID(VLOOKUP($A47,Seqs!$A:$B,2,FALSE),VLOOKUP($A47,'NonXtal_SegEnds_Prot#'!$A:$AL,22,FALSE)+10,1)</f>
        <v>S</v>
      </c>
      <c r="AB47" s="71" t="str">
        <f>MID(VLOOKUP($A47,Seqs!$A:$B,2,FALSE),VLOOKUP($A47,'NonXtal_SegEnds_Prot#'!$A:$AL,28,FALSE)-4,1)</f>
        <v>G</v>
      </c>
      <c r="AC47" s="102" t="str">
        <f>MID(VLOOKUP($A47,Seqs!$A:$B,2,FALSE),VLOOKUP($A47,'NonXtal_SegEnds_Prot#'!$A:$AL,28,FALSE),1)</f>
        <v>P</v>
      </c>
    </row>
    <row r="48" spans="1:29" s="2" customFormat="1" x14ac:dyDescent="0.2">
      <c r="A48" s="2" t="s">
        <v>361</v>
      </c>
      <c r="B48" s="2" t="str">
        <f>LOWER(VLOOKUP(A48,Xtal_Templ!A:B,2,FALSE))</f>
        <v>ox2r_human</v>
      </c>
      <c r="C48" s="2" t="str">
        <f>VLOOKUP(A48,Classification!A:D,2,FALSE)</f>
        <v>A</v>
      </c>
      <c r="E48" s="2" t="s">
        <v>20</v>
      </c>
      <c r="N48" s="2" t="s">
        <v>43</v>
      </c>
      <c r="P48" s="4" t="s">
        <v>51</v>
      </c>
      <c r="R48" s="71" t="str">
        <f>MID(VLOOKUP($A48,Seqs!$A:$B,2,FALSE),VLOOKUP($A48,'NonXtal_SegEnds_Prot#'!A:AL,10,FALSE),1)</f>
        <v>D</v>
      </c>
      <c r="S48" s="102" t="str">
        <f>MID(VLOOKUP($A48,Seqs!$A:$B,2,FALSE),VLOOKUP($A48,'NonXtal_SegEnds_Prot#'!A:AL,10,FALSE)+6,1)</f>
        <v>F</v>
      </c>
      <c r="T48" s="102" t="str">
        <f>MID(VLOOKUP($A48,Seqs!$A:$B,2,FALSE),VLOOKUP($A48,'NonXtal_SegEnds_Prot#'!A:AL,10,FALSE)+7,1)</f>
        <v>C</v>
      </c>
      <c r="U48" s="102" t="str">
        <f>MID(VLOOKUP($A48,Seqs!$A:$B,2,FALSE),VLOOKUP($A48,'NonXtal_SegEnds_Prot#'!A:AL,10,FALSE)+8,1)</f>
        <v>M</v>
      </c>
      <c r="V48" s="102" t="str">
        <f>MID(VLOOKUP($A48,Seqs!$A:$B,2,FALSE),VLOOKUP($A48,'NonXtal_SegEnds_Prot#'!A:AL,10,FALSE)+9,1)</f>
        <v>P</v>
      </c>
      <c r="W48" s="71" t="str">
        <f>MID(VLOOKUP($A48,Seqs!$A:$B,2,FALSE),VLOOKUP($A48,'NonXtal_SegEnds_Prot#'!$A:$AL,22,FALSE)+6,1)</f>
        <v>I</v>
      </c>
      <c r="X48" s="102" t="str">
        <f>MID(VLOOKUP($A48,Seqs!$A:$B,2,FALSE),VLOOKUP($A48,'NonXtal_SegEnds_Prot#'!$A:$AL,22,FALSE)+7,1)</f>
        <v>M</v>
      </c>
      <c r="Y48" s="102" t="str">
        <f>MID(VLOOKUP($A48,Seqs!$A:$B,2,FALSE),VLOOKUP($A48,'NonXtal_SegEnds_Prot#'!$A:$AL,22,FALSE)+8,1)</f>
        <v>T</v>
      </c>
      <c r="Z48" s="102" t="str">
        <f>MID(VLOOKUP($A48,Seqs!$A:$B,2,FALSE),VLOOKUP($A48,'NonXtal_SegEnds_Prot#'!$A:$AL,22,FALSE)+9,1)</f>
        <v>P</v>
      </c>
      <c r="AA48" s="102" t="str">
        <f>MID(VLOOKUP($A48,Seqs!$A:$B,2,FALSE),VLOOKUP($A48,'NonXtal_SegEnds_Prot#'!$A:$AL,22,FALSE)+10,1)</f>
        <v>Y</v>
      </c>
      <c r="AB48" s="71" t="str">
        <f>MID(VLOOKUP($A48,Seqs!$A:$B,2,FALSE),VLOOKUP($A48,'NonXtal_SegEnds_Prot#'!$A:$AL,28,FALSE)-4,1)</f>
        <v>L</v>
      </c>
      <c r="AC48" s="102" t="str">
        <f>MID(VLOOKUP($A48,Seqs!$A:$B,2,FALSE),VLOOKUP($A48,'NonXtal_SegEnds_Prot#'!$A:$AL,28,FALSE),1)</f>
        <v>P</v>
      </c>
    </row>
    <row r="49" spans="1:29" s="2" customFormat="1" x14ac:dyDescent="0.2">
      <c r="A49" s="2" t="s">
        <v>362</v>
      </c>
      <c r="B49" s="2" t="str">
        <f>LOWER(VLOOKUP(A49,Xtal_Templ!A:B,2,FALSE))</f>
        <v>ccr5_human</v>
      </c>
      <c r="C49" s="2" t="str">
        <f>VLOOKUP(A49,Classification!A:D,2,FALSE)</f>
        <v>A</v>
      </c>
      <c r="K49" s="2" t="s">
        <v>59</v>
      </c>
      <c r="N49" s="2" t="s">
        <v>43</v>
      </c>
      <c r="P49" s="4" t="s">
        <v>51</v>
      </c>
      <c r="R49" s="71" t="str">
        <f>MID(VLOOKUP($A49,Seqs!$A:$B,2,FALSE),VLOOKUP($A49,'NonXtal_SegEnds_Prot#'!A:AL,10,FALSE),1)</f>
        <v>D</v>
      </c>
      <c r="S49" s="102" t="str">
        <f>MID(VLOOKUP($A49,Seqs!$A:$B,2,FALSE),VLOOKUP($A49,'NonXtal_SegEnds_Prot#'!A:AL,10,FALSE)+6,1)</f>
        <v>T</v>
      </c>
      <c r="T49" s="102" t="str">
        <f>MID(VLOOKUP($A49,Seqs!$A:$B,2,FALSE),VLOOKUP($A49,'NonXtal_SegEnds_Prot#'!A:AL,10,FALSE)+7,1)</f>
        <v>L</v>
      </c>
      <c r="U49" s="102" t="str">
        <f>MID(VLOOKUP($A49,Seqs!$A:$B,2,FALSE),VLOOKUP($A49,'NonXtal_SegEnds_Prot#'!A:AL,10,FALSE)+8,1)</f>
        <v>P</v>
      </c>
      <c r="V49" s="102" t="str">
        <f>MID(VLOOKUP($A49,Seqs!$A:$B,2,FALSE),VLOOKUP($A49,'NonXtal_SegEnds_Prot#'!A:AL,10,FALSE)+9,1)</f>
        <v>F</v>
      </c>
      <c r="W49" s="71" t="str">
        <f>MID(VLOOKUP($A49,Seqs!$A:$B,2,FALSE),VLOOKUP($A49,'NonXtal_SegEnds_Prot#'!$A:$AL,22,FALSE)+6,1)</f>
        <v>A</v>
      </c>
      <c r="X49" s="102" t="str">
        <f>MID(VLOOKUP($A49,Seqs!$A:$B,2,FALSE),VLOOKUP($A49,'NonXtal_SegEnds_Prot#'!$A:$AL,22,FALSE)+7,1)</f>
        <v>S</v>
      </c>
      <c r="Y49" s="102" t="str">
        <f>MID(VLOOKUP($A49,Seqs!$A:$B,2,FALSE),VLOOKUP($A49,'NonXtal_SegEnds_Prot#'!$A:$AL,22,FALSE)+8,1)</f>
        <v>M</v>
      </c>
      <c r="Z49" s="102" t="str">
        <f>MID(VLOOKUP($A49,Seqs!$A:$B,2,FALSE),VLOOKUP($A49,'NonXtal_SegEnds_Prot#'!$A:$AL,22,FALSE)+9,1)</f>
        <v>P</v>
      </c>
      <c r="AA49" s="102" t="str">
        <f>MID(VLOOKUP($A49,Seqs!$A:$B,2,FALSE),VLOOKUP($A49,'NonXtal_SegEnds_Prot#'!$A:$AL,22,FALSE)+10,1)</f>
        <v>G</v>
      </c>
      <c r="AB49" s="71" t="str">
        <f>MID(VLOOKUP($A49,Seqs!$A:$B,2,FALSE),VLOOKUP($A49,'NonXtal_SegEnds_Prot#'!$A:$AL,28,FALSE)-4,1)</f>
        <v>G</v>
      </c>
      <c r="AC49" s="102" t="str">
        <f>MID(VLOOKUP($A49,Seqs!$A:$B,2,FALSE),VLOOKUP($A49,'NonXtal_SegEnds_Prot#'!$A:$AL,28,FALSE),1)</f>
        <v>P</v>
      </c>
    </row>
    <row r="50" spans="1:29" s="2" customFormat="1" x14ac:dyDescent="0.2">
      <c r="A50" s="2" t="s">
        <v>363</v>
      </c>
      <c r="B50" s="2" t="str">
        <f>LOWER(VLOOKUP(A50,Xtal_Templ!A:B,2,FALSE))</f>
        <v>ccr5_human</v>
      </c>
      <c r="C50" s="2" t="str">
        <f>VLOOKUP(A50,Classification!A:D,2,FALSE)</f>
        <v>A</v>
      </c>
      <c r="K50" s="2" t="s">
        <v>59</v>
      </c>
      <c r="N50" s="2" t="s">
        <v>43</v>
      </c>
      <c r="P50" s="4" t="s">
        <v>51</v>
      </c>
      <c r="R50" s="71" t="str">
        <f>MID(VLOOKUP($A50,Seqs!$A:$B,2,FALSE),VLOOKUP($A50,'NonXtal_SegEnds_Prot#'!A:AL,10,FALSE),1)</f>
        <v>D</v>
      </c>
      <c r="S50" s="102" t="str">
        <f>MID(VLOOKUP($A50,Seqs!$A:$B,2,FALSE),VLOOKUP($A50,'NonXtal_SegEnds_Prot#'!A:AL,10,FALSE)+6,1)</f>
        <v>T</v>
      </c>
      <c r="T50" s="102" t="str">
        <f>MID(VLOOKUP($A50,Seqs!$A:$B,2,FALSE),VLOOKUP($A50,'NonXtal_SegEnds_Prot#'!A:AL,10,FALSE)+7,1)</f>
        <v>L</v>
      </c>
      <c r="U50" s="102" t="str">
        <f>MID(VLOOKUP($A50,Seqs!$A:$B,2,FALSE),VLOOKUP($A50,'NonXtal_SegEnds_Prot#'!A:AL,10,FALSE)+8,1)</f>
        <v>P</v>
      </c>
      <c r="V50" s="102" t="str">
        <f>MID(VLOOKUP($A50,Seqs!$A:$B,2,FALSE),VLOOKUP($A50,'NonXtal_SegEnds_Prot#'!A:AL,10,FALSE)+9,1)</f>
        <v>F</v>
      </c>
      <c r="W50" s="71" t="str">
        <f>MID(VLOOKUP($A50,Seqs!$A:$B,2,FALSE),VLOOKUP($A50,'NonXtal_SegEnds_Prot#'!$A:$AL,22,FALSE)+6,1)</f>
        <v>L</v>
      </c>
      <c r="X50" s="102" t="str">
        <f>MID(VLOOKUP($A50,Seqs!$A:$B,2,FALSE),VLOOKUP($A50,'NonXtal_SegEnds_Prot#'!$A:$AL,22,FALSE)+7,1)</f>
        <v>A</v>
      </c>
      <c r="Y50" s="102" t="str">
        <f>MID(VLOOKUP($A50,Seqs!$A:$B,2,FALSE),VLOOKUP($A50,'NonXtal_SegEnds_Prot#'!$A:$AL,22,FALSE)+8,1)</f>
        <v>L</v>
      </c>
      <c r="Z50" s="102" t="str">
        <f>MID(VLOOKUP($A50,Seqs!$A:$B,2,FALSE),VLOOKUP($A50,'NonXtal_SegEnds_Prot#'!$A:$AL,22,FALSE)+9,1)</f>
        <v>P</v>
      </c>
      <c r="AA50" s="102" t="str">
        <f>MID(VLOOKUP($A50,Seqs!$A:$B,2,FALSE),VLOOKUP($A50,'NonXtal_SegEnds_Prot#'!$A:$AL,22,FALSE)+10,1)</f>
        <v>A</v>
      </c>
      <c r="AB50" s="71" t="str">
        <f>MID(VLOOKUP($A50,Seqs!$A:$B,2,FALSE),VLOOKUP($A50,'NonXtal_SegEnds_Prot#'!$A:$AL,28,FALSE)-4,1)</f>
        <v>G</v>
      </c>
      <c r="AC50" s="102" t="str">
        <f>MID(VLOOKUP($A50,Seqs!$A:$B,2,FALSE),VLOOKUP($A50,'NonXtal_SegEnds_Prot#'!$A:$AL,28,FALSE),1)</f>
        <v>P</v>
      </c>
    </row>
    <row r="51" spans="1:29" s="2" customFormat="1" x14ac:dyDescent="0.2">
      <c r="A51" s="2" t="s">
        <v>364</v>
      </c>
      <c r="B51" s="2" t="str">
        <f>LOWER(VLOOKUP(A51,Xtal_Templ!A:B,2,FALSE))</f>
        <v>ccr5_human</v>
      </c>
      <c r="C51" s="2" t="str">
        <f>VLOOKUP(A51,Classification!A:D,2,FALSE)</f>
        <v>A</v>
      </c>
      <c r="K51" s="2" t="s">
        <v>59</v>
      </c>
      <c r="N51" s="2" t="s">
        <v>43</v>
      </c>
      <c r="P51" s="4" t="s">
        <v>51</v>
      </c>
      <c r="R51" s="71" t="str">
        <f>MID(VLOOKUP($A51,Seqs!$A:$B,2,FALSE),VLOOKUP($A51,'NonXtal_SegEnds_Prot#'!A:AL,10,FALSE),1)</f>
        <v>D</v>
      </c>
      <c r="S51" s="102" t="str">
        <f>MID(VLOOKUP($A51,Seqs!$A:$B,2,FALSE),VLOOKUP($A51,'NonXtal_SegEnds_Prot#'!A:AL,10,FALSE)+6,1)</f>
        <v>T</v>
      </c>
      <c r="T51" s="102" t="str">
        <f>MID(VLOOKUP($A51,Seqs!$A:$B,2,FALSE),VLOOKUP($A51,'NonXtal_SegEnds_Prot#'!A:AL,10,FALSE)+7,1)</f>
        <v>L</v>
      </c>
      <c r="U51" s="102" t="str">
        <f>MID(VLOOKUP($A51,Seqs!$A:$B,2,FALSE),VLOOKUP($A51,'NonXtal_SegEnds_Prot#'!A:AL,10,FALSE)+8,1)</f>
        <v>P</v>
      </c>
      <c r="V51" s="102" t="str">
        <f>MID(VLOOKUP($A51,Seqs!$A:$B,2,FALSE),VLOOKUP($A51,'NonXtal_SegEnds_Prot#'!A:AL,10,FALSE)+9,1)</f>
        <v>L</v>
      </c>
      <c r="W51" s="71" t="str">
        <f>MID(VLOOKUP($A51,Seqs!$A:$B,2,FALSE),VLOOKUP($A51,'NonXtal_SegEnds_Prot#'!$A:$AL,22,FALSE)+6,1)</f>
        <v>A</v>
      </c>
      <c r="X51" s="102" t="str">
        <f>MID(VLOOKUP($A51,Seqs!$A:$B,2,FALSE),VLOOKUP($A51,'NonXtal_SegEnds_Prot#'!$A:$AL,22,FALSE)+7,1)</f>
        <v>S</v>
      </c>
      <c r="Y51" s="102" t="str">
        <f>MID(VLOOKUP($A51,Seqs!$A:$B,2,FALSE),VLOOKUP($A51,'NonXtal_SegEnds_Prot#'!$A:$AL,22,FALSE)+8,1)</f>
        <v>V</v>
      </c>
      <c r="Z51" s="102" t="str">
        <f>MID(VLOOKUP($A51,Seqs!$A:$B,2,FALSE),VLOOKUP($A51,'NonXtal_SegEnds_Prot#'!$A:$AL,22,FALSE)+9,1)</f>
        <v>P</v>
      </c>
      <c r="AA51" s="102" t="str">
        <f>MID(VLOOKUP($A51,Seqs!$A:$B,2,FALSE),VLOOKUP($A51,'NonXtal_SegEnds_Prot#'!$A:$AL,22,FALSE)+10,1)</f>
        <v>G</v>
      </c>
      <c r="AB51" s="71" t="str">
        <f>MID(VLOOKUP($A51,Seqs!$A:$B,2,FALSE),VLOOKUP($A51,'NonXtal_SegEnds_Prot#'!$A:$AL,28,FALSE)-4,1)</f>
        <v>G</v>
      </c>
      <c r="AC51" s="102" t="str">
        <f>MID(VLOOKUP($A51,Seqs!$A:$B,2,FALSE),VLOOKUP($A51,'NonXtal_SegEnds_Prot#'!$A:$AL,28,FALSE),1)</f>
        <v>P</v>
      </c>
    </row>
    <row r="52" spans="1:29" s="2" customFormat="1" x14ac:dyDescent="0.2">
      <c r="A52" s="2" t="s">
        <v>365</v>
      </c>
      <c r="B52" s="2" t="str">
        <f>LOWER(VLOOKUP(A52,Xtal_Templ!A:B,2,FALSE))</f>
        <v>ccr5_human</v>
      </c>
      <c r="C52" s="2" t="str">
        <f>VLOOKUP(A52,Classification!A:D,2,FALSE)</f>
        <v>A</v>
      </c>
      <c r="K52" s="2" t="s">
        <v>59</v>
      </c>
      <c r="N52" s="2" t="s">
        <v>43</v>
      </c>
      <c r="P52" s="4" t="s">
        <v>51</v>
      </c>
      <c r="R52" s="71" t="str">
        <f>MID(VLOOKUP($A52,Seqs!$A:$B,2,FALSE),VLOOKUP($A52,'NonXtal_SegEnds_Prot#'!A:AL,10,FALSE),1)</f>
        <v>D</v>
      </c>
      <c r="S52" s="102" t="str">
        <f>MID(VLOOKUP($A52,Seqs!$A:$B,2,FALSE),VLOOKUP($A52,'NonXtal_SegEnds_Prot#'!A:AL,10,FALSE)+6,1)</f>
        <v>T</v>
      </c>
      <c r="T52" s="102" t="str">
        <f>MID(VLOOKUP($A52,Seqs!$A:$B,2,FALSE),VLOOKUP($A52,'NonXtal_SegEnds_Prot#'!A:AL,10,FALSE)+7,1)</f>
        <v>L</v>
      </c>
      <c r="U52" s="102" t="str">
        <f>MID(VLOOKUP($A52,Seqs!$A:$B,2,FALSE),VLOOKUP($A52,'NonXtal_SegEnds_Prot#'!A:AL,10,FALSE)+8,1)</f>
        <v>P</v>
      </c>
      <c r="V52" s="102" t="str">
        <f>MID(VLOOKUP($A52,Seqs!$A:$B,2,FALSE),VLOOKUP($A52,'NonXtal_SegEnds_Prot#'!A:AL,10,FALSE)+9,1)</f>
        <v>F</v>
      </c>
      <c r="W52" s="71" t="str">
        <f>MID(VLOOKUP($A52,Seqs!$A:$B,2,FALSE),VLOOKUP($A52,'NonXtal_SegEnds_Prot#'!$A:$AL,22,FALSE)+6,1)</f>
        <v>A</v>
      </c>
      <c r="X52" s="102" t="str">
        <f>MID(VLOOKUP($A52,Seqs!$A:$B,2,FALSE),VLOOKUP($A52,'NonXtal_SegEnds_Prot#'!$A:$AL,22,FALSE)+7,1)</f>
        <v>A</v>
      </c>
      <c r="Y52" s="102" t="str">
        <f>MID(VLOOKUP($A52,Seqs!$A:$B,2,FALSE),VLOOKUP($A52,'NonXtal_SegEnds_Prot#'!$A:$AL,22,FALSE)+8,1)</f>
        <v>L</v>
      </c>
      <c r="Z52" s="102" t="str">
        <f>MID(VLOOKUP($A52,Seqs!$A:$B,2,FALSE),VLOOKUP($A52,'NonXtal_SegEnds_Prot#'!$A:$AL,22,FALSE)+9,1)</f>
        <v>P</v>
      </c>
      <c r="AA52" s="102" t="str">
        <f>MID(VLOOKUP($A52,Seqs!$A:$B,2,FALSE),VLOOKUP($A52,'NonXtal_SegEnds_Prot#'!$A:$AL,22,FALSE)+10,1)</f>
        <v>E</v>
      </c>
      <c r="AB52" s="71" t="str">
        <f>MID(VLOOKUP($A52,Seqs!$A:$B,2,FALSE),VLOOKUP($A52,'NonXtal_SegEnds_Prot#'!$A:$AL,28,FALSE)-4,1)</f>
        <v>C</v>
      </c>
      <c r="AC52" s="102" t="str">
        <f>MID(VLOOKUP($A52,Seqs!$A:$B,2,FALSE),VLOOKUP($A52,'NonXtal_SegEnds_Prot#'!$A:$AL,28,FALSE),1)</f>
        <v>P</v>
      </c>
    </row>
    <row r="53" spans="1:29" s="2" customFormat="1" x14ac:dyDescent="0.2">
      <c r="A53" s="2" t="s">
        <v>366</v>
      </c>
      <c r="B53" s="2" t="str">
        <f>LOWER(VLOOKUP(A53,Xtal_Templ!A:B,2,FALSE))</f>
        <v>ccr5_human</v>
      </c>
      <c r="C53" s="2" t="str">
        <f>VLOOKUP(A53,Classification!A:D,2,FALSE)</f>
        <v>A</v>
      </c>
      <c r="K53" s="2" t="s">
        <v>59</v>
      </c>
      <c r="N53" s="2" t="s">
        <v>43</v>
      </c>
      <c r="P53" s="4" t="s">
        <v>51</v>
      </c>
      <c r="R53" s="71" t="str">
        <f>MID(VLOOKUP($A53,Seqs!$A:$B,2,FALSE),VLOOKUP($A53,'NonXtal_SegEnds_Prot#'!A:AL,10,FALSE),1)</f>
        <v>D</v>
      </c>
      <c r="S53" s="102" t="str">
        <f>MID(VLOOKUP($A53,Seqs!$A:$B,2,FALSE),VLOOKUP($A53,'NonXtal_SegEnds_Prot#'!A:AL,10,FALSE)+6,1)</f>
        <v>S</v>
      </c>
      <c r="T53" s="102" t="str">
        <f>MID(VLOOKUP($A53,Seqs!$A:$B,2,FALSE),VLOOKUP($A53,'NonXtal_SegEnds_Prot#'!A:AL,10,FALSE)+7,1)</f>
        <v>L</v>
      </c>
      <c r="U53" s="102" t="str">
        <f>MID(VLOOKUP($A53,Seqs!$A:$B,2,FALSE),VLOOKUP($A53,'NonXtal_SegEnds_Prot#'!A:AL,10,FALSE)+8,1)</f>
        <v>P</v>
      </c>
      <c r="V53" s="102" t="str">
        <f>MID(VLOOKUP($A53,Seqs!$A:$B,2,FALSE),VLOOKUP($A53,'NonXtal_SegEnds_Prot#'!A:AL,10,FALSE)+9,1)</f>
        <v>F</v>
      </c>
      <c r="W53" s="71" t="str">
        <f>MID(VLOOKUP($A53,Seqs!$A:$B,2,FALSE),VLOOKUP($A53,'NonXtal_SegEnds_Prot#'!$A:$AL,22,FALSE)+6,1)</f>
        <v>A</v>
      </c>
      <c r="X53" s="102" t="str">
        <f>MID(VLOOKUP($A53,Seqs!$A:$B,2,FALSE),VLOOKUP($A53,'NonXtal_SegEnds_Prot#'!$A:$AL,22,FALSE)+7,1)</f>
        <v>S</v>
      </c>
      <c r="Y53" s="102" t="str">
        <f>MID(VLOOKUP($A53,Seqs!$A:$B,2,FALSE),VLOOKUP($A53,'NonXtal_SegEnds_Prot#'!$A:$AL,22,FALSE)+8,1)</f>
        <v>L</v>
      </c>
      <c r="Z53" s="102" t="str">
        <f>MID(VLOOKUP($A53,Seqs!$A:$B,2,FALSE),VLOOKUP($A53,'NonXtal_SegEnds_Prot#'!$A:$AL,22,FALSE)+9,1)</f>
        <v>P</v>
      </c>
      <c r="AA53" s="102" t="str">
        <f>MID(VLOOKUP($A53,Seqs!$A:$B,2,FALSE),VLOOKUP($A53,'NonXtal_SegEnds_Prot#'!$A:$AL,22,FALSE)+10,1)</f>
        <v>G</v>
      </c>
      <c r="AB53" s="71" t="str">
        <f>MID(VLOOKUP($A53,Seqs!$A:$B,2,FALSE),VLOOKUP($A53,'NonXtal_SegEnds_Prot#'!$A:$AL,28,FALSE)-4,1)</f>
        <v>G</v>
      </c>
      <c r="AC53" s="102" t="str">
        <f>MID(VLOOKUP($A53,Seqs!$A:$B,2,FALSE),VLOOKUP($A53,'NonXtal_SegEnds_Prot#'!$A:$AL,28,FALSE),1)</f>
        <v>P</v>
      </c>
    </row>
    <row r="54" spans="1:29" s="2" customFormat="1" x14ac:dyDescent="0.2">
      <c r="A54" s="2" t="s">
        <v>367</v>
      </c>
      <c r="B54" s="2" t="str">
        <f>LOWER(VLOOKUP(A54,Xtal_Templ!A:B,2,FALSE))</f>
        <v>ccr5_human</v>
      </c>
      <c r="C54" s="2" t="str">
        <f>VLOOKUP(A54,Classification!A:D,2,FALSE)</f>
        <v>A</v>
      </c>
      <c r="K54" s="2" t="s">
        <v>59</v>
      </c>
      <c r="N54" s="2" t="s">
        <v>43</v>
      </c>
      <c r="P54" s="4" t="s">
        <v>51</v>
      </c>
      <c r="R54" s="71" t="str">
        <f>MID(VLOOKUP($A54,Seqs!$A:$B,2,FALSE),VLOOKUP($A54,'NonXtal_SegEnds_Prot#'!A:AL,10,FALSE),1)</f>
        <v>D</v>
      </c>
      <c r="S54" s="102" t="str">
        <f>MID(VLOOKUP($A54,Seqs!$A:$B,2,FALSE),VLOOKUP($A54,'NonXtal_SegEnds_Prot#'!A:AL,10,FALSE)+6,1)</f>
        <v>T</v>
      </c>
      <c r="T54" s="102" t="str">
        <f>MID(VLOOKUP($A54,Seqs!$A:$B,2,FALSE),VLOOKUP($A54,'NonXtal_SegEnds_Prot#'!A:AL,10,FALSE)+7,1)</f>
        <v>V</v>
      </c>
      <c r="U54" s="102" t="str">
        <f>MID(VLOOKUP($A54,Seqs!$A:$B,2,FALSE),VLOOKUP($A54,'NonXtal_SegEnds_Prot#'!A:AL,10,FALSE)+8,1)</f>
        <v>P</v>
      </c>
      <c r="V54" s="102" t="str">
        <f>MID(VLOOKUP($A54,Seqs!$A:$B,2,FALSE),VLOOKUP($A54,'NonXtal_SegEnds_Prot#'!A:AL,10,FALSE)+9,1)</f>
        <v>F</v>
      </c>
      <c r="W54" s="71" t="str">
        <f>MID(VLOOKUP($A54,Seqs!$A:$B,2,FALSE),VLOOKUP($A54,'NonXtal_SegEnds_Prot#'!$A:$AL,22,FALSE)+6,1)</f>
        <v>A</v>
      </c>
      <c r="X54" s="102" t="str">
        <f>MID(VLOOKUP($A54,Seqs!$A:$B,2,FALSE),VLOOKUP($A54,'NonXtal_SegEnds_Prot#'!$A:$AL,22,FALSE)+7,1)</f>
        <v>S</v>
      </c>
      <c r="Y54" s="102" t="str">
        <f>MID(VLOOKUP($A54,Seqs!$A:$B,2,FALSE),VLOOKUP($A54,'NonXtal_SegEnds_Prot#'!$A:$AL,22,FALSE)+8,1)</f>
        <v>L</v>
      </c>
      <c r="Z54" s="102" t="str">
        <f>MID(VLOOKUP($A54,Seqs!$A:$B,2,FALSE),VLOOKUP($A54,'NonXtal_SegEnds_Prot#'!$A:$AL,22,FALSE)+9,1)</f>
        <v>P</v>
      </c>
      <c r="AA54" s="102" t="str">
        <f>MID(VLOOKUP($A54,Seqs!$A:$B,2,FALSE),VLOOKUP($A54,'NonXtal_SegEnds_Prot#'!$A:$AL,22,FALSE)+10,1)</f>
        <v>G</v>
      </c>
      <c r="AB54" s="71" t="str">
        <f>MID(VLOOKUP($A54,Seqs!$A:$B,2,FALSE),VLOOKUP($A54,'NonXtal_SegEnds_Prot#'!$A:$AL,28,FALSE)-4,1)</f>
        <v>G</v>
      </c>
      <c r="AC54" s="102" t="str">
        <f>MID(VLOOKUP($A54,Seqs!$A:$B,2,FALSE),VLOOKUP($A54,'NonXtal_SegEnds_Prot#'!$A:$AL,28,FALSE),1)</f>
        <v>P</v>
      </c>
    </row>
    <row r="55" spans="1:29" s="2" customFormat="1" x14ac:dyDescent="0.2">
      <c r="A55" s="2" t="s">
        <v>368</v>
      </c>
      <c r="B55" s="2" t="str">
        <f>LOWER(VLOOKUP(A55,Xtal_Templ!A:B,2,FALSE))</f>
        <v>ccr5_human</v>
      </c>
      <c r="C55" s="2" t="str">
        <f>VLOOKUP(A55,Classification!A:D,2,FALSE)</f>
        <v>A</v>
      </c>
      <c r="N55" s="2" t="s">
        <v>43</v>
      </c>
      <c r="P55" s="4" t="s">
        <v>51</v>
      </c>
      <c r="R55" s="71" t="str">
        <f>MID(VLOOKUP($A55,Seqs!$A:$B,2,FALSE),VLOOKUP($A55,'NonXtal_SegEnds_Prot#'!A:AL,10,FALSE),1)</f>
        <v>D</v>
      </c>
      <c r="S55" s="102" t="str">
        <f>MID(VLOOKUP($A55,Seqs!$A:$B,2,FALSE),VLOOKUP($A55,'NonXtal_SegEnds_Prot#'!A:AL,10,FALSE)+6,1)</f>
        <v>T</v>
      </c>
      <c r="T55" s="102" t="str">
        <f>MID(VLOOKUP($A55,Seqs!$A:$B,2,FALSE),VLOOKUP($A55,'NonXtal_SegEnds_Prot#'!A:AL,10,FALSE)+7,1)</f>
        <v>L</v>
      </c>
      <c r="U55" s="102" t="str">
        <f>MID(VLOOKUP($A55,Seqs!$A:$B,2,FALSE),VLOOKUP($A55,'NonXtal_SegEnds_Prot#'!A:AL,10,FALSE)+8,1)</f>
        <v>P</v>
      </c>
      <c r="V55" s="102" t="str">
        <f>MID(VLOOKUP($A55,Seqs!$A:$B,2,FALSE),VLOOKUP($A55,'NonXtal_SegEnds_Prot#'!A:AL,10,FALSE)+9,1)</f>
        <v>F</v>
      </c>
      <c r="W55" s="71" t="str">
        <f>MID(VLOOKUP($A55,Seqs!$A:$B,2,FALSE),VLOOKUP($A55,'NonXtal_SegEnds_Prot#'!$A:$AL,22,FALSE)+6,1)</f>
        <v>I</v>
      </c>
      <c r="X55" s="102" t="str">
        <f>MID(VLOOKUP($A55,Seqs!$A:$B,2,FALSE),VLOOKUP($A55,'NonXtal_SegEnds_Prot#'!$A:$AL,22,FALSE)+7,1)</f>
        <v>S</v>
      </c>
      <c r="Y55" s="102" t="str">
        <f>MID(VLOOKUP($A55,Seqs!$A:$B,2,FALSE),VLOOKUP($A55,'NonXtal_SegEnds_Prot#'!$A:$AL,22,FALSE)+8,1)</f>
        <v>S</v>
      </c>
      <c r="Z55" s="102" t="str">
        <f>MID(VLOOKUP($A55,Seqs!$A:$B,2,FALSE),VLOOKUP($A55,'NonXtal_SegEnds_Prot#'!$A:$AL,22,FALSE)+9,1)</f>
        <v>S</v>
      </c>
      <c r="AA55" s="102" t="str">
        <f>MID(VLOOKUP($A55,Seqs!$A:$B,2,FALSE),VLOOKUP($A55,'NonXtal_SegEnds_Prot#'!$A:$AL,22,FALSE)+10,1)</f>
        <v>T</v>
      </c>
      <c r="AB55" s="71" t="str">
        <f>MID(VLOOKUP($A55,Seqs!$A:$B,2,FALSE),VLOOKUP($A55,'NonXtal_SegEnds_Prot#'!$A:$AL,28,FALSE)-4,1)</f>
        <v>G</v>
      </c>
      <c r="AC55" s="102" t="str">
        <f>MID(VLOOKUP($A55,Seqs!$A:$B,2,FALSE),VLOOKUP($A55,'NonXtal_SegEnds_Prot#'!$A:$AL,28,FALSE),1)</f>
        <v>P</v>
      </c>
    </row>
    <row r="56" spans="1:29" s="2" customFormat="1" x14ac:dyDescent="0.2">
      <c r="A56" s="2" t="s">
        <v>369</v>
      </c>
      <c r="B56" s="2" t="str">
        <f>LOWER(VLOOKUP(A56,Xtal_Templ!A:B,2,FALSE))</f>
        <v>ccr5_human</v>
      </c>
      <c r="C56" s="2" t="str">
        <f>VLOOKUP(A56,Classification!A:D,2,FALSE)</f>
        <v>A</v>
      </c>
      <c r="K56" s="2" t="s">
        <v>59</v>
      </c>
      <c r="N56" s="2" t="s">
        <v>43</v>
      </c>
      <c r="P56" s="4" t="s">
        <v>51</v>
      </c>
      <c r="R56" s="71" t="str">
        <f>MID(VLOOKUP($A56,Seqs!$A:$B,2,FALSE),VLOOKUP($A56,'NonXtal_SegEnds_Prot#'!A:AL,10,FALSE),1)</f>
        <v>D</v>
      </c>
      <c r="S56" s="102" t="str">
        <f>MID(VLOOKUP($A56,Seqs!$A:$B,2,FALSE),VLOOKUP($A56,'NonXtal_SegEnds_Prot#'!A:AL,10,FALSE)+6,1)</f>
        <v>T</v>
      </c>
      <c r="T56" s="102" t="str">
        <f>MID(VLOOKUP($A56,Seqs!$A:$B,2,FALSE),VLOOKUP($A56,'NonXtal_SegEnds_Prot#'!A:AL,10,FALSE)+7,1)</f>
        <v>L</v>
      </c>
      <c r="U56" s="102" t="str">
        <f>MID(VLOOKUP($A56,Seqs!$A:$B,2,FALSE),VLOOKUP($A56,'NonXtal_SegEnds_Prot#'!A:AL,10,FALSE)+8,1)</f>
        <v>P</v>
      </c>
      <c r="V56" s="102" t="str">
        <f>MID(VLOOKUP($A56,Seqs!$A:$B,2,FALSE),VLOOKUP($A56,'NonXtal_SegEnds_Prot#'!A:AL,10,FALSE)+9,1)</f>
        <v>F</v>
      </c>
      <c r="W56" s="71" t="str">
        <f>MID(VLOOKUP($A56,Seqs!$A:$B,2,FALSE),VLOOKUP($A56,'NonXtal_SegEnds_Prot#'!$A:$AL,22,FALSE)+6,1)</f>
        <v>L</v>
      </c>
      <c r="X56" s="102" t="str">
        <f>MID(VLOOKUP($A56,Seqs!$A:$B,2,FALSE),VLOOKUP($A56,'NonXtal_SegEnds_Prot#'!$A:$AL,22,FALSE)+7,1)</f>
        <v>S</v>
      </c>
      <c r="Y56" s="102" t="str">
        <f>MID(VLOOKUP($A56,Seqs!$A:$B,2,FALSE),VLOOKUP($A56,'NonXtal_SegEnds_Prot#'!$A:$AL,22,FALSE)+8,1)</f>
        <v>I</v>
      </c>
      <c r="Z56" s="102" t="str">
        <f>MID(VLOOKUP($A56,Seqs!$A:$B,2,FALSE),VLOOKUP($A56,'NonXtal_SegEnds_Prot#'!$A:$AL,22,FALSE)+9,1)</f>
        <v>P</v>
      </c>
      <c r="AA56" s="102" t="str">
        <f>MID(VLOOKUP($A56,Seqs!$A:$B,2,FALSE),VLOOKUP($A56,'NonXtal_SegEnds_Prot#'!$A:$AL,22,FALSE)+10,1)</f>
        <v>E</v>
      </c>
      <c r="AB56" s="71" t="str">
        <f>MID(VLOOKUP($A56,Seqs!$A:$B,2,FALSE),VLOOKUP($A56,'NonXtal_SegEnds_Prot#'!$A:$AL,28,FALSE)-4,1)</f>
        <v>G</v>
      </c>
      <c r="AC56" s="102" t="str">
        <f>MID(VLOOKUP($A56,Seqs!$A:$B,2,FALSE),VLOOKUP($A56,'NonXtal_SegEnds_Prot#'!$A:$AL,28,FALSE),1)</f>
        <v>P</v>
      </c>
    </row>
    <row r="57" spans="1:29" s="2" customFormat="1" x14ac:dyDescent="0.2">
      <c r="A57" s="2" t="s">
        <v>370</v>
      </c>
      <c r="B57" s="2" t="str">
        <f>LOWER(VLOOKUP(A57,Xtal_Templ!A:B,2,FALSE))</f>
        <v>ccr5_human</v>
      </c>
      <c r="C57" s="2" t="str">
        <f>VLOOKUP(A57,Classification!A:D,2,FALSE)</f>
        <v>A</v>
      </c>
      <c r="K57" s="2" t="s">
        <v>59</v>
      </c>
      <c r="N57" s="2" t="s">
        <v>43</v>
      </c>
      <c r="P57" s="4" t="s">
        <v>51</v>
      </c>
      <c r="R57" s="71" t="str">
        <f>MID(VLOOKUP($A57,Seqs!$A:$B,2,FALSE),VLOOKUP($A57,'NonXtal_SegEnds_Prot#'!A:AL,10,FALSE),1)</f>
        <v>D</v>
      </c>
      <c r="S57" s="102" t="str">
        <f>MID(VLOOKUP($A57,Seqs!$A:$B,2,FALSE),VLOOKUP($A57,'NonXtal_SegEnds_Prot#'!A:AL,10,FALSE)+6,1)</f>
        <v>S</v>
      </c>
      <c r="T57" s="102" t="str">
        <f>MID(VLOOKUP($A57,Seqs!$A:$B,2,FALSE),VLOOKUP($A57,'NonXtal_SegEnds_Prot#'!A:AL,10,FALSE)+7,1)</f>
        <v>F</v>
      </c>
      <c r="U57" s="102" t="str">
        <f>MID(VLOOKUP($A57,Seqs!$A:$B,2,FALSE),VLOOKUP($A57,'NonXtal_SegEnds_Prot#'!A:AL,10,FALSE)+8,1)</f>
        <v>P</v>
      </c>
      <c r="V57" s="102" t="str">
        <f>MID(VLOOKUP($A57,Seqs!$A:$B,2,FALSE),VLOOKUP($A57,'NonXtal_SegEnds_Prot#'!A:AL,10,FALSE)+9,1)</f>
        <v>F</v>
      </c>
      <c r="W57" s="71" t="str">
        <f>MID(VLOOKUP($A57,Seqs!$A:$B,2,FALSE),VLOOKUP($A57,'NonXtal_SegEnds_Prot#'!$A:$AL,22,FALSE)+6,1)</f>
        <v>A</v>
      </c>
      <c r="X57" s="102" t="str">
        <f>MID(VLOOKUP($A57,Seqs!$A:$B,2,FALSE),VLOOKUP($A57,'NonXtal_SegEnds_Prot#'!$A:$AL,22,FALSE)+7,1)</f>
        <v>T</v>
      </c>
      <c r="Y57" s="102" t="str">
        <f>MID(VLOOKUP($A57,Seqs!$A:$B,2,FALSE),VLOOKUP($A57,'NonXtal_SegEnds_Prot#'!$A:$AL,22,FALSE)+8,1)</f>
        <v>I</v>
      </c>
      <c r="Z57" s="102" t="str">
        <f>MID(VLOOKUP($A57,Seqs!$A:$B,2,FALSE),VLOOKUP($A57,'NonXtal_SegEnds_Prot#'!$A:$AL,22,FALSE)+9,1)</f>
        <v>P</v>
      </c>
      <c r="AA57" s="102" t="str">
        <f>MID(VLOOKUP($A57,Seqs!$A:$B,2,FALSE),VLOOKUP($A57,'NonXtal_SegEnds_Prot#'!$A:$AL,22,FALSE)+10,1)</f>
        <v>L</v>
      </c>
      <c r="AB57" s="71" t="str">
        <f>MID(VLOOKUP($A57,Seqs!$A:$B,2,FALSE),VLOOKUP($A57,'NonXtal_SegEnds_Prot#'!$A:$AL,28,FALSE)-4,1)</f>
        <v>G</v>
      </c>
      <c r="AC57" s="102" t="str">
        <f>MID(VLOOKUP($A57,Seqs!$A:$B,2,FALSE),VLOOKUP($A57,'NonXtal_SegEnds_Prot#'!$A:$AL,28,FALSE),1)</f>
        <v>P</v>
      </c>
    </row>
    <row r="58" spans="1:29" s="2" customFormat="1" x14ac:dyDescent="0.2">
      <c r="A58" s="2" t="s">
        <v>371</v>
      </c>
      <c r="B58" s="2" t="str">
        <f>LOWER(VLOOKUP(A58,Xtal_Templ!A:B,2,FALSE))</f>
        <v>ccr5_human</v>
      </c>
      <c r="C58" s="2" t="str">
        <f>VLOOKUP(A58,Classification!A:D,2,FALSE)</f>
        <v>A</v>
      </c>
      <c r="K58" s="2" t="s">
        <v>59</v>
      </c>
      <c r="N58" s="2" t="s">
        <v>43</v>
      </c>
      <c r="P58" s="4" t="s">
        <v>51</v>
      </c>
      <c r="R58" s="71" t="str">
        <f>MID(VLOOKUP($A58,Seqs!$A:$B,2,FALSE),VLOOKUP($A58,'NonXtal_SegEnds_Prot#'!A:AL,10,FALSE),1)</f>
        <v>D</v>
      </c>
      <c r="S58" s="102" t="str">
        <f>MID(VLOOKUP($A58,Seqs!$A:$B,2,FALSE),VLOOKUP($A58,'NonXtal_SegEnds_Prot#'!A:AL,10,FALSE)+6,1)</f>
        <v>T</v>
      </c>
      <c r="T58" s="102" t="str">
        <f>MID(VLOOKUP($A58,Seqs!$A:$B,2,FALSE),VLOOKUP($A58,'NonXtal_SegEnds_Prot#'!A:AL,10,FALSE)+7,1)</f>
        <v>L</v>
      </c>
      <c r="U58" s="102" t="str">
        <f>MID(VLOOKUP($A58,Seqs!$A:$B,2,FALSE),VLOOKUP($A58,'NonXtal_SegEnds_Prot#'!A:AL,10,FALSE)+8,1)</f>
        <v>P</v>
      </c>
      <c r="V58" s="102" t="str">
        <f>MID(VLOOKUP($A58,Seqs!$A:$B,2,FALSE),VLOOKUP($A58,'NonXtal_SegEnds_Prot#'!A:AL,10,FALSE)+9,1)</f>
        <v>F</v>
      </c>
      <c r="W58" s="71" t="str">
        <f>MID(VLOOKUP($A58,Seqs!$A:$B,2,FALSE),VLOOKUP($A58,'NonXtal_SegEnds_Prot#'!$A:$AL,22,FALSE)+6,1)</f>
        <v>L</v>
      </c>
      <c r="X58" s="102" t="str">
        <f>MID(VLOOKUP($A58,Seqs!$A:$B,2,FALSE),VLOOKUP($A58,'NonXtal_SegEnds_Prot#'!$A:$AL,22,FALSE)+7,1)</f>
        <v>C</v>
      </c>
      <c r="Y58" s="102" t="str">
        <f>MID(VLOOKUP($A58,Seqs!$A:$B,2,FALSE),VLOOKUP($A58,'NonXtal_SegEnds_Prot#'!$A:$AL,22,FALSE)+8,1)</f>
        <v>I</v>
      </c>
      <c r="Z58" s="102" t="str">
        <f>MID(VLOOKUP($A58,Seqs!$A:$B,2,FALSE),VLOOKUP($A58,'NonXtal_SegEnds_Prot#'!$A:$AL,22,FALSE)+9,1)</f>
        <v>P</v>
      </c>
      <c r="AA58" s="102" t="str">
        <f>MID(VLOOKUP($A58,Seqs!$A:$B,2,FALSE),VLOOKUP($A58,'NonXtal_SegEnds_Prot#'!$A:$AL,22,FALSE)+10,1)</f>
        <v>E</v>
      </c>
      <c r="AB58" s="71" t="str">
        <f>MID(VLOOKUP($A58,Seqs!$A:$B,2,FALSE),VLOOKUP($A58,'NonXtal_SegEnds_Prot#'!$A:$AL,28,FALSE)-4,1)</f>
        <v>G</v>
      </c>
      <c r="AC58" s="102" t="str">
        <f>MID(VLOOKUP($A58,Seqs!$A:$B,2,FALSE),VLOOKUP($A58,'NonXtal_SegEnds_Prot#'!$A:$AL,28,FALSE),1)</f>
        <v>P</v>
      </c>
    </row>
    <row r="59" spans="1:29" s="2" customFormat="1" x14ac:dyDescent="0.2">
      <c r="A59" s="2" t="s">
        <v>372</v>
      </c>
      <c r="B59" s="2" t="str">
        <f>LOWER(VLOOKUP(A59,Xtal_Templ!A:B,2,FALSE))</f>
        <v>ccr5_human</v>
      </c>
      <c r="C59" s="2" t="str">
        <f>VLOOKUP(A59,Classification!A:D,2,FALSE)</f>
        <v>A</v>
      </c>
      <c r="K59" s="2" t="s">
        <v>59</v>
      </c>
      <c r="N59" s="2" t="s">
        <v>43</v>
      </c>
      <c r="P59" s="4" t="s">
        <v>51</v>
      </c>
      <c r="R59" s="71" t="str">
        <f>MID(VLOOKUP($A59,Seqs!$A:$B,2,FALSE),VLOOKUP($A59,'NonXtal_SegEnds_Prot#'!A:AL,10,FALSE),1)</f>
        <v>N</v>
      </c>
      <c r="S59" s="102" t="str">
        <f>MID(VLOOKUP($A59,Seqs!$A:$B,2,FALSE),VLOOKUP($A59,'NonXtal_SegEnds_Prot#'!A:AL,10,FALSE)+6,1)</f>
        <v>T</v>
      </c>
      <c r="T59" s="102" t="str">
        <f>MID(VLOOKUP($A59,Seqs!$A:$B,2,FALSE),VLOOKUP($A59,'NonXtal_SegEnds_Prot#'!A:AL,10,FALSE)+7,1)</f>
        <v>L</v>
      </c>
      <c r="U59" s="102" t="str">
        <f>MID(VLOOKUP($A59,Seqs!$A:$B,2,FALSE),VLOOKUP($A59,'NonXtal_SegEnds_Prot#'!A:AL,10,FALSE)+8,1)</f>
        <v>P</v>
      </c>
      <c r="V59" s="102" t="str">
        <f>MID(VLOOKUP($A59,Seqs!$A:$B,2,FALSE),VLOOKUP($A59,'NonXtal_SegEnds_Prot#'!A:AL,10,FALSE)+9,1)</f>
        <v>F</v>
      </c>
      <c r="W59" s="71" t="str">
        <f>MID(VLOOKUP($A59,Seqs!$A:$B,2,FALSE),VLOOKUP($A59,'NonXtal_SegEnds_Prot#'!$A:$AL,22,FALSE)+6,1)</f>
        <v>A</v>
      </c>
      <c r="X59" s="102" t="str">
        <f>MID(VLOOKUP($A59,Seqs!$A:$B,2,FALSE),VLOOKUP($A59,'NonXtal_SegEnds_Prot#'!$A:$AL,22,FALSE)+7,1)</f>
        <v>T</v>
      </c>
      <c r="Y59" s="102" t="str">
        <f>MID(VLOOKUP($A59,Seqs!$A:$B,2,FALSE),VLOOKUP($A59,'NonXtal_SegEnds_Prot#'!$A:$AL,22,FALSE)+8,1)</f>
        <v>L</v>
      </c>
      <c r="Z59" s="102" t="str">
        <f>MID(VLOOKUP($A59,Seqs!$A:$B,2,FALSE),VLOOKUP($A59,'NonXtal_SegEnds_Prot#'!$A:$AL,22,FALSE)+9,1)</f>
        <v>P</v>
      </c>
      <c r="AA59" s="102" t="str">
        <f>MID(VLOOKUP($A59,Seqs!$A:$B,2,FALSE),VLOOKUP($A59,'NonXtal_SegEnds_Prot#'!$A:$AL,22,FALSE)+10,1)</f>
        <v>E</v>
      </c>
      <c r="AB59" s="71" t="str">
        <f>MID(VLOOKUP($A59,Seqs!$A:$B,2,FALSE),VLOOKUP($A59,'NonXtal_SegEnds_Prot#'!$A:$AL,28,FALSE)-4,1)</f>
        <v>V</v>
      </c>
      <c r="AC59" s="102" t="str">
        <f>MID(VLOOKUP($A59,Seqs!$A:$B,2,FALSE),VLOOKUP($A59,'NonXtal_SegEnds_Prot#'!$A:$AL,28,FALSE),1)</f>
        <v>P</v>
      </c>
    </row>
    <row r="60" spans="1:29" s="2" customFormat="1" x14ac:dyDescent="0.2">
      <c r="A60" s="2" t="s">
        <v>373</v>
      </c>
      <c r="B60" s="2" t="str">
        <f>LOWER(VLOOKUP(A60,Xtal_Templ!A:B,2,FALSE))</f>
        <v>p2ry1_human</v>
      </c>
      <c r="C60" s="2" t="str">
        <f>VLOOKUP(A60,Classification!A:D,2,FALSE)</f>
        <v>A</v>
      </c>
      <c r="N60" s="2" t="s">
        <v>43</v>
      </c>
      <c r="P60" s="4" t="s">
        <v>51</v>
      </c>
      <c r="R60" s="71" t="str">
        <f>MID(VLOOKUP($A60,Seqs!$A:$B,2,FALSE),VLOOKUP($A60,'NonXtal_SegEnds_Prot#'!A:AL,10,FALSE),1)</f>
        <v>D</v>
      </c>
      <c r="S60" s="102" t="str">
        <f>MID(VLOOKUP($A60,Seqs!$A:$B,2,FALSE),VLOOKUP($A60,'NonXtal_SegEnds_Prot#'!A:AL,10,FALSE)+6,1)</f>
        <v>T</v>
      </c>
      <c r="T60" s="102" t="str">
        <f>MID(VLOOKUP($A60,Seqs!$A:$B,2,FALSE),VLOOKUP($A60,'NonXtal_SegEnds_Prot#'!A:AL,10,FALSE)+7,1)</f>
        <v>L</v>
      </c>
      <c r="U60" s="102" t="str">
        <f>MID(VLOOKUP($A60,Seqs!$A:$B,2,FALSE),VLOOKUP($A60,'NonXtal_SegEnds_Prot#'!A:AL,10,FALSE)+8,1)</f>
        <v>P</v>
      </c>
      <c r="V60" s="102" t="str">
        <f>MID(VLOOKUP($A60,Seqs!$A:$B,2,FALSE),VLOOKUP($A60,'NonXtal_SegEnds_Prot#'!A:AL,10,FALSE)+9,1)</f>
        <v>L</v>
      </c>
      <c r="W60" s="71" t="str">
        <f>MID(VLOOKUP($A60,Seqs!$A:$B,2,FALSE),VLOOKUP($A60,'NonXtal_SegEnds_Prot#'!$A:$AL,22,FALSE)+6,1)</f>
        <v>T</v>
      </c>
      <c r="X60" s="102" t="str">
        <f>MID(VLOOKUP($A60,Seqs!$A:$B,2,FALSE),VLOOKUP($A60,'NonXtal_SegEnds_Prot#'!$A:$AL,22,FALSE)+7,1)</f>
        <v>S</v>
      </c>
      <c r="Y60" s="102" t="str">
        <f>MID(VLOOKUP($A60,Seqs!$A:$B,2,FALSE),VLOOKUP($A60,'NonXtal_SegEnds_Prot#'!$A:$AL,22,FALSE)+8,1)</f>
        <v>S</v>
      </c>
      <c r="Z60" s="102" t="str">
        <f>MID(VLOOKUP($A60,Seqs!$A:$B,2,FALSE),VLOOKUP($A60,'NonXtal_SegEnds_Prot#'!$A:$AL,22,FALSE)+9,1)</f>
        <v>P</v>
      </c>
      <c r="AA60" s="102" t="str">
        <f>MID(VLOOKUP($A60,Seqs!$A:$B,2,FALSE),VLOOKUP($A60,'NonXtal_SegEnds_Prot#'!$A:$AL,22,FALSE)+10,1)</f>
        <v>F</v>
      </c>
      <c r="AB60" s="71" t="str">
        <f>MID(VLOOKUP($A60,Seqs!$A:$B,2,FALSE),VLOOKUP($A60,'NonXtal_SegEnds_Prot#'!$A:$AL,28,FALSE)-4,1)</f>
        <v>G</v>
      </c>
      <c r="AC60" s="102" t="str">
        <f>MID(VLOOKUP($A60,Seqs!$A:$B,2,FALSE),VLOOKUP($A60,'NonXtal_SegEnds_Prot#'!$A:$AL,28,FALSE),1)</f>
        <v>P</v>
      </c>
    </row>
    <row r="61" spans="1:29" s="2" customFormat="1" x14ac:dyDescent="0.2">
      <c r="A61" s="2" t="s">
        <v>374</v>
      </c>
      <c r="B61" s="2" t="str">
        <f>LOWER(VLOOKUP(A61,Xtal_Templ!A:B,2,FALSE))</f>
        <v>p2ry1_human</v>
      </c>
      <c r="C61" s="2" t="str">
        <f>VLOOKUP(A61,Classification!A:D,2,FALSE)</f>
        <v>A</v>
      </c>
      <c r="N61" s="2" t="s">
        <v>43</v>
      </c>
      <c r="P61" s="4" t="s">
        <v>51</v>
      </c>
      <c r="R61" s="71" t="str">
        <f>MID(VLOOKUP($A61,Seqs!$A:$B,2,FALSE),VLOOKUP($A61,'NonXtal_SegEnds_Prot#'!A:AL,10,FALSE),1)</f>
        <v>D</v>
      </c>
      <c r="S61" s="102" t="str">
        <f>MID(VLOOKUP($A61,Seqs!$A:$B,2,FALSE),VLOOKUP($A61,'NonXtal_SegEnds_Prot#'!A:AL,10,FALSE)+6,1)</f>
        <v>T</v>
      </c>
      <c r="T61" s="102" t="str">
        <f>MID(VLOOKUP($A61,Seqs!$A:$B,2,FALSE),VLOOKUP($A61,'NonXtal_SegEnds_Prot#'!A:AL,10,FALSE)+7,1)</f>
        <v>L</v>
      </c>
      <c r="U61" s="102" t="str">
        <f>MID(VLOOKUP($A61,Seqs!$A:$B,2,FALSE),VLOOKUP($A61,'NonXtal_SegEnds_Prot#'!A:AL,10,FALSE)+8,1)</f>
        <v>P</v>
      </c>
      <c r="V61" s="102" t="str">
        <f>MID(VLOOKUP($A61,Seqs!$A:$B,2,FALSE),VLOOKUP($A61,'NonXtal_SegEnds_Prot#'!A:AL,10,FALSE)+9,1)</f>
        <v>F</v>
      </c>
      <c r="W61" s="71" t="str">
        <f>MID(VLOOKUP($A61,Seqs!$A:$B,2,FALSE),VLOOKUP($A61,'NonXtal_SegEnds_Prot#'!$A:$AL,22,FALSE)+6,1)</f>
        <v>S</v>
      </c>
      <c r="X61" s="102" t="str">
        <f>MID(VLOOKUP($A61,Seqs!$A:$B,2,FALSE),VLOOKUP($A61,'NonXtal_SegEnds_Prot#'!$A:$AL,22,FALSE)+7,1)</f>
        <v>S</v>
      </c>
      <c r="Y61" s="102" t="str">
        <f>MID(VLOOKUP($A61,Seqs!$A:$B,2,FALSE),VLOOKUP($A61,'NonXtal_SegEnds_Prot#'!$A:$AL,22,FALSE)+8,1)</f>
        <v>I</v>
      </c>
      <c r="Z61" s="102" t="str">
        <f>MID(VLOOKUP($A61,Seqs!$A:$B,2,FALSE),VLOOKUP($A61,'NonXtal_SegEnds_Prot#'!$A:$AL,22,FALSE)+9,1)</f>
        <v>M</v>
      </c>
      <c r="AA61" s="102" t="str">
        <f>MID(VLOOKUP($A61,Seqs!$A:$B,2,FALSE),VLOOKUP($A61,'NonXtal_SegEnds_Prot#'!$A:$AL,22,FALSE)+10,1)</f>
        <v>L</v>
      </c>
      <c r="AB61" s="71" t="str">
        <f>MID(VLOOKUP($A61,Seqs!$A:$B,2,FALSE),VLOOKUP($A61,'NonXtal_SegEnds_Prot#'!$A:$AL,28,FALSE)-4,1)</f>
        <v>G</v>
      </c>
      <c r="AC61" s="102" t="str">
        <f>MID(VLOOKUP($A61,Seqs!$A:$B,2,FALSE),VLOOKUP($A61,'NonXtal_SegEnds_Prot#'!$A:$AL,28,FALSE),1)</f>
        <v>P</v>
      </c>
    </row>
    <row r="62" spans="1:29" s="2" customFormat="1" x14ac:dyDescent="0.2">
      <c r="A62" s="2" t="s">
        <v>375</v>
      </c>
      <c r="B62" s="2" t="str">
        <f>LOWER(VLOOKUP(A62,Xtal_Templ!A:B,2,FALSE))</f>
        <v>agtr1_human</v>
      </c>
      <c r="C62" s="2" t="str">
        <f>VLOOKUP(A62,Classification!A:D,2,FALSE)</f>
        <v>A</v>
      </c>
      <c r="N62" s="2" t="s">
        <v>43</v>
      </c>
      <c r="P62" s="4" t="s">
        <v>51</v>
      </c>
      <c r="R62" s="71" t="str">
        <f>MID(VLOOKUP($A62,Seqs!$A:$B,2,FALSE),VLOOKUP($A62,'NonXtal_SegEnds_Prot#'!A:AL,10,FALSE),1)</f>
        <v>D</v>
      </c>
      <c r="S62" s="102" t="str">
        <f>MID(VLOOKUP($A62,Seqs!$A:$B,2,FALSE),VLOOKUP($A62,'NonXtal_SegEnds_Prot#'!A:AL,10,FALSE)+6,1)</f>
        <v>F</v>
      </c>
      <c r="T62" s="102" t="str">
        <f>MID(VLOOKUP($A62,Seqs!$A:$B,2,FALSE),VLOOKUP($A62,'NonXtal_SegEnds_Prot#'!A:AL,10,FALSE)+7,1)</f>
        <v>L</v>
      </c>
      <c r="U62" s="102" t="str">
        <f>MID(VLOOKUP($A62,Seqs!$A:$B,2,FALSE),VLOOKUP($A62,'NonXtal_SegEnds_Prot#'!A:AL,10,FALSE)+8,1)</f>
        <v>P</v>
      </c>
      <c r="V62" s="102" t="str">
        <f>MID(VLOOKUP($A62,Seqs!$A:$B,2,FALSE),VLOOKUP($A62,'NonXtal_SegEnds_Prot#'!A:AL,10,FALSE)+9,1)</f>
        <v>I</v>
      </c>
      <c r="W62" s="71" t="str">
        <f>MID(VLOOKUP($A62,Seqs!$A:$B,2,FALSE),VLOOKUP($A62,'NonXtal_SegEnds_Prot#'!$A:$AL,22,FALSE)+6,1)</f>
        <v>L</v>
      </c>
      <c r="X62" s="102" t="str">
        <f>MID(VLOOKUP($A62,Seqs!$A:$B,2,FALSE),VLOOKUP($A62,'NonXtal_SegEnds_Prot#'!$A:$AL,22,FALSE)+7,1)</f>
        <v>S</v>
      </c>
      <c r="Y62" s="102" t="str">
        <f>MID(VLOOKUP($A62,Seqs!$A:$B,2,FALSE),VLOOKUP($A62,'NonXtal_SegEnds_Prot#'!$A:$AL,22,FALSE)+8,1)</f>
        <v>S</v>
      </c>
      <c r="Z62" s="102" t="str">
        <f>MID(VLOOKUP($A62,Seqs!$A:$B,2,FALSE),VLOOKUP($A62,'NonXtal_SegEnds_Prot#'!$A:$AL,22,FALSE)+9,1)</f>
        <v>P</v>
      </c>
      <c r="AA62" s="102" t="str">
        <f>MID(VLOOKUP($A62,Seqs!$A:$B,2,FALSE),VLOOKUP($A62,'NonXtal_SegEnds_Prot#'!$A:$AL,22,FALSE)+10,1)</f>
        <v>S</v>
      </c>
      <c r="AB62" s="71" t="str">
        <f>MID(VLOOKUP($A62,Seqs!$A:$B,2,FALSE),VLOOKUP($A62,'NonXtal_SegEnds_Prot#'!$A:$AL,28,FALSE)-4,1)</f>
        <v>G</v>
      </c>
      <c r="AC62" s="102" t="str">
        <f>MID(VLOOKUP($A62,Seqs!$A:$B,2,FALSE),VLOOKUP($A62,'NonXtal_SegEnds_Prot#'!$A:$AL,28,FALSE),1)</f>
        <v>P</v>
      </c>
    </row>
    <row r="63" spans="1:29" s="2" customFormat="1" x14ac:dyDescent="0.2">
      <c r="A63" s="2" t="s">
        <v>376</v>
      </c>
      <c r="B63" s="2" t="str">
        <f>LOWER(VLOOKUP(A63,Xtal_Templ!A:B,2,FALSE))</f>
        <v>lpar1_human</v>
      </c>
      <c r="C63" s="2" t="str">
        <f>VLOOKUP(A63,Classification!A:D,2,FALSE)</f>
        <v>A</v>
      </c>
      <c r="P63" s="4" t="s">
        <v>51</v>
      </c>
      <c r="R63" s="71" t="str">
        <f>MID(VLOOKUP($A63,Seqs!$A:$B,2,FALSE),VLOOKUP($A63,'NonXtal_SegEnds_Prot#'!A:AL,10,FALSE),1)</f>
        <v>D</v>
      </c>
      <c r="S63" s="102" t="str">
        <f>MID(VLOOKUP($A63,Seqs!$A:$B,2,FALSE),VLOOKUP($A63,'NonXtal_SegEnds_Prot#'!A:AL,10,FALSE)+6,1)</f>
        <v>I</v>
      </c>
      <c r="T63" s="102" t="str">
        <f>MID(VLOOKUP($A63,Seqs!$A:$B,2,FALSE),VLOOKUP($A63,'NonXtal_SegEnds_Prot#'!A:AL,10,FALSE)+7,1)</f>
        <v>F</v>
      </c>
      <c r="U63" s="102" t="str">
        <f>MID(VLOOKUP($A63,Seqs!$A:$B,2,FALSE),VLOOKUP($A63,'NonXtal_SegEnds_Prot#'!A:AL,10,FALSE)+8,1)</f>
        <v>V</v>
      </c>
      <c r="V63" s="102" t="str">
        <f>MID(VLOOKUP($A63,Seqs!$A:$B,2,FALSE),VLOOKUP($A63,'NonXtal_SegEnds_Prot#'!A:AL,10,FALSE)+9,1)</f>
        <v>Y</v>
      </c>
      <c r="W63" s="71" t="str">
        <f>MID(VLOOKUP($A63,Seqs!$A:$B,2,FALSE),VLOOKUP($A63,'NonXtal_SegEnds_Prot#'!$A:$AL,22,FALSE)+6,1)</f>
        <v>I</v>
      </c>
      <c r="X63" s="102" t="str">
        <f>MID(VLOOKUP($A63,Seqs!$A:$B,2,FALSE),VLOOKUP($A63,'NonXtal_SegEnds_Prot#'!$A:$AL,22,FALSE)+7,1)</f>
        <v>A</v>
      </c>
      <c r="Y63" s="102" t="str">
        <f>MID(VLOOKUP($A63,Seqs!$A:$B,2,FALSE),VLOOKUP($A63,'NonXtal_SegEnds_Prot#'!$A:$AL,22,FALSE)+8,1)</f>
        <v>V</v>
      </c>
      <c r="Z63" s="102" t="str">
        <f>MID(VLOOKUP($A63,Seqs!$A:$B,2,FALSE),VLOOKUP($A63,'NonXtal_SegEnds_Prot#'!$A:$AL,22,FALSE)+9,1)</f>
        <v>L</v>
      </c>
      <c r="AA63" s="102" t="str">
        <f>MID(VLOOKUP($A63,Seqs!$A:$B,2,FALSE),VLOOKUP($A63,'NonXtal_SegEnds_Prot#'!$A:$AL,22,FALSE)+10,1)</f>
        <v>P</v>
      </c>
      <c r="AB63" s="71" t="str">
        <f>MID(VLOOKUP($A63,Seqs!$A:$B,2,FALSE),VLOOKUP($A63,'NonXtal_SegEnds_Prot#'!$A:$AL,28,FALSE)-4,1)</f>
        <v>V</v>
      </c>
      <c r="AC63" s="102" t="str">
        <f>MID(VLOOKUP($A63,Seqs!$A:$B,2,FALSE),VLOOKUP($A63,'NonXtal_SegEnds_Prot#'!$A:$AL,28,FALSE),1)</f>
        <v>L</v>
      </c>
    </row>
    <row r="64" spans="1:29" s="2" customFormat="1" x14ac:dyDescent="0.2">
      <c r="A64" s="2" t="s">
        <v>377</v>
      </c>
      <c r="B64" s="2" t="str">
        <f>LOWER(VLOOKUP(A64,Xtal_Templ!A:B,2,FALSE))</f>
        <v>lpar1_human</v>
      </c>
      <c r="C64" s="2" t="str">
        <f>VLOOKUP(A64,Classification!A:D,2,FALSE)</f>
        <v>A</v>
      </c>
      <c r="P64" s="4" t="s">
        <v>51</v>
      </c>
      <c r="R64" s="71" t="str">
        <f>MID(VLOOKUP($A64,Seqs!$A:$B,2,FALSE),VLOOKUP($A64,'NonXtal_SegEnds_Prot#'!A:AL,10,FALSE),1)</f>
        <v>D</v>
      </c>
      <c r="S64" s="102" t="str">
        <f>MID(VLOOKUP($A64,Seqs!$A:$B,2,FALSE),VLOOKUP($A64,'NonXtal_SegEnds_Prot#'!A:AL,10,FALSE)+6,1)</f>
        <v>V</v>
      </c>
      <c r="T64" s="102" t="str">
        <f>MID(VLOOKUP($A64,Seqs!$A:$B,2,FALSE),VLOOKUP($A64,'NonXtal_SegEnds_Prot#'!A:AL,10,FALSE)+7,1)</f>
        <v>F</v>
      </c>
      <c r="U64" s="102" t="str">
        <f>MID(VLOOKUP($A64,Seqs!$A:$B,2,FALSE),VLOOKUP($A64,'NonXtal_SegEnds_Prot#'!A:AL,10,FALSE)+8,1)</f>
        <v>A</v>
      </c>
      <c r="V64" s="102" t="str">
        <f>MID(VLOOKUP($A64,Seqs!$A:$B,2,FALSE),VLOOKUP($A64,'NonXtal_SegEnds_Prot#'!A:AL,10,FALSE)+9,1)</f>
        <v>C</v>
      </c>
      <c r="W64" s="71" t="str">
        <f>MID(VLOOKUP($A64,Seqs!$A:$B,2,FALSE),VLOOKUP($A64,'NonXtal_SegEnds_Prot#'!$A:$AL,22,FALSE)+6,1)</f>
        <v>V</v>
      </c>
      <c r="X64" s="102" t="str">
        <f>MID(VLOOKUP($A64,Seqs!$A:$B,2,FALSE),VLOOKUP($A64,'NonXtal_SegEnds_Prot#'!$A:$AL,22,FALSE)+7,1)</f>
        <v>S</v>
      </c>
      <c r="Y64" s="102" t="str">
        <f>MID(VLOOKUP($A64,Seqs!$A:$B,2,FALSE),VLOOKUP($A64,'NonXtal_SegEnds_Prot#'!$A:$AL,22,FALSE)+8,1)</f>
        <v>Y</v>
      </c>
      <c r="Z64" s="102" t="str">
        <f>MID(VLOOKUP($A64,Seqs!$A:$B,2,FALSE),VLOOKUP($A64,'NonXtal_SegEnds_Prot#'!$A:$AL,22,FALSE)+9,1)</f>
        <v>L</v>
      </c>
      <c r="AA64" s="102" t="str">
        <f>MID(VLOOKUP($A64,Seqs!$A:$B,2,FALSE),VLOOKUP($A64,'NonXtal_SegEnds_Prot#'!$A:$AL,22,FALSE)+10,1)</f>
        <v>P</v>
      </c>
      <c r="AB64" s="71" t="str">
        <f>MID(VLOOKUP($A64,Seqs!$A:$B,2,FALSE),VLOOKUP($A64,'NonXtal_SegEnds_Prot#'!$A:$AL,28,FALSE)-4,1)</f>
        <v>F</v>
      </c>
      <c r="AC64" s="102" t="str">
        <f>MID(VLOOKUP($A64,Seqs!$A:$B,2,FALSE),VLOOKUP($A64,'NonXtal_SegEnds_Prot#'!$A:$AL,28,FALSE),1)</f>
        <v>L</v>
      </c>
    </row>
    <row r="65" spans="1:29" s="2" customFormat="1" x14ac:dyDescent="0.2">
      <c r="A65" s="2" t="s">
        <v>378</v>
      </c>
      <c r="B65" s="2" t="str">
        <f>LOWER(VLOOKUP(A65,Xtal_Templ!A:B,2,FALSE))</f>
        <v>ccr5_human</v>
      </c>
      <c r="C65" s="2" t="str">
        <f>VLOOKUP(A65,Classification!A:D,2,FALSE)</f>
        <v>A</v>
      </c>
      <c r="K65" s="2" t="s">
        <v>59</v>
      </c>
      <c r="N65" s="2" t="s">
        <v>43</v>
      </c>
      <c r="P65" s="4" t="s">
        <v>51</v>
      </c>
      <c r="R65" s="71" t="str">
        <f>MID(VLOOKUP($A65,Seqs!$A:$B,2,FALSE),VLOOKUP($A65,'NonXtal_SegEnds_Prot#'!A:AL,10,FALSE),1)</f>
        <v>D</v>
      </c>
      <c r="S65" s="102" t="str">
        <f>MID(VLOOKUP($A65,Seqs!$A:$B,2,FALSE),VLOOKUP($A65,'NonXtal_SegEnds_Prot#'!A:AL,10,FALSE)+6,1)</f>
        <v>T</v>
      </c>
      <c r="T65" s="102" t="str">
        <f>MID(VLOOKUP($A65,Seqs!$A:$B,2,FALSE),VLOOKUP($A65,'NonXtal_SegEnds_Prot#'!A:AL,10,FALSE)+7,1)</f>
        <v>L</v>
      </c>
      <c r="U65" s="102" t="str">
        <f>MID(VLOOKUP($A65,Seqs!$A:$B,2,FALSE),VLOOKUP($A65,'NonXtal_SegEnds_Prot#'!A:AL,10,FALSE)+8,1)</f>
        <v>P</v>
      </c>
      <c r="V65" s="102" t="str">
        <f>MID(VLOOKUP($A65,Seqs!$A:$B,2,FALSE),VLOOKUP($A65,'NonXtal_SegEnds_Prot#'!A:AL,10,FALSE)+9,1)</f>
        <v>F</v>
      </c>
      <c r="W65" s="71" t="str">
        <f>MID(VLOOKUP($A65,Seqs!$A:$B,2,FALSE),VLOOKUP($A65,'NonXtal_SegEnds_Prot#'!$A:$AL,22,FALSE)+6,1)</f>
        <v>V</v>
      </c>
      <c r="X65" s="102" t="str">
        <f>MID(VLOOKUP($A65,Seqs!$A:$B,2,FALSE),VLOOKUP($A65,'NonXtal_SegEnds_Prot#'!$A:$AL,22,FALSE)+7,1)</f>
        <v>A</v>
      </c>
      <c r="Y65" s="102" t="str">
        <f>MID(VLOOKUP($A65,Seqs!$A:$B,2,FALSE),VLOOKUP($A65,'NonXtal_SegEnds_Prot#'!$A:$AL,22,FALSE)+8,1)</f>
        <v>A</v>
      </c>
      <c r="Z65" s="102" t="str">
        <f>MID(VLOOKUP($A65,Seqs!$A:$B,2,FALSE),VLOOKUP($A65,'NonXtal_SegEnds_Prot#'!$A:$AL,22,FALSE)+9,1)</f>
        <v>P</v>
      </c>
      <c r="AA65" s="102" t="str">
        <f>MID(VLOOKUP($A65,Seqs!$A:$B,2,FALSE),VLOOKUP($A65,'NonXtal_SegEnds_Prot#'!$A:$AL,22,FALSE)+10,1)</f>
        <v>Q</v>
      </c>
      <c r="AB65" s="71" t="str">
        <f>MID(VLOOKUP($A65,Seqs!$A:$B,2,FALSE),VLOOKUP($A65,'NonXtal_SegEnds_Prot#'!$A:$AL,28,FALSE)-4,1)</f>
        <v>G</v>
      </c>
      <c r="AC65" s="102" t="str">
        <f>MID(VLOOKUP($A65,Seqs!$A:$B,2,FALSE),VLOOKUP($A65,'NonXtal_SegEnds_Prot#'!$A:$AL,28,FALSE),1)</f>
        <v>P</v>
      </c>
    </row>
    <row r="66" spans="1:29" s="2" customFormat="1" x14ac:dyDescent="0.2">
      <c r="A66" s="2" t="s">
        <v>379</v>
      </c>
      <c r="B66" s="2" t="str">
        <f>LOWER(VLOOKUP(A66,Xtal_Templ!A:B,2,FALSE))</f>
        <v>ccr5_human</v>
      </c>
      <c r="C66" s="2" t="str">
        <f>VLOOKUP(A66,Classification!A:D,2,FALSE)</f>
        <v>A</v>
      </c>
      <c r="K66" s="2" t="s">
        <v>59</v>
      </c>
      <c r="N66" s="2" t="s">
        <v>43</v>
      </c>
      <c r="P66" s="4" t="s">
        <v>51</v>
      </c>
      <c r="R66" s="71" t="str">
        <f>MID(VLOOKUP($A66,Seqs!$A:$B,2,FALSE),VLOOKUP($A66,'NonXtal_SegEnds_Prot#'!A:AL,10,FALSE),1)</f>
        <v>D</v>
      </c>
      <c r="S66" s="102" t="str">
        <f>MID(VLOOKUP($A66,Seqs!$A:$B,2,FALSE),VLOOKUP($A66,'NonXtal_SegEnds_Prot#'!A:AL,10,FALSE)+6,1)</f>
        <v>T</v>
      </c>
      <c r="T66" s="102" t="str">
        <f>MID(VLOOKUP($A66,Seqs!$A:$B,2,FALSE),VLOOKUP($A66,'NonXtal_SegEnds_Prot#'!A:AL,10,FALSE)+7,1)</f>
        <v>L</v>
      </c>
      <c r="U66" s="102" t="str">
        <f>MID(VLOOKUP($A66,Seqs!$A:$B,2,FALSE),VLOOKUP($A66,'NonXtal_SegEnds_Prot#'!A:AL,10,FALSE)+8,1)</f>
        <v>P</v>
      </c>
      <c r="V66" s="102" t="str">
        <f>MID(VLOOKUP($A66,Seqs!$A:$B,2,FALSE),VLOOKUP($A66,'NonXtal_SegEnds_Prot#'!A:AL,10,FALSE)+9,1)</f>
        <v>I</v>
      </c>
      <c r="W66" s="71" t="str">
        <f>MID(VLOOKUP($A66,Seqs!$A:$B,2,FALSE),VLOOKUP($A66,'NonXtal_SegEnds_Prot#'!$A:$AL,22,FALSE)+6,1)</f>
        <v>L</v>
      </c>
      <c r="X66" s="102" t="str">
        <f>MID(VLOOKUP($A66,Seqs!$A:$B,2,FALSE),VLOOKUP($A66,'NonXtal_SegEnds_Prot#'!$A:$AL,22,FALSE)+7,1)</f>
        <v>S</v>
      </c>
      <c r="Y66" s="102" t="str">
        <f>MID(VLOOKUP($A66,Seqs!$A:$B,2,FALSE),VLOOKUP($A66,'NonXtal_SegEnds_Prot#'!$A:$AL,22,FALSE)+8,1)</f>
        <v>L</v>
      </c>
      <c r="Z66" s="102" t="str">
        <f>MID(VLOOKUP($A66,Seqs!$A:$B,2,FALSE),VLOOKUP($A66,'NonXtal_SegEnds_Prot#'!$A:$AL,22,FALSE)+9,1)</f>
        <v>P</v>
      </c>
      <c r="AA66" s="102" t="str">
        <f>MID(VLOOKUP($A66,Seqs!$A:$B,2,FALSE),VLOOKUP($A66,'NonXtal_SegEnds_Prot#'!$A:$AL,22,FALSE)+10,1)</f>
        <v>F</v>
      </c>
      <c r="AB66" s="71" t="str">
        <f>MID(VLOOKUP($A66,Seqs!$A:$B,2,FALSE),VLOOKUP($A66,'NonXtal_SegEnds_Prot#'!$A:$AL,28,FALSE)-4,1)</f>
        <v>G</v>
      </c>
      <c r="AC66" s="102" t="str">
        <f>MID(VLOOKUP($A66,Seqs!$A:$B,2,FALSE),VLOOKUP($A66,'NonXtal_SegEnds_Prot#'!$A:$AL,28,FALSE),1)</f>
        <v>P</v>
      </c>
    </row>
    <row r="67" spans="1:29" s="2" customFormat="1" ht="17" customHeight="1" x14ac:dyDescent="0.2">
      <c r="A67" s="2" t="s">
        <v>380</v>
      </c>
      <c r="B67" s="2" t="str">
        <f>LOWER(VLOOKUP(A67,Xtal_Templ!A:B,2,FALSE))</f>
        <v>ccr5_human</v>
      </c>
      <c r="C67" s="2" t="str">
        <f>VLOOKUP(A67,Classification!A:D,2,FALSE)</f>
        <v>A</v>
      </c>
      <c r="K67" s="2" t="s">
        <v>59</v>
      </c>
      <c r="N67" s="2" t="s">
        <v>43</v>
      </c>
      <c r="P67" s="4" t="s">
        <v>51</v>
      </c>
      <c r="R67" s="71" t="str">
        <f>MID(VLOOKUP($A67,Seqs!$A:$B,2,FALSE),VLOOKUP($A67,'NonXtal_SegEnds_Prot#'!A:AL,10,FALSE),1)</f>
        <v>D</v>
      </c>
      <c r="S67" s="102" t="str">
        <f>MID(VLOOKUP($A67,Seqs!$A:$B,2,FALSE),VLOOKUP($A67,'NonXtal_SegEnds_Prot#'!A:AL,10,FALSE)+6,1)</f>
        <v>T</v>
      </c>
      <c r="T67" s="102" t="str">
        <f>MID(VLOOKUP($A67,Seqs!$A:$B,2,FALSE),VLOOKUP($A67,'NonXtal_SegEnds_Prot#'!A:AL,10,FALSE)+7,1)</f>
        <v>L</v>
      </c>
      <c r="U67" s="102" t="str">
        <f>MID(VLOOKUP($A67,Seqs!$A:$B,2,FALSE),VLOOKUP($A67,'NonXtal_SegEnds_Prot#'!A:AL,10,FALSE)+8,1)</f>
        <v>P</v>
      </c>
      <c r="V67" s="102" t="str">
        <f>MID(VLOOKUP($A67,Seqs!$A:$B,2,FALSE),VLOOKUP($A67,'NonXtal_SegEnds_Prot#'!A:AL,10,FALSE)+9,1)</f>
        <v>I</v>
      </c>
      <c r="W67" s="71" t="str">
        <f>MID(VLOOKUP($A67,Seqs!$A:$B,2,FALSE),VLOOKUP($A67,'NonXtal_SegEnds_Prot#'!$A:$AL,22,FALSE)+6,1)</f>
        <v>L</v>
      </c>
      <c r="X67" s="102" t="str">
        <f>MID(VLOOKUP($A67,Seqs!$A:$B,2,FALSE),VLOOKUP($A67,'NonXtal_SegEnds_Prot#'!$A:$AL,22,FALSE)+7,1)</f>
        <v>A</v>
      </c>
      <c r="Y67" s="102" t="str">
        <f>MID(VLOOKUP($A67,Seqs!$A:$B,2,FALSE),VLOOKUP($A67,'NonXtal_SegEnds_Prot#'!$A:$AL,22,FALSE)+8,1)</f>
        <v>L</v>
      </c>
      <c r="Z67" s="102" t="str">
        <f>MID(VLOOKUP($A67,Seqs!$A:$B,2,FALSE),VLOOKUP($A67,'NonXtal_SegEnds_Prot#'!$A:$AL,22,FALSE)+9,1)</f>
        <v>P</v>
      </c>
      <c r="AA67" s="102" t="str">
        <f>MID(VLOOKUP($A67,Seqs!$A:$B,2,FALSE),VLOOKUP($A67,'NonXtal_SegEnds_Prot#'!$A:$AL,22,FALSE)+10,1)</f>
        <v>V</v>
      </c>
      <c r="AB67" s="71" t="str">
        <f>MID(VLOOKUP($A67,Seqs!$A:$B,2,FALSE),VLOOKUP($A67,'NonXtal_SegEnds_Prot#'!$A:$AL,28,FALSE)-4,1)</f>
        <v>G</v>
      </c>
      <c r="AC67" s="102" t="str">
        <f>MID(VLOOKUP($A67,Seqs!$A:$B,2,FALSE),VLOOKUP($A67,'NonXtal_SegEnds_Prot#'!$A:$AL,28,FALSE),1)</f>
        <v>P</v>
      </c>
    </row>
    <row r="68" spans="1:29" s="2" customFormat="1" x14ac:dyDescent="0.2">
      <c r="A68" s="2" t="s">
        <v>381</v>
      </c>
      <c r="B68" s="2" t="str">
        <f>LOWER(VLOOKUP(A68,Xtal_Templ!A:B,2,FALSE))</f>
        <v>cxcr4_human</v>
      </c>
      <c r="C68" s="2" t="str">
        <f>VLOOKUP(A68,Classification!A:D,2,FALSE)</f>
        <v>A</v>
      </c>
      <c r="K68" s="2" t="s">
        <v>59</v>
      </c>
      <c r="N68" s="2" t="s">
        <v>43</v>
      </c>
      <c r="P68" s="4" t="s">
        <v>51</v>
      </c>
      <c r="R68" s="71" t="str">
        <f>MID(VLOOKUP($A68,Seqs!$A:$B,2,FALSE),VLOOKUP($A68,'NonXtal_SegEnds_Prot#'!A:AL,10,FALSE),1)</f>
        <v>D</v>
      </c>
      <c r="S68" s="102" t="str">
        <f>MID(VLOOKUP($A68,Seqs!$A:$B,2,FALSE),VLOOKUP($A68,'NonXtal_SegEnds_Prot#'!A:AL,10,FALSE)+6,1)</f>
        <v>T</v>
      </c>
      <c r="T68" s="102" t="str">
        <f>MID(VLOOKUP($A68,Seqs!$A:$B,2,FALSE),VLOOKUP($A68,'NonXtal_SegEnds_Prot#'!A:AL,10,FALSE)+7,1)</f>
        <v>L</v>
      </c>
      <c r="U68" s="102" t="str">
        <f>MID(VLOOKUP($A68,Seqs!$A:$B,2,FALSE),VLOOKUP($A68,'NonXtal_SegEnds_Prot#'!A:AL,10,FALSE)+8,1)</f>
        <v>P</v>
      </c>
      <c r="V68" s="102" t="str">
        <f>MID(VLOOKUP($A68,Seqs!$A:$B,2,FALSE),VLOOKUP($A68,'NonXtal_SegEnds_Prot#'!A:AL,10,FALSE)+9,1)</f>
        <v>L</v>
      </c>
      <c r="W68" s="71" t="str">
        <f>MID(VLOOKUP($A68,Seqs!$A:$B,2,FALSE),VLOOKUP($A68,'NonXtal_SegEnds_Prot#'!$A:$AL,22,FALSE)+6,1)</f>
        <v>F</v>
      </c>
      <c r="X68" s="102" t="str">
        <f>MID(VLOOKUP($A68,Seqs!$A:$B,2,FALSE),VLOOKUP($A68,'NonXtal_SegEnds_Prot#'!$A:$AL,22,FALSE)+7,1)</f>
        <v>A</v>
      </c>
      <c r="Y68" s="102" t="str">
        <f>MID(VLOOKUP($A68,Seqs!$A:$B,2,FALSE),VLOOKUP($A68,'NonXtal_SegEnds_Prot#'!$A:$AL,22,FALSE)+8,1)</f>
        <v>L</v>
      </c>
      <c r="Z68" s="102" t="str">
        <f>MID(VLOOKUP($A68,Seqs!$A:$B,2,FALSE),VLOOKUP($A68,'NonXtal_SegEnds_Prot#'!$A:$AL,22,FALSE)+9,1)</f>
        <v>P</v>
      </c>
      <c r="AA68" s="102" t="str">
        <f>MID(VLOOKUP($A68,Seqs!$A:$B,2,FALSE),VLOOKUP($A68,'NonXtal_SegEnds_Prot#'!$A:$AL,22,FALSE)+10,1)</f>
        <v>D</v>
      </c>
      <c r="AB68" s="71" t="str">
        <f>MID(VLOOKUP($A68,Seqs!$A:$B,2,FALSE),VLOOKUP($A68,'NonXtal_SegEnds_Prot#'!$A:$AL,28,FALSE)-4,1)</f>
        <v>G</v>
      </c>
      <c r="AC68" s="102" t="str">
        <f>MID(VLOOKUP($A68,Seqs!$A:$B,2,FALSE),VLOOKUP($A68,'NonXtal_SegEnds_Prot#'!$A:$AL,28,FALSE),1)</f>
        <v>P</v>
      </c>
    </row>
    <row r="69" spans="1:29" s="2" customFormat="1" x14ac:dyDescent="0.2">
      <c r="A69" s="2" t="s">
        <v>1391</v>
      </c>
      <c r="B69" s="2" t="str">
        <f>LOWER(VLOOKUP(A69,Xtal_Templ!A:B,2,FALSE))</f>
        <v>cxcr4_human</v>
      </c>
      <c r="C69" s="2" t="str">
        <f>VLOOKUP(A69,Classification!A:D,2,FALSE)</f>
        <v>A</v>
      </c>
      <c r="K69" s="2" t="s">
        <v>59</v>
      </c>
      <c r="N69" s="2" t="s">
        <v>43</v>
      </c>
      <c r="P69" s="4" t="s">
        <v>51</v>
      </c>
      <c r="R69" s="71" t="str">
        <f>MID(VLOOKUP($A69,Seqs!$A:$B,2,FALSE),VLOOKUP($A69,'NonXtal_SegEnds_Prot#'!A:AL,10,FALSE),1)</f>
        <v>D</v>
      </c>
      <c r="S69" s="102" t="str">
        <f>MID(VLOOKUP($A69,Seqs!$A:$B,2,FALSE),VLOOKUP($A69,'NonXtal_SegEnds_Prot#'!A:AL,10,FALSE)+6,1)</f>
        <v>T</v>
      </c>
      <c r="T69" s="102" t="str">
        <f>MID(VLOOKUP($A69,Seqs!$A:$B,2,FALSE),VLOOKUP($A69,'NonXtal_SegEnds_Prot#'!A:AL,10,FALSE)+7,1)</f>
        <v>L</v>
      </c>
      <c r="U69" s="102" t="str">
        <f>MID(VLOOKUP($A69,Seqs!$A:$B,2,FALSE),VLOOKUP($A69,'NonXtal_SegEnds_Prot#'!A:AL,10,FALSE)+8,1)</f>
        <v>P</v>
      </c>
      <c r="V69" s="102" t="str">
        <f>MID(VLOOKUP($A69,Seqs!$A:$B,2,FALSE),VLOOKUP($A69,'NonXtal_SegEnds_Prot#'!A:AL,10,FALSE)+9,1)</f>
        <v>F</v>
      </c>
      <c r="W69" s="71" t="str">
        <f>MID(VLOOKUP($A69,Seqs!$A:$B,2,FALSE),VLOOKUP($A69,'NonXtal_SegEnds_Prot#'!$A:$AL,22,FALSE)+6,1)</f>
        <v>L</v>
      </c>
      <c r="X69" s="102" t="str">
        <f>MID(VLOOKUP($A69,Seqs!$A:$B,2,FALSE),VLOOKUP($A69,'NonXtal_SegEnds_Prot#'!$A:$AL,22,FALSE)+7,1)</f>
        <v>T</v>
      </c>
      <c r="Y69" s="102" t="str">
        <f>MID(VLOOKUP($A69,Seqs!$A:$B,2,FALSE),VLOOKUP($A69,'NonXtal_SegEnds_Prot#'!$A:$AL,22,FALSE)+8,1)</f>
        <v>I</v>
      </c>
      <c r="Z69" s="102" t="str">
        <f>MID(VLOOKUP($A69,Seqs!$A:$B,2,FALSE),VLOOKUP($A69,'NonXtal_SegEnds_Prot#'!$A:$AL,22,FALSE)+9,1)</f>
        <v>P</v>
      </c>
      <c r="AA69" s="102" t="str">
        <f>MID(VLOOKUP($A69,Seqs!$A:$B,2,FALSE),VLOOKUP($A69,'NonXtal_SegEnds_Prot#'!$A:$AL,22,FALSE)+10,1)</f>
        <v>D</v>
      </c>
      <c r="AB69" s="71" t="str">
        <f>MID(VLOOKUP($A69,Seqs!$A:$B,2,FALSE),VLOOKUP($A69,'NonXtal_SegEnds_Prot#'!$A:$AL,28,FALSE)-4,1)</f>
        <v>G</v>
      </c>
      <c r="AC69" s="102" t="str">
        <f>MID(VLOOKUP($A69,Seqs!$A:$B,2,FALSE),VLOOKUP($A69,'NonXtal_SegEnds_Prot#'!$A:$AL,28,FALSE),1)</f>
        <v>P</v>
      </c>
    </row>
    <row r="70" spans="1:29" s="2" customFormat="1" x14ac:dyDescent="0.2">
      <c r="A70" s="2" t="s">
        <v>382</v>
      </c>
      <c r="B70" s="2" t="str">
        <f>LOWER(VLOOKUP(A70,Xtal_Templ!A:B,2,FALSE))</f>
        <v>cxcr4_human</v>
      </c>
      <c r="C70" s="2" t="str">
        <f>VLOOKUP(A70,Classification!A:D,2,FALSE)</f>
        <v>A</v>
      </c>
      <c r="K70" s="2" t="s">
        <v>59</v>
      </c>
      <c r="N70" s="2" t="s">
        <v>43</v>
      </c>
      <c r="P70" s="4" t="s">
        <v>51</v>
      </c>
      <c r="R70" s="71" t="str">
        <f>MID(VLOOKUP($A70,Seqs!$A:$B,2,FALSE),VLOOKUP($A70,'NonXtal_SegEnds_Prot#'!A:AL,10,FALSE),1)</f>
        <v>D</v>
      </c>
      <c r="S70" s="102" t="str">
        <f>MID(VLOOKUP($A70,Seqs!$A:$B,2,FALSE),VLOOKUP($A70,'NonXtal_SegEnds_Prot#'!A:AL,10,FALSE)+6,1)</f>
        <v>I</v>
      </c>
      <c r="T70" s="102" t="str">
        <f>MID(VLOOKUP($A70,Seqs!$A:$B,2,FALSE),VLOOKUP($A70,'NonXtal_SegEnds_Prot#'!A:AL,10,FALSE)+7,1)</f>
        <v>L</v>
      </c>
      <c r="U70" s="102" t="str">
        <f>MID(VLOOKUP($A70,Seqs!$A:$B,2,FALSE),VLOOKUP($A70,'NonXtal_SegEnds_Prot#'!A:AL,10,FALSE)+8,1)</f>
        <v>P</v>
      </c>
      <c r="V70" s="102" t="str">
        <f>MID(VLOOKUP($A70,Seqs!$A:$B,2,FALSE),VLOOKUP($A70,'NonXtal_SegEnds_Prot#'!A:AL,10,FALSE)+9,1)</f>
        <v>F</v>
      </c>
      <c r="W70" s="71" t="str">
        <f>MID(VLOOKUP($A70,Seqs!$A:$B,2,FALSE),VLOOKUP($A70,'NonXtal_SegEnds_Prot#'!$A:$AL,22,FALSE)+6,1)</f>
        <v>L</v>
      </c>
      <c r="X70" s="102" t="str">
        <f>MID(VLOOKUP($A70,Seqs!$A:$B,2,FALSE),VLOOKUP($A70,'NonXtal_SegEnds_Prot#'!$A:$AL,22,FALSE)+7,1)</f>
        <v>A</v>
      </c>
      <c r="Y70" s="102" t="str">
        <f>MID(VLOOKUP($A70,Seqs!$A:$B,2,FALSE),VLOOKUP($A70,'NonXtal_SegEnds_Prot#'!$A:$AL,22,FALSE)+8,1)</f>
        <v>L</v>
      </c>
      <c r="Z70" s="102" t="str">
        <f>MID(VLOOKUP($A70,Seqs!$A:$B,2,FALSE),VLOOKUP($A70,'NonXtal_SegEnds_Prot#'!$A:$AL,22,FALSE)+9,1)</f>
        <v>P</v>
      </c>
      <c r="AA70" s="102" t="str">
        <f>MID(VLOOKUP($A70,Seqs!$A:$B,2,FALSE),VLOOKUP($A70,'NonXtal_SegEnds_Prot#'!$A:$AL,22,FALSE)+10,1)</f>
        <v>E</v>
      </c>
      <c r="AB70" s="71" t="str">
        <f>MID(VLOOKUP($A70,Seqs!$A:$B,2,FALSE),VLOOKUP($A70,'NonXtal_SegEnds_Prot#'!$A:$AL,28,FALSE)-4,1)</f>
        <v>G</v>
      </c>
      <c r="AC70" s="102" t="str">
        <f>MID(VLOOKUP($A70,Seqs!$A:$B,2,FALSE),VLOOKUP($A70,'NonXtal_SegEnds_Prot#'!$A:$AL,28,FALSE),1)</f>
        <v>P</v>
      </c>
    </row>
    <row r="71" spans="1:29" s="2" customFormat="1" x14ac:dyDescent="0.2">
      <c r="A71" s="2" t="s">
        <v>383</v>
      </c>
      <c r="B71" s="2" t="str">
        <f>LOWER(VLOOKUP(A71,Xtal_Templ!A:B,2,FALSE))</f>
        <v>ccr5_human</v>
      </c>
      <c r="C71" s="2" t="str">
        <f>VLOOKUP(A71,Classification!A:D,2,FALSE)</f>
        <v>A</v>
      </c>
      <c r="K71" s="2" t="s">
        <v>59</v>
      </c>
      <c r="N71" s="2" t="s">
        <v>43</v>
      </c>
      <c r="P71" s="4" t="s">
        <v>51</v>
      </c>
      <c r="R71" s="71" t="str">
        <f>MID(VLOOKUP($A71,Seqs!$A:$B,2,FALSE),VLOOKUP($A71,'NonXtal_SegEnds_Prot#'!A:AL,10,FALSE),1)</f>
        <v>D</v>
      </c>
      <c r="S71" s="102" t="str">
        <f>MID(VLOOKUP($A71,Seqs!$A:$B,2,FALSE),VLOOKUP($A71,'NonXtal_SegEnds_Prot#'!A:AL,10,FALSE)+6,1)</f>
        <v>T</v>
      </c>
      <c r="T71" s="102" t="str">
        <f>MID(VLOOKUP($A71,Seqs!$A:$B,2,FALSE),VLOOKUP($A71,'NonXtal_SegEnds_Prot#'!A:AL,10,FALSE)+7,1)</f>
        <v>L</v>
      </c>
      <c r="U71" s="102" t="str">
        <f>MID(VLOOKUP($A71,Seqs!$A:$B,2,FALSE),VLOOKUP($A71,'NonXtal_SegEnds_Prot#'!A:AL,10,FALSE)+8,1)</f>
        <v>P</v>
      </c>
      <c r="V71" s="102" t="str">
        <f>MID(VLOOKUP($A71,Seqs!$A:$B,2,FALSE),VLOOKUP($A71,'NonXtal_SegEnds_Prot#'!A:AL,10,FALSE)+9,1)</f>
        <v>F</v>
      </c>
      <c r="W71" s="71" t="str">
        <f>MID(VLOOKUP($A71,Seqs!$A:$B,2,FALSE),VLOOKUP($A71,'NonXtal_SegEnds_Prot#'!$A:$AL,22,FALSE)+6,1)</f>
        <v>V</v>
      </c>
      <c r="X71" s="102" t="str">
        <f>MID(VLOOKUP($A71,Seqs!$A:$B,2,FALSE),VLOOKUP($A71,'NonXtal_SegEnds_Prot#'!$A:$AL,22,FALSE)+7,1)</f>
        <v>S</v>
      </c>
      <c r="Y71" s="102" t="str">
        <f>MID(VLOOKUP($A71,Seqs!$A:$B,2,FALSE),VLOOKUP($A71,'NonXtal_SegEnds_Prot#'!$A:$AL,22,FALSE)+8,1)</f>
        <v>L</v>
      </c>
      <c r="Z71" s="102" t="str">
        <f>MID(VLOOKUP($A71,Seqs!$A:$B,2,FALSE),VLOOKUP($A71,'NonXtal_SegEnds_Prot#'!$A:$AL,22,FALSE)+9,1)</f>
        <v>P</v>
      </c>
      <c r="AA71" s="102" t="str">
        <f>MID(VLOOKUP($A71,Seqs!$A:$B,2,FALSE),VLOOKUP($A71,'NonXtal_SegEnds_Prot#'!$A:$AL,22,FALSE)+10,1)</f>
        <v>Q</v>
      </c>
      <c r="AB71" s="71" t="str">
        <f>MID(VLOOKUP($A71,Seqs!$A:$B,2,FALSE),VLOOKUP($A71,'NonXtal_SegEnds_Prot#'!$A:$AL,28,FALSE)-4,1)</f>
        <v>G</v>
      </c>
      <c r="AC71" s="102" t="str">
        <f>MID(VLOOKUP($A71,Seqs!$A:$B,2,FALSE),VLOOKUP($A71,'NonXtal_SegEnds_Prot#'!$A:$AL,28,FALSE),1)</f>
        <v>P</v>
      </c>
    </row>
    <row r="72" spans="1:29" s="2" customFormat="1" x14ac:dyDescent="0.2">
      <c r="A72" s="2" t="s">
        <v>384</v>
      </c>
      <c r="B72" s="2" t="str">
        <f>LOWER(VLOOKUP(A72,Xtal_Templ!A:B,2,FALSE))</f>
        <v>adrb1_melga</v>
      </c>
      <c r="C72" s="2" t="str">
        <f>VLOOKUP(A72,Classification!A:D,2,FALSE)</f>
        <v>A</v>
      </c>
      <c r="E72" s="2" t="s">
        <v>20</v>
      </c>
      <c r="N72" s="2" t="s">
        <v>43</v>
      </c>
      <c r="P72" s="4" t="s">
        <v>51</v>
      </c>
      <c r="R72" s="71" t="str">
        <f>MID(VLOOKUP($A72,Seqs!$A:$B,2,FALSE),VLOOKUP($A72,'NonXtal_SegEnds_Prot#'!A:AL,10,FALSE),1)</f>
        <v>D</v>
      </c>
      <c r="S72" s="102" t="str">
        <f>MID(VLOOKUP($A72,Seqs!$A:$B,2,FALSE),VLOOKUP($A72,'NonXtal_SegEnds_Prot#'!A:AL,10,FALSE)+6,1)</f>
        <v>L</v>
      </c>
      <c r="T72" s="102" t="str">
        <f>MID(VLOOKUP($A72,Seqs!$A:$B,2,FALSE),VLOOKUP($A72,'NonXtal_SegEnds_Prot#'!A:AL,10,FALSE)+7,1)</f>
        <v>V</v>
      </c>
      <c r="U72" s="102" t="str">
        <f>MID(VLOOKUP($A72,Seqs!$A:$B,2,FALSE),VLOOKUP($A72,'NonXtal_SegEnds_Prot#'!A:AL,10,FALSE)+8,1)</f>
        <v>M</v>
      </c>
      <c r="V72" s="102" t="str">
        <f>MID(VLOOKUP($A72,Seqs!$A:$B,2,FALSE),VLOOKUP($A72,'NonXtal_SegEnds_Prot#'!A:AL,10,FALSE)+9,1)</f>
        <v>P</v>
      </c>
      <c r="W72" s="71" t="str">
        <f>MID(VLOOKUP($A72,Seqs!$A:$B,2,FALSE),VLOOKUP($A72,'NonXtal_SegEnds_Prot#'!$A:$AL,22,FALSE)+6,1)</f>
        <v>I</v>
      </c>
      <c r="X72" s="102" t="str">
        <f>MID(VLOOKUP($A72,Seqs!$A:$B,2,FALSE),VLOOKUP($A72,'NonXtal_SegEnds_Prot#'!$A:$AL,22,FALSE)+7,1)</f>
        <v>S</v>
      </c>
      <c r="Y72" s="102" t="str">
        <f>MID(VLOOKUP($A72,Seqs!$A:$B,2,FALSE),VLOOKUP($A72,'NonXtal_SegEnds_Prot#'!$A:$AL,22,FALSE)+8,1)</f>
        <v>F</v>
      </c>
      <c r="Z72" s="102" t="str">
        <f>MID(VLOOKUP($A72,Seqs!$A:$B,2,FALSE),VLOOKUP($A72,'NonXtal_SegEnds_Prot#'!$A:$AL,22,FALSE)+9,1)</f>
        <v>I</v>
      </c>
      <c r="AA72" s="102" t="str">
        <f>MID(VLOOKUP($A72,Seqs!$A:$B,2,FALSE),VLOOKUP($A72,'NonXtal_SegEnds_Prot#'!$A:$AL,22,FALSE)+10,1)</f>
        <v>P</v>
      </c>
      <c r="AB72" s="71" t="str">
        <f>MID(VLOOKUP($A72,Seqs!$A:$B,2,FALSE),VLOOKUP($A72,'NonXtal_SegEnds_Prot#'!$A:$AL,28,FALSE)-4,1)</f>
        <v>S</v>
      </c>
      <c r="AC72" s="102" t="str">
        <f>MID(VLOOKUP($A72,Seqs!$A:$B,2,FALSE),VLOOKUP($A72,'NonXtal_SegEnds_Prot#'!$A:$AL,28,FALSE),1)</f>
        <v>P</v>
      </c>
    </row>
    <row r="73" spans="1:29" s="2" customFormat="1" x14ac:dyDescent="0.2">
      <c r="A73" s="2" t="s">
        <v>385</v>
      </c>
      <c r="B73" s="2" t="str">
        <f>LOWER(VLOOKUP(A73,Xtal_Templ!A:B,2,FALSE))</f>
        <v>drd3_human</v>
      </c>
      <c r="C73" s="2" t="str">
        <f>VLOOKUP(A73,Classification!A:D,2,FALSE)</f>
        <v>A</v>
      </c>
      <c r="E73" s="2" t="s">
        <v>20</v>
      </c>
      <c r="K73" s="2" t="s">
        <v>59</v>
      </c>
      <c r="N73" s="2" t="s">
        <v>43</v>
      </c>
      <c r="P73" s="4" t="s">
        <v>51</v>
      </c>
      <c r="R73" s="71" t="str">
        <f>MID(VLOOKUP($A73,Seqs!$A:$B,2,FALSE),VLOOKUP($A73,'NonXtal_SegEnds_Prot#'!A:AL,10,FALSE),1)</f>
        <v>D</v>
      </c>
      <c r="S73" s="102" t="str">
        <f>MID(VLOOKUP($A73,Seqs!$A:$B,2,FALSE),VLOOKUP($A73,'NonXtal_SegEnds_Prot#'!A:AL,10,FALSE)+6,1)</f>
        <v>L</v>
      </c>
      <c r="T73" s="102" t="str">
        <f>MID(VLOOKUP($A73,Seqs!$A:$B,2,FALSE),VLOOKUP($A73,'NonXtal_SegEnds_Prot#'!A:AL,10,FALSE)+7,1)</f>
        <v>V</v>
      </c>
      <c r="U73" s="102" t="str">
        <f>MID(VLOOKUP($A73,Seqs!$A:$B,2,FALSE),VLOOKUP($A73,'NonXtal_SegEnds_Prot#'!A:AL,10,FALSE)+8,1)</f>
        <v>M</v>
      </c>
      <c r="V73" s="102" t="str">
        <f>MID(VLOOKUP($A73,Seqs!$A:$B,2,FALSE),VLOOKUP($A73,'NonXtal_SegEnds_Prot#'!A:AL,10,FALSE)+9,1)</f>
        <v>P</v>
      </c>
      <c r="W73" s="71" t="str">
        <f>MID(VLOOKUP($A73,Seqs!$A:$B,2,FALSE),VLOOKUP($A73,'NonXtal_SegEnds_Prot#'!$A:$AL,22,FALSE)+6,1)</f>
        <v>I</v>
      </c>
      <c r="X73" s="102" t="str">
        <f>MID(VLOOKUP($A73,Seqs!$A:$B,2,FALSE),VLOOKUP($A73,'NonXtal_SegEnds_Prot#'!$A:$AL,22,FALSE)+7,1)</f>
        <v>S</v>
      </c>
      <c r="Y73" s="102" t="str">
        <f>MID(VLOOKUP($A73,Seqs!$A:$B,2,FALSE),VLOOKUP($A73,'NonXtal_SegEnds_Prot#'!$A:$AL,22,FALSE)+8,1)</f>
        <v>C</v>
      </c>
      <c r="Z73" s="102" t="str">
        <f>MID(VLOOKUP($A73,Seqs!$A:$B,2,FALSE),VLOOKUP($A73,'NonXtal_SegEnds_Prot#'!$A:$AL,22,FALSE)+9,1)</f>
        <v>P</v>
      </c>
      <c r="AA73" s="102" t="str">
        <f>MID(VLOOKUP($A73,Seqs!$A:$B,2,FALSE),VLOOKUP($A73,'NonXtal_SegEnds_Prot#'!$A:$AL,22,FALSE)+10,1)</f>
        <v>L</v>
      </c>
      <c r="AB73" s="71" t="str">
        <f>MID(VLOOKUP($A73,Seqs!$A:$B,2,FALSE),VLOOKUP($A73,'NonXtal_SegEnds_Prot#'!$A:$AL,28,FALSE)-4,1)</f>
        <v>S</v>
      </c>
      <c r="AC73" s="102" t="str">
        <f>MID(VLOOKUP($A73,Seqs!$A:$B,2,FALSE),VLOOKUP($A73,'NonXtal_SegEnds_Prot#'!$A:$AL,28,FALSE),1)</f>
        <v>P</v>
      </c>
    </row>
    <row r="74" spans="1:29" s="2" customFormat="1" x14ac:dyDescent="0.2">
      <c r="A74" s="2" t="s">
        <v>386</v>
      </c>
      <c r="B74" s="2" t="str">
        <f>LOWER(VLOOKUP(A74,Xtal_Templ!A:B,2,FALSE))</f>
        <v>drd3_human</v>
      </c>
      <c r="C74" s="2" t="str">
        <f>VLOOKUP(A74,Classification!A:D,2,FALSE)</f>
        <v>A</v>
      </c>
      <c r="E74" s="2" t="s">
        <v>20</v>
      </c>
      <c r="K74" s="2" t="s">
        <v>59</v>
      </c>
      <c r="N74" s="2" t="s">
        <v>43</v>
      </c>
      <c r="P74" s="4" t="s">
        <v>51</v>
      </c>
      <c r="R74" s="71" t="str">
        <f>MID(VLOOKUP($A74,Seqs!$A:$B,2,FALSE),VLOOKUP($A74,'NonXtal_SegEnds_Prot#'!A:AL,10,FALSE),1)</f>
        <v>D</v>
      </c>
      <c r="S74" s="102" t="str">
        <f>MID(VLOOKUP($A74,Seqs!$A:$B,2,FALSE),VLOOKUP($A74,'NonXtal_SegEnds_Prot#'!A:AL,10,FALSE)+6,1)</f>
        <v>L</v>
      </c>
      <c r="T74" s="102" t="str">
        <f>MID(VLOOKUP($A74,Seqs!$A:$B,2,FALSE),VLOOKUP($A74,'NonXtal_SegEnds_Prot#'!A:AL,10,FALSE)+7,1)</f>
        <v>V</v>
      </c>
      <c r="U74" s="102" t="str">
        <f>MID(VLOOKUP($A74,Seqs!$A:$B,2,FALSE),VLOOKUP($A74,'NonXtal_SegEnds_Prot#'!A:AL,10,FALSE)+8,1)</f>
        <v>M</v>
      </c>
      <c r="V74" s="102" t="str">
        <f>MID(VLOOKUP($A74,Seqs!$A:$B,2,FALSE),VLOOKUP($A74,'NonXtal_SegEnds_Prot#'!A:AL,10,FALSE)+9,1)</f>
        <v>P</v>
      </c>
      <c r="W74" s="71" t="str">
        <f>MID(VLOOKUP($A74,Seqs!$A:$B,2,FALSE),VLOOKUP($A74,'NonXtal_SegEnds_Prot#'!$A:$AL,22,FALSE)+6,1)</f>
        <v>V</v>
      </c>
      <c r="X74" s="102" t="str">
        <f>MID(VLOOKUP($A74,Seqs!$A:$B,2,FALSE),VLOOKUP($A74,'NonXtal_SegEnds_Prot#'!$A:$AL,22,FALSE)+7,1)</f>
        <v>S</v>
      </c>
      <c r="Y74" s="102" t="str">
        <f>MID(VLOOKUP($A74,Seqs!$A:$B,2,FALSE),VLOOKUP($A74,'NonXtal_SegEnds_Prot#'!$A:$AL,22,FALSE)+8,1)</f>
        <v>C</v>
      </c>
      <c r="Z74" s="102" t="str">
        <f>MID(VLOOKUP($A74,Seqs!$A:$B,2,FALSE),VLOOKUP($A74,'NonXtal_SegEnds_Prot#'!$A:$AL,22,FALSE)+9,1)</f>
        <v>P</v>
      </c>
      <c r="AA74" s="102" t="str">
        <f>MID(VLOOKUP($A74,Seqs!$A:$B,2,FALSE),VLOOKUP($A74,'NonXtal_SegEnds_Prot#'!$A:$AL,22,FALSE)+10,1)</f>
        <v>L</v>
      </c>
      <c r="AB74" s="71" t="str">
        <f>MID(VLOOKUP($A74,Seqs!$A:$B,2,FALSE),VLOOKUP($A74,'NonXtal_SegEnds_Prot#'!$A:$AL,28,FALSE)-4,1)</f>
        <v>S</v>
      </c>
      <c r="AC74" s="102" t="str">
        <f>MID(VLOOKUP($A74,Seqs!$A:$B,2,FALSE),VLOOKUP($A74,'NonXtal_SegEnds_Prot#'!$A:$AL,28,FALSE),1)</f>
        <v>P</v>
      </c>
    </row>
    <row r="75" spans="1:29" s="2" customFormat="1" x14ac:dyDescent="0.2">
      <c r="A75" s="2" t="s">
        <v>387</v>
      </c>
      <c r="B75" s="2" t="str">
        <f>LOWER(VLOOKUP(A75,Xtal_Templ!A:B,2,FALSE))</f>
        <v>drd3_human</v>
      </c>
      <c r="C75" s="2" t="str">
        <f>VLOOKUP(A75,Classification!A:D,2,FALSE)</f>
        <v>A</v>
      </c>
      <c r="E75" s="2" t="s">
        <v>20</v>
      </c>
      <c r="K75" s="2" t="s">
        <v>59</v>
      </c>
      <c r="N75" s="2" t="s">
        <v>43</v>
      </c>
      <c r="P75" s="4" t="s">
        <v>51</v>
      </c>
      <c r="R75" s="71" t="str">
        <f>MID(VLOOKUP($A75,Seqs!$A:$B,2,FALSE),VLOOKUP($A75,'NonXtal_SegEnds_Prot#'!A:AL,10,FALSE),1)</f>
        <v>D</v>
      </c>
      <c r="S75" s="102" t="str">
        <f>MID(VLOOKUP($A75,Seqs!$A:$B,2,FALSE),VLOOKUP($A75,'NonXtal_SegEnds_Prot#'!A:AL,10,FALSE)+6,1)</f>
        <v>L</v>
      </c>
      <c r="T75" s="102" t="str">
        <f>MID(VLOOKUP($A75,Seqs!$A:$B,2,FALSE),VLOOKUP($A75,'NonXtal_SegEnds_Prot#'!A:AL,10,FALSE)+7,1)</f>
        <v>V</v>
      </c>
      <c r="U75" s="102" t="str">
        <f>MID(VLOOKUP($A75,Seqs!$A:$B,2,FALSE),VLOOKUP($A75,'NonXtal_SegEnds_Prot#'!A:AL,10,FALSE)+8,1)</f>
        <v>L</v>
      </c>
      <c r="V75" s="102" t="str">
        <f>MID(VLOOKUP($A75,Seqs!$A:$B,2,FALSE),VLOOKUP($A75,'NonXtal_SegEnds_Prot#'!A:AL,10,FALSE)+9,1)</f>
        <v>P</v>
      </c>
      <c r="W75" s="71" t="str">
        <f>MID(VLOOKUP($A75,Seqs!$A:$B,2,FALSE),VLOOKUP($A75,'NonXtal_SegEnds_Prot#'!$A:$AL,22,FALSE)+6,1)</f>
        <v>V</v>
      </c>
      <c r="X75" s="102" t="str">
        <f>MID(VLOOKUP($A75,Seqs!$A:$B,2,FALSE),VLOOKUP($A75,'NonXtal_SegEnds_Prot#'!$A:$AL,22,FALSE)+7,1)</f>
        <v>A</v>
      </c>
      <c r="Y75" s="102" t="str">
        <f>MID(VLOOKUP($A75,Seqs!$A:$B,2,FALSE),VLOOKUP($A75,'NonXtal_SegEnds_Prot#'!$A:$AL,22,FALSE)+8,1)</f>
        <v>A</v>
      </c>
      <c r="Z75" s="102" t="str">
        <f>MID(VLOOKUP($A75,Seqs!$A:$B,2,FALSE),VLOOKUP($A75,'NonXtal_SegEnds_Prot#'!$A:$AL,22,FALSE)+9,1)</f>
        <v>P</v>
      </c>
      <c r="AA75" s="102" t="str">
        <f>MID(VLOOKUP($A75,Seqs!$A:$B,2,FALSE),VLOOKUP($A75,'NonXtal_SegEnds_Prot#'!$A:$AL,22,FALSE)+10,1)</f>
        <v>V</v>
      </c>
      <c r="AB75" s="71" t="str">
        <f>MID(VLOOKUP($A75,Seqs!$A:$B,2,FALSE),VLOOKUP($A75,'NonXtal_SegEnds_Prot#'!$A:$AL,28,FALSE)-4,1)</f>
        <v>S</v>
      </c>
      <c r="AC75" s="102" t="str">
        <f>MID(VLOOKUP($A75,Seqs!$A:$B,2,FALSE),VLOOKUP($A75,'NonXtal_SegEnds_Prot#'!$A:$AL,28,FALSE),1)</f>
        <v>P</v>
      </c>
    </row>
    <row r="76" spans="1:29" s="2" customFormat="1" x14ac:dyDescent="0.2">
      <c r="A76" s="2" t="s">
        <v>388</v>
      </c>
      <c r="B76" s="2" t="str">
        <f>LOWER(VLOOKUP(A76,Xtal_Templ!A:B,2,FALSE))</f>
        <v>adrb1_melga</v>
      </c>
      <c r="C76" s="2" t="str">
        <f>VLOOKUP(A76,Classification!A:D,2,FALSE)</f>
        <v>A</v>
      </c>
      <c r="E76" s="2" t="s">
        <v>20</v>
      </c>
      <c r="N76" s="2" t="s">
        <v>43</v>
      </c>
      <c r="P76" s="4" t="s">
        <v>51</v>
      </c>
      <c r="R76" s="71" t="str">
        <f>MID(VLOOKUP($A76,Seqs!$A:$B,2,FALSE),VLOOKUP($A76,'NonXtal_SegEnds_Prot#'!A:AL,10,FALSE),1)</f>
        <v>D</v>
      </c>
      <c r="S76" s="102" t="str">
        <f>MID(VLOOKUP($A76,Seqs!$A:$B,2,FALSE),VLOOKUP($A76,'NonXtal_SegEnds_Prot#'!A:AL,10,FALSE)+6,1)</f>
        <v>L</v>
      </c>
      <c r="T76" s="102" t="str">
        <f>MID(VLOOKUP($A76,Seqs!$A:$B,2,FALSE),VLOOKUP($A76,'NonXtal_SegEnds_Prot#'!A:AL,10,FALSE)+7,1)</f>
        <v>V</v>
      </c>
      <c r="U76" s="102" t="str">
        <f>MID(VLOOKUP($A76,Seqs!$A:$B,2,FALSE),VLOOKUP($A76,'NonXtal_SegEnds_Prot#'!A:AL,10,FALSE)+8,1)</f>
        <v>M</v>
      </c>
      <c r="V76" s="102" t="str">
        <f>MID(VLOOKUP($A76,Seqs!$A:$B,2,FALSE),VLOOKUP($A76,'NonXtal_SegEnds_Prot#'!A:AL,10,FALSE)+9,1)</f>
        <v>P</v>
      </c>
      <c r="W76" s="71" t="str">
        <f>MID(VLOOKUP($A76,Seqs!$A:$B,2,FALSE),VLOOKUP($A76,'NonXtal_SegEnds_Prot#'!$A:$AL,22,FALSE)+6,1)</f>
        <v>I</v>
      </c>
      <c r="X76" s="102" t="str">
        <f>MID(VLOOKUP($A76,Seqs!$A:$B,2,FALSE),VLOOKUP($A76,'NonXtal_SegEnds_Prot#'!$A:$AL,22,FALSE)+7,1)</f>
        <v>S</v>
      </c>
      <c r="Y76" s="102" t="str">
        <f>MID(VLOOKUP($A76,Seqs!$A:$B,2,FALSE),VLOOKUP($A76,'NonXtal_SegEnds_Prot#'!$A:$AL,22,FALSE)+8,1)</f>
        <v>F</v>
      </c>
      <c r="Z76" s="102" t="str">
        <f>MID(VLOOKUP($A76,Seqs!$A:$B,2,FALSE),VLOOKUP($A76,'NonXtal_SegEnds_Prot#'!$A:$AL,22,FALSE)+9,1)</f>
        <v>I</v>
      </c>
      <c r="AA76" s="102" t="str">
        <f>MID(VLOOKUP($A76,Seqs!$A:$B,2,FALSE),VLOOKUP($A76,'NonXtal_SegEnds_Prot#'!$A:$AL,22,FALSE)+10,1)</f>
        <v>P</v>
      </c>
      <c r="AB76" s="71" t="str">
        <f>MID(VLOOKUP($A76,Seqs!$A:$B,2,FALSE),VLOOKUP($A76,'NonXtal_SegEnds_Prot#'!$A:$AL,28,FALSE)-4,1)</f>
        <v>S</v>
      </c>
      <c r="AC76" s="102" t="str">
        <f>MID(VLOOKUP($A76,Seqs!$A:$B,2,FALSE),VLOOKUP($A76,'NonXtal_SegEnds_Prot#'!$A:$AL,28,FALSE),1)</f>
        <v>P</v>
      </c>
    </row>
    <row r="77" spans="1:29" s="2" customFormat="1" x14ac:dyDescent="0.2">
      <c r="A77" s="2" t="s">
        <v>389</v>
      </c>
      <c r="B77" s="2" t="str">
        <f>LOWER(VLOOKUP(A77,Xtal_Templ!A:B,2,FALSE))</f>
        <v>ednrb_human</v>
      </c>
      <c r="C77" s="2" t="str">
        <f>VLOOKUP(A77,Classification!A:D,2,FALSE)</f>
        <v>A</v>
      </c>
      <c r="E77" s="2" t="s">
        <v>20</v>
      </c>
      <c r="K77" s="2" t="s">
        <v>59</v>
      </c>
      <c r="N77" s="2" t="s">
        <v>43</v>
      </c>
      <c r="P77" s="4" t="s">
        <v>51</v>
      </c>
      <c r="R77" s="71" t="str">
        <f>MID(VLOOKUP($A77,Seqs!$A:$B,2,FALSE),VLOOKUP($A77,'NonXtal_SegEnds_Prot#'!A:AL,10,FALSE),1)</f>
        <v>D</v>
      </c>
      <c r="S77" s="102" t="str">
        <f>MID(VLOOKUP($A77,Seqs!$A:$B,2,FALSE),VLOOKUP($A77,'NonXtal_SegEnds_Prot#'!A:AL,10,FALSE)+6,1)</f>
        <v>I</v>
      </c>
      <c r="T77" s="102" t="str">
        <f>MID(VLOOKUP($A77,Seqs!$A:$B,2,FALSE),VLOOKUP($A77,'NonXtal_SegEnds_Prot#'!A:AL,10,FALSE)+7,1)</f>
        <v>D</v>
      </c>
      <c r="U77" s="102" t="str">
        <f>MID(VLOOKUP($A77,Seqs!$A:$B,2,FALSE),VLOOKUP($A77,'NonXtal_SegEnds_Prot#'!A:AL,10,FALSE)+8,1)</f>
        <v>L</v>
      </c>
      <c r="V77" s="102" t="str">
        <f>MID(VLOOKUP($A77,Seqs!$A:$B,2,FALSE),VLOOKUP($A77,'NonXtal_SegEnds_Prot#'!A:AL,10,FALSE)+9,1)</f>
        <v>P</v>
      </c>
      <c r="W77" s="71" t="str">
        <f>MID(VLOOKUP($A77,Seqs!$A:$B,2,FALSE),VLOOKUP($A77,'NonXtal_SegEnds_Prot#'!$A:$AL,22,FALSE)+6,1)</f>
        <v>L</v>
      </c>
      <c r="X77" s="102" t="str">
        <f>MID(VLOOKUP($A77,Seqs!$A:$B,2,FALSE),VLOOKUP($A77,'NonXtal_SegEnds_Prot#'!$A:$AL,22,FALSE)+7,1)</f>
        <v>A</v>
      </c>
      <c r="Y77" s="102" t="str">
        <f>MID(VLOOKUP($A77,Seqs!$A:$B,2,FALSE),VLOOKUP($A77,'NonXtal_SegEnds_Prot#'!$A:$AL,22,FALSE)+8,1)</f>
        <v>I</v>
      </c>
      <c r="Z77" s="102" t="str">
        <f>MID(VLOOKUP($A77,Seqs!$A:$B,2,FALSE),VLOOKUP($A77,'NonXtal_SegEnds_Prot#'!$A:$AL,22,FALSE)+9,1)</f>
        <v>P</v>
      </c>
      <c r="AA77" s="102" t="str">
        <f>MID(VLOOKUP($A77,Seqs!$A:$B,2,FALSE),VLOOKUP($A77,'NonXtal_SegEnds_Prot#'!$A:$AL,22,FALSE)+10,1)</f>
        <v>E</v>
      </c>
      <c r="AB77" s="71" t="str">
        <f>MID(VLOOKUP($A77,Seqs!$A:$B,2,FALSE),VLOOKUP($A77,'NonXtal_SegEnds_Prot#'!$A:$AL,28,FALSE)-4,1)</f>
        <v>Y</v>
      </c>
      <c r="AC77" s="102" t="str">
        <f>MID(VLOOKUP($A77,Seqs!$A:$B,2,FALSE),VLOOKUP($A77,'NonXtal_SegEnds_Prot#'!$A:$AL,28,FALSE),1)</f>
        <v>P</v>
      </c>
    </row>
    <row r="78" spans="1:29" s="2" customFormat="1" x14ac:dyDescent="0.2">
      <c r="A78" s="2" t="s">
        <v>390</v>
      </c>
      <c r="B78" s="2" t="str">
        <f>LOWER(VLOOKUP(A78,Xtal_Templ!A:B,2,FALSE))</f>
        <v>ednrb_human</v>
      </c>
      <c r="C78" s="2" t="str">
        <f>VLOOKUP(A78,Classification!A:D,2,FALSE)</f>
        <v>A</v>
      </c>
      <c r="E78" s="2" t="s">
        <v>20</v>
      </c>
      <c r="K78" s="2" t="s">
        <v>59</v>
      </c>
      <c r="N78" s="2" t="s">
        <v>43</v>
      </c>
      <c r="P78" s="4" t="s">
        <v>51</v>
      </c>
      <c r="R78" s="71" t="str">
        <f>MID(VLOOKUP($A78,Seqs!$A:$B,2,FALSE),VLOOKUP($A78,'NonXtal_SegEnds_Prot#'!A:AL,10,FALSE),1)</f>
        <v>D</v>
      </c>
      <c r="S78" s="102" t="str">
        <f>MID(VLOOKUP($A78,Seqs!$A:$B,2,FALSE),VLOOKUP($A78,'NonXtal_SegEnds_Prot#'!A:AL,10,FALSE)+6,1)</f>
        <v>I</v>
      </c>
      <c r="T78" s="102" t="str">
        <f>MID(VLOOKUP($A78,Seqs!$A:$B,2,FALSE),VLOOKUP($A78,'NonXtal_SegEnds_Prot#'!A:AL,10,FALSE)+7,1)</f>
        <v>D</v>
      </c>
      <c r="U78" s="102" t="str">
        <f>MID(VLOOKUP($A78,Seqs!$A:$B,2,FALSE),VLOOKUP($A78,'NonXtal_SegEnds_Prot#'!A:AL,10,FALSE)+8,1)</f>
        <v>I</v>
      </c>
      <c r="V78" s="102" t="str">
        <f>MID(VLOOKUP($A78,Seqs!$A:$B,2,FALSE),VLOOKUP($A78,'NonXtal_SegEnds_Prot#'!A:AL,10,FALSE)+9,1)</f>
        <v>P</v>
      </c>
      <c r="W78" s="71" t="str">
        <f>MID(VLOOKUP($A78,Seqs!$A:$B,2,FALSE),VLOOKUP($A78,'NonXtal_SegEnds_Prot#'!$A:$AL,22,FALSE)+6,1)</f>
        <v>L</v>
      </c>
      <c r="X78" s="102" t="str">
        <f>MID(VLOOKUP($A78,Seqs!$A:$B,2,FALSE),VLOOKUP($A78,'NonXtal_SegEnds_Prot#'!$A:$AL,22,FALSE)+7,1)</f>
        <v>A</v>
      </c>
      <c r="Y78" s="102" t="str">
        <f>MID(VLOOKUP($A78,Seqs!$A:$B,2,FALSE),VLOOKUP($A78,'NonXtal_SegEnds_Prot#'!$A:$AL,22,FALSE)+8,1)</f>
        <v>V</v>
      </c>
      <c r="Z78" s="102" t="str">
        <f>MID(VLOOKUP($A78,Seqs!$A:$B,2,FALSE),VLOOKUP($A78,'NonXtal_SegEnds_Prot#'!$A:$AL,22,FALSE)+9,1)</f>
        <v>P</v>
      </c>
      <c r="AA78" s="102" t="str">
        <f>MID(VLOOKUP($A78,Seqs!$A:$B,2,FALSE),VLOOKUP($A78,'NonXtal_SegEnds_Prot#'!$A:$AL,22,FALSE)+10,1)</f>
        <v>E</v>
      </c>
      <c r="AB78" s="71" t="str">
        <f>MID(VLOOKUP($A78,Seqs!$A:$B,2,FALSE),VLOOKUP($A78,'NonXtal_SegEnds_Prot#'!$A:$AL,28,FALSE)-4,1)</f>
        <v>Y</v>
      </c>
      <c r="AC78" s="102" t="str">
        <f>MID(VLOOKUP($A78,Seqs!$A:$B,2,FALSE),VLOOKUP($A78,'NonXtal_SegEnds_Prot#'!$A:$AL,28,FALSE),1)</f>
        <v>P</v>
      </c>
    </row>
    <row r="79" spans="1:29" s="2" customFormat="1" x14ac:dyDescent="0.2">
      <c r="A79" s="2" t="s">
        <v>391</v>
      </c>
      <c r="B79" s="2" t="str">
        <f>LOWER(VLOOKUP(A79,Xtal_Templ!A:B,2,FALSE))</f>
        <v>ednrb_human</v>
      </c>
      <c r="C79" s="2" t="str">
        <f>VLOOKUP(A79,Classification!A:D,2,FALSE)</f>
        <v>A</v>
      </c>
      <c r="E79" s="2" t="s">
        <v>20</v>
      </c>
      <c r="K79" s="2" t="s">
        <v>59</v>
      </c>
      <c r="N79" s="2" t="s">
        <v>43</v>
      </c>
      <c r="P79" s="4" t="s">
        <v>51</v>
      </c>
      <c r="R79" s="71" t="str">
        <f>MID(VLOOKUP($A79,Seqs!$A:$B,2,FALSE),VLOOKUP($A79,'NonXtal_SegEnds_Prot#'!A:AL,10,FALSE),1)</f>
        <v>D</v>
      </c>
      <c r="S79" s="102" t="str">
        <f>MID(VLOOKUP($A79,Seqs!$A:$B,2,FALSE),VLOOKUP($A79,'NonXtal_SegEnds_Prot#'!A:AL,10,FALSE)+6,1)</f>
        <v>F</v>
      </c>
      <c r="T79" s="102" t="str">
        <f>MID(VLOOKUP($A79,Seqs!$A:$B,2,FALSE),VLOOKUP($A79,'NonXtal_SegEnds_Prot#'!A:AL,10,FALSE)+7,1)</f>
        <v>C</v>
      </c>
      <c r="U79" s="102" t="str">
        <f>MID(VLOOKUP($A79,Seqs!$A:$B,2,FALSE),VLOOKUP($A79,'NonXtal_SegEnds_Prot#'!A:AL,10,FALSE)+8,1)</f>
        <v>L</v>
      </c>
      <c r="V79" s="102" t="str">
        <f>MID(VLOOKUP($A79,Seqs!$A:$B,2,FALSE),VLOOKUP($A79,'NonXtal_SegEnds_Prot#'!A:AL,10,FALSE)+9,1)</f>
        <v>P</v>
      </c>
      <c r="W79" s="71" t="str">
        <f>MID(VLOOKUP($A79,Seqs!$A:$B,2,FALSE),VLOOKUP($A79,'NonXtal_SegEnds_Prot#'!$A:$AL,22,FALSE)+6,1)</f>
        <v>L</v>
      </c>
      <c r="X79" s="102" t="str">
        <f>MID(VLOOKUP($A79,Seqs!$A:$B,2,FALSE),VLOOKUP($A79,'NonXtal_SegEnds_Prot#'!$A:$AL,22,FALSE)+7,1)</f>
        <v>A</v>
      </c>
      <c r="Y79" s="102" t="str">
        <f>MID(VLOOKUP($A79,Seqs!$A:$B,2,FALSE),VLOOKUP($A79,'NonXtal_SegEnds_Prot#'!$A:$AL,22,FALSE)+8,1)</f>
        <v>V</v>
      </c>
      <c r="Z79" s="102" t="str">
        <f>MID(VLOOKUP($A79,Seqs!$A:$B,2,FALSE),VLOOKUP($A79,'NonXtal_SegEnds_Prot#'!$A:$AL,22,FALSE)+9,1)</f>
        <v>P</v>
      </c>
      <c r="AA79" s="102" t="str">
        <f>MID(VLOOKUP($A79,Seqs!$A:$B,2,FALSE),VLOOKUP($A79,'NonXtal_SegEnds_Prot#'!$A:$AL,22,FALSE)+10,1)</f>
        <v>E</v>
      </c>
      <c r="AB79" s="71" t="str">
        <f>MID(VLOOKUP($A79,Seqs!$A:$B,2,FALSE),VLOOKUP($A79,'NonXtal_SegEnds_Prot#'!$A:$AL,28,FALSE)-4,1)</f>
        <v>Y</v>
      </c>
      <c r="AC79" s="102" t="str">
        <f>MID(VLOOKUP($A79,Seqs!$A:$B,2,FALSE),VLOOKUP($A79,'NonXtal_SegEnds_Prot#'!$A:$AL,28,FALSE),1)</f>
        <v>P</v>
      </c>
    </row>
    <row r="80" spans="1:29" s="2" customFormat="1" x14ac:dyDescent="0.2">
      <c r="A80" s="2" t="s">
        <v>1392</v>
      </c>
      <c r="B80" s="2" t="str">
        <f>LOWER(VLOOKUP(A80,Xtal_Templ!A:B,2,FALSE))</f>
        <v>ffar1_human</v>
      </c>
      <c r="C80" s="2" t="str">
        <f>VLOOKUP(A80,Classification!A:D,2,FALSE)</f>
        <v>A</v>
      </c>
      <c r="N80" s="2" t="s">
        <v>43</v>
      </c>
      <c r="O80" s="2" t="s">
        <v>1554</v>
      </c>
      <c r="P80" s="4" t="s">
        <v>51</v>
      </c>
      <c r="R80" s="71" t="str">
        <f>MID(VLOOKUP($A80,Seqs!$A:$B,2,FALSE),VLOOKUP($A80,'NonXtal_SegEnds_Prot#'!A:AL,10,FALSE),1)</f>
        <v>D</v>
      </c>
      <c r="S80" s="102" t="str">
        <f>MID(VLOOKUP($A80,Seqs!$A:$B,2,FALSE),VLOOKUP($A80,'NonXtal_SegEnds_Prot#'!A:AL,10,FALSE)+6,1)</f>
        <v>S</v>
      </c>
      <c r="T80" s="102" t="str">
        <f>MID(VLOOKUP($A80,Seqs!$A:$B,2,FALSE),VLOOKUP($A80,'NonXtal_SegEnds_Prot#'!A:AL,10,FALSE)+7,1)</f>
        <v>L</v>
      </c>
      <c r="U80" s="102" t="str">
        <f>MID(VLOOKUP($A80,Seqs!$A:$B,2,FALSE),VLOOKUP($A80,'NonXtal_SegEnds_Prot#'!A:AL,10,FALSE)+8,1)</f>
        <v>P</v>
      </c>
      <c r="V80" s="102" t="str">
        <f>MID(VLOOKUP($A80,Seqs!$A:$B,2,FALSE),VLOOKUP($A80,'NonXtal_SegEnds_Prot#'!A:AL,10,FALSE)+9,1)</f>
        <v>L</v>
      </c>
      <c r="W80" s="71" t="str">
        <f>MID(VLOOKUP($A80,Seqs!$A:$B,2,FALSE),VLOOKUP($A80,'NonXtal_SegEnds_Prot#'!$A:$AL,22,FALSE)+6,1)</f>
        <v>H</v>
      </c>
      <c r="X80" s="102" t="str">
        <f>MID(VLOOKUP($A80,Seqs!$A:$B,2,FALSE),VLOOKUP($A80,'NonXtal_SegEnds_Prot#'!$A:$AL,22,FALSE)+7,1)</f>
        <v>L</v>
      </c>
      <c r="Y80" s="102" t="str">
        <f>MID(VLOOKUP($A80,Seqs!$A:$B,2,FALSE),VLOOKUP($A80,'NonXtal_SegEnds_Prot#'!$A:$AL,22,FALSE)+8,1)</f>
        <v>G</v>
      </c>
      <c r="Z80" s="102" t="str">
        <f>MID(VLOOKUP($A80,Seqs!$A:$B,2,FALSE),VLOOKUP($A80,'NonXtal_SegEnds_Prot#'!$A:$AL,22,FALSE)+9,1)</f>
        <v>L</v>
      </c>
      <c r="AA80" s="102" t="str">
        <f>MID(VLOOKUP($A80,Seqs!$A:$B,2,FALSE),VLOOKUP($A80,'NonXtal_SegEnds_Prot#'!$A:$AL,22,FALSE)+10,1)</f>
        <v>V</v>
      </c>
      <c r="AB80" s="71" t="str">
        <f>MID(VLOOKUP($A80,Seqs!$A:$B,2,FALSE),VLOOKUP($A80,'NonXtal_SegEnds_Prot#'!$A:$AL,28,FALSE)-4,1)</f>
        <v>L</v>
      </c>
      <c r="AC80" s="102" t="str">
        <f>MID(VLOOKUP($A80,Seqs!$A:$B,2,FALSE),VLOOKUP($A80,'NonXtal_SegEnds_Prot#'!$A:$AL,28,FALSE),1)</f>
        <v>P</v>
      </c>
    </row>
    <row r="81" spans="1:29" s="2" customFormat="1" x14ac:dyDescent="0.2">
      <c r="A81" s="2" t="s">
        <v>392</v>
      </c>
      <c r="B81" s="2" t="str">
        <f>LOWER(VLOOKUP(A81,Xtal_Templ!A:B,2,FALSE))</f>
        <v>ffar1_human</v>
      </c>
      <c r="C81" s="2" t="str">
        <f>VLOOKUP(A81,Classification!A:D,2,FALSE)</f>
        <v>A</v>
      </c>
      <c r="N81" s="2" t="s">
        <v>43</v>
      </c>
      <c r="O81" s="2" t="s">
        <v>1554</v>
      </c>
      <c r="P81" s="4" t="s">
        <v>51</v>
      </c>
      <c r="R81" s="71" t="str">
        <f>MID(VLOOKUP($A81,Seqs!$A:$B,2,FALSE),VLOOKUP($A81,'NonXtal_SegEnds_Prot#'!A:AL,10,FALSE),1)</f>
        <v>D</v>
      </c>
      <c r="S81" s="102" t="str">
        <f>MID(VLOOKUP($A81,Seqs!$A:$B,2,FALSE),VLOOKUP($A81,'NonXtal_SegEnds_Prot#'!A:AL,10,FALSE)+6,1)</f>
        <v>L</v>
      </c>
      <c r="T81" s="102" t="str">
        <f>MID(VLOOKUP($A81,Seqs!$A:$B,2,FALSE),VLOOKUP($A81,'NonXtal_SegEnds_Prot#'!A:AL,10,FALSE)+7,1)</f>
        <v>L</v>
      </c>
      <c r="U81" s="102" t="str">
        <f>MID(VLOOKUP($A81,Seqs!$A:$B,2,FALSE),VLOOKUP($A81,'NonXtal_SegEnds_Prot#'!A:AL,10,FALSE)+8,1)</f>
        <v>P</v>
      </c>
      <c r="V81" s="102" t="str">
        <f>MID(VLOOKUP($A81,Seqs!$A:$B,2,FALSE),VLOOKUP($A81,'NonXtal_SegEnds_Prot#'!A:AL,10,FALSE)+9,1)</f>
        <v>F</v>
      </c>
      <c r="W81" s="71" t="str">
        <f>MID(VLOOKUP($A81,Seqs!$A:$B,2,FALSE),VLOOKUP($A81,'NonXtal_SegEnds_Prot#'!$A:$AL,22,FALSE)+6,1)</f>
        <v>H</v>
      </c>
      <c r="X81" s="102" t="str">
        <f>MID(VLOOKUP($A81,Seqs!$A:$B,2,FALSE),VLOOKUP($A81,'NonXtal_SegEnds_Prot#'!$A:$AL,22,FALSE)+7,1)</f>
        <v>C</v>
      </c>
      <c r="Y81" s="102" t="str">
        <f>MID(VLOOKUP($A81,Seqs!$A:$B,2,FALSE),VLOOKUP($A81,'NonXtal_SegEnds_Prot#'!$A:$AL,22,FALSE)+8,1)</f>
        <v>T</v>
      </c>
      <c r="Z81" s="102" t="str">
        <f>MID(VLOOKUP($A81,Seqs!$A:$B,2,FALSE),VLOOKUP($A81,'NonXtal_SegEnds_Prot#'!$A:$AL,22,FALSE)+9,1)</f>
        <v>I</v>
      </c>
      <c r="AA81" s="102" t="str">
        <f>MID(VLOOKUP($A81,Seqs!$A:$B,2,FALSE),VLOOKUP($A81,'NonXtal_SegEnds_Prot#'!$A:$AL,22,FALSE)+10,1)</f>
        <v>V</v>
      </c>
      <c r="AB81" s="71" t="str">
        <f>MID(VLOOKUP($A81,Seqs!$A:$B,2,FALSE),VLOOKUP($A81,'NonXtal_SegEnds_Prot#'!$A:$AL,28,FALSE)-4,1)</f>
        <v>L</v>
      </c>
      <c r="AC81" s="102" t="str">
        <f>MID(VLOOKUP($A81,Seqs!$A:$B,2,FALSE),VLOOKUP($A81,'NonXtal_SegEnds_Prot#'!$A:$AL,28,FALSE),1)</f>
        <v>P</v>
      </c>
    </row>
    <row r="82" spans="1:29" s="2" customFormat="1" x14ac:dyDescent="0.2">
      <c r="A82" s="2" t="s">
        <v>393</v>
      </c>
      <c r="B82" s="2" t="str">
        <f>LOWER(VLOOKUP(A82,Xtal_Templ!A:B,2,FALSE))</f>
        <v>par1_human</v>
      </c>
      <c r="C82" s="2" t="str">
        <f>VLOOKUP(A82,Classification!A:D,2,FALSE)</f>
        <v>A</v>
      </c>
      <c r="N82" s="2" t="s">
        <v>43</v>
      </c>
      <c r="O82" s="2" t="s">
        <v>1554</v>
      </c>
      <c r="P82" s="4" t="s">
        <v>51</v>
      </c>
      <c r="R82" s="71" t="str">
        <f>MID(VLOOKUP($A82,Seqs!$A:$B,2,FALSE),VLOOKUP($A82,'NonXtal_SegEnds_Prot#'!A:AL,10,FALSE),1)</f>
        <v>D</v>
      </c>
      <c r="S82" s="102" t="str">
        <f>MID(VLOOKUP($A82,Seqs!$A:$B,2,FALSE),VLOOKUP($A82,'NonXtal_SegEnds_Prot#'!A:AL,10,FALSE)+6,1)</f>
        <v>F</v>
      </c>
      <c r="T82" s="102" t="str">
        <f>MID(VLOOKUP($A82,Seqs!$A:$B,2,FALSE),VLOOKUP($A82,'NonXtal_SegEnds_Prot#'!A:AL,10,FALSE)+7,1)</f>
        <v>L</v>
      </c>
      <c r="U82" s="102" t="str">
        <f>MID(VLOOKUP($A82,Seqs!$A:$B,2,FALSE),VLOOKUP($A82,'NonXtal_SegEnds_Prot#'!A:AL,10,FALSE)+8,1)</f>
        <v>P</v>
      </c>
      <c r="V82" s="102" t="str">
        <f>MID(VLOOKUP($A82,Seqs!$A:$B,2,FALSE),VLOOKUP($A82,'NonXtal_SegEnds_Prot#'!A:AL,10,FALSE)+9,1)</f>
        <v>F</v>
      </c>
      <c r="W82" s="71" t="str">
        <f>MID(VLOOKUP($A82,Seqs!$A:$B,2,FALSE),VLOOKUP($A82,'NonXtal_SegEnds_Prot#'!$A:$AL,22,FALSE)+6,1)</f>
        <v>H</v>
      </c>
      <c r="X82" s="102" t="str">
        <f>MID(VLOOKUP($A82,Seqs!$A:$B,2,FALSE),VLOOKUP($A82,'NonXtal_SegEnds_Prot#'!$A:$AL,22,FALSE)+7,1)</f>
        <v>C</v>
      </c>
      <c r="Y82" s="102" t="str">
        <f>MID(VLOOKUP($A82,Seqs!$A:$B,2,FALSE),VLOOKUP($A82,'NonXtal_SegEnds_Prot#'!$A:$AL,22,FALSE)+8,1)</f>
        <v>S</v>
      </c>
      <c r="Z82" s="102" t="str">
        <f>MID(VLOOKUP($A82,Seqs!$A:$B,2,FALSE),VLOOKUP($A82,'NonXtal_SegEnds_Prot#'!$A:$AL,22,FALSE)+9,1)</f>
        <v>V</v>
      </c>
      <c r="AA82" s="102" t="str">
        <f>MID(VLOOKUP($A82,Seqs!$A:$B,2,FALSE),VLOOKUP($A82,'NonXtal_SegEnds_Prot#'!$A:$AL,22,FALSE)+10,1)</f>
        <v>V</v>
      </c>
      <c r="AB82" s="71" t="str">
        <f>MID(VLOOKUP($A82,Seqs!$A:$B,2,FALSE),VLOOKUP($A82,'NonXtal_SegEnds_Prot#'!$A:$AL,28,FALSE)-4,1)</f>
        <v>L</v>
      </c>
      <c r="AC82" s="102" t="str">
        <f>MID(VLOOKUP($A82,Seqs!$A:$B,2,FALSE),VLOOKUP($A82,'NonXtal_SegEnds_Prot#'!$A:$AL,28,FALSE),1)</f>
        <v>P</v>
      </c>
    </row>
    <row r="83" spans="1:29" s="2" customFormat="1" x14ac:dyDescent="0.2">
      <c r="A83" s="2" t="s">
        <v>394</v>
      </c>
      <c r="B83" s="2" t="str">
        <f>LOWER(VLOOKUP(A83,Xtal_Templ!A:B,2,FALSE))</f>
        <v>oprk_human</v>
      </c>
      <c r="C83" s="2" t="str">
        <f>VLOOKUP(A83,Classification!A:D,2,FALSE)</f>
        <v>A</v>
      </c>
      <c r="K83" s="2" t="s">
        <v>59</v>
      </c>
      <c r="N83" s="2" t="s">
        <v>43</v>
      </c>
      <c r="O83" s="2" t="s">
        <v>1554</v>
      </c>
      <c r="P83" s="4" t="s">
        <v>51</v>
      </c>
      <c r="R83" s="71" t="str">
        <f>MID(VLOOKUP($A83,Seqs!$A:$B,2,FALSE),VLOOKUP($A83,'NonXtal_SegEnds_Prot#'!A:AL,10,FALSE),1)</f>
        <v>D</v>
      </c>
      <c r="S83" s="102" t="str">
        <f>MID(VLOOKUP($A83,Seqs!$A:$B,2,FALSE),VLOOKUP($A83,'NonXtal_SegEnds_Prot#'!A:AL,10,FALSE)+6,1)</f>
        <v>A</v>
      </c>
      <c r="T83" s="102" t="str">
        <f>MID(VLOOKUP($A83,Seqs!$A:$B,2,FALSE),VLOOKUP($A83,'NonXtal_SegEnds_Prot#'!A:AL,10,FALSE)+7,1)</f>
        <v>I</v>
      </c>
      <c r="U83" s="102" t="str">
        <f>MID(VLOOKUP($A83,Seqs!$A:$B,2,FALSE),VLOOKUP($A83,'NonXtal_SegEnds_Prot#'!A:AL,10,FALSE)+8,1)</f>
        <v>P</v>
      </c>
      <c r="V83" s="102" t="str">
        <f>MID(VLOOKUP($A83,Seqs!$A:$B,2,FALSE),VLOOKUP($A83,'NonXtal_SegEnds_Prot#'!A:AL,10,FALSE)+9,1)</f>
        <v>L</v>
      </c>
      <c r="W83" s="71" t="str">
        <f>MID(VLOOKUP($A83,Seqs!$A:$B,2,FALSE),VLOOKUP($A83,'NonXtal_SegEnds_Prot#'!$A:$AL,22,FALSE)+6,1)</f>
        <v>A</v>
      </c>
      <c r="X83" s="102" t="str">
        <f>MID(VLOOKUP($A83,Seqs!$A:$B,2,FALSE),VLOOKUP($A83,'NonXtal_SegEnds_Prot#'!$A:$AL,22,FALSE)+7,1)</f>
        <v>A</v>
      </c>
      <c r="Y83" s="102" t="str">
        <f>MID(VLOOKUP($A83,Seqs!$A:$B,2,FALSE),VLOOKUP($A83,'NonXtal_SegEnds_Prot#'!$A:$AL,22,FALSE)+8,1)</f>
        <v>L</v>
      </c>
      <c r="Z83" s="102" t="str">
        <f>MID(VLOOKUP($A83,Seqs!$A:$B,2,FALSE),VLOOKUP($A83,'NonXtal_SegEnds_Prot#'!$A:$AL,22,FALSE)+9,1)</f>
        <v>P</v>
      </c>
      <c r="AA83" s="102" t="str">
        <f>MID(VLOOKUP($A83,Seqs!$A:$B,2,FALSE),VLOOKUP($A83,'NonXtal_SegEnds_Prot#'!$A:$AL,22,FALSE)+10,1)</f>
        <v>L</v>
      </c>
      <c r="AB83" s="71" t="str">
        <f>MID(VLOOKUP($A83,Seqs!$A:$B,2,FALSE),VLOOKUP($A83,'NonXtal_SegEnds_Prot#'!$A:$AL,28,FALSE)-4,1)</f>
        <v>N</v>
      </c>
      <c r="AC83" s="102" t="str">
        <f>MID(VLOOKUP($A83,Seqs!$A:$B,2,FALSE),VLOOKUP($A83,'NonXtal_SegEnds_Prot#'!$A:$AL,28,FALSE),1)</f>
        <v>P</v>
      </c>
    </row>
    <row r="84" spans="1:29" s="2" customFormat="1" x14ac:dyDescent="0.2">
      <c r="A84" s="2" t="s">
        <v>395</v>
      </c>
      <c r="B84" s="2" t="str">
        <f>LOWER(VLOOKUP(A84,Xtal_Templ!A:B,2,FALSE))</f>
        <v>cxcr4_human</v>
      </c>
      <c r="C84" s="2" t="str">
        <f>VLOOKUP(A84,Classification!A:D,2,FALSE)</f>
        <v>A</v>
      </c>
      <c r="K84" s="2" t="s">
        <v>59</v>
      </c>
      <c r="N84" s="2" t="s">
        <v>43</v>
      </c>
      <c r="P84" s="4" t="s">
        <v>51</v>
      </c>
      <c r="R84" s="71" t="str">
        <f>MID(VLOOKUP($A84,Seqs!$A:$B,2,FALSE),VLOOKUP($A84,'NonXtal_SegEnds_Prot#'!A:AL,10,FALSE),1)</f>
        <v>D</v>
      </c>
      <c r="S84" s="102" t="str">
        <f>MID(VLOOKUP($A84,Seqs!$A:$B,2,FALSE),VLOOKUP($A84,'NonXtal_SegEnds_Prot#'!A:AL,10,FALSE)+6,1)</f>
        <v>T</v>
      </c>
      <c r="T84" s="102" t="str">
        <f>MID(VLOOKUP($A84,Seqs!$A:$B,2,FALSE),VLOOKUP($A84,'NonXtal_SegEnds_Prot#'!A:AL,10,FALSE)+7,1)</f>
        <v>L</v>
      </c>
      <c r="U84" s="102" t="str">
        <f>MID(VLOOKUP($A84,Seqs!$A:$B,2,FALSE),VLOOKUP($A84,'NonXtal_SegEnds_Prot#'!A:AL,10,FALSE)+8,1)</f>
        <v>P</v>
      </c>
      <c r="V84" s="102" t="str">
        <f>MID(VLOOKUP($A84,Seqs!$A:$B,2,FALSE),VLOOKUP($A84,'NonXtal_SegEnds_Prot#'!A:AL,10,FALSE)+9,1)</f>
        <v>F</v>
      </c>
      <c r="W84" s="71" t="str">
        <f>MID(VLOOKUP($A84,Seqs!$A:$B,2,FALSE),VLOOKUP($A84,'NonXtal_SegEnds_Prot#'!$A:$AL,22,FALSE)+6,1)</f>
        <v>L</v>
      </c>
      <c r="X84" s="102" t="str">
        <f>MID(VLOOKUP($A84,Seqs!$A:$B,2,FALSE),VLOOKUP($A84,'NonXtal_SegEnds_Prot#'!$A:$AL,22,FALSE)+7,1)</f>
        <v>T</v>
      </c>
      <c r="Y84" s="102" t="str">
        <f>MID(VLOOKUP($A84,Seqs!$A:$B,2,FALSE),VLOOKUP($A84,'NonXtal_SegEnds_Prot#'!$A:$AL,22,FALSE)+8,1)</f>
        <v>L</v>
      </c>
      <c r="Z84" s="102" t="str">
        <f>MID(VLOOKUP($A84,Seqs!$A:$B,2,FALSE),VLOOKUP($A84,'NonXtal_SegEnds_Prot#'!$A:$AL,22,FALSE)+9,1)</f>
        <v>P</v>
      </c>
      <c r="AA84" s="102" t="str">
        <f>MID(VLOOKUP($A84,Seqs!$A:$B,2,FALSE),VLOOKUP($A84,'NonXtal_SegEnds_Prot#'!$A:$AL,22,FALSE)+10,1)</f>
        <v>V</v>
      </c>
      <c r="AB84" s="71" t="str">
        <f>MID(VLOOKUP($A84,Seqs!$A:$B,2,FALSE),VLOOKUP($A84,'NonXtal_SegEnds_Prot#'!$A:$AL,28,FALSE)-4,1)</f>
        <v>G</v>
      </c>
      <c r="AC84" s="102" t="str">
        <f>MID(VLOOKUP($A84,Seqs!$A:$B,2,FALSE),VLOOKUP($A84,'NonXtal_SegEnds_Prot#'!$A:$AL,28,FALSE),1)</f>
        <v>P</v>
      </c>
    </row>
    <row r="85" spans="1:29" s="2" customFormat="1" x14ac:dyDescent="0.2">
      <c r="A85" s="2" t="s">
        <v>396</v>
      </c>
      <c r="B85" s="2" t="str">
        <f>LOWER(VLOOKUP(A85,Xtal_Templ!A:B,2,FALSE))</f>
        <v>cxcr4_human</v>
      </c>
      <c r="C85" s="2" t="str">
        <f>VLOOKUP(A85,Classification!A:D,2,FALSE)</f>
        <v>A</v>
      </c>
      <c r="K85" s="2" t="s">
        <v>59</v>
      </c>
      <c r="N85" s="2" t="s">
        <v>43</v>
      </c>
      <c r="P85" s="4" t="s">
        <v>51</v>
      </c>
      <c r="R85" s="71" t="str">
        <f>MID(VLOOKUP($A85,Seqs!$A:$B,2,FALSE),VLOOKUP($A85,'NonXtal_SegEnds_Prot#'!A:AL,10,FALSE),1)</f>
        <v>D</v>
      </c>
      <c r="S85" s="102" t="str">
        <f>MID(VLOOKUP($A85,Seqs!$A:$B,2,FALSE),VLOOKUP($A85,'NonXtal_SegEnds_Prot#'!A:AL,10,FALSE)+6,1)</f>
        <v>T</v>
      </c>
      <c r="T85" s="102" t="str">
        <f>MID(VLOOKUP($A85,Seqs!$A:$B,2,FALSE),VLOOKUP($A85,'NonXtal_SegEnds_Prot#'!A:AL,10,FALSE)+7,1)</f>
        <v>L</v>
      </c>
      <c r="U85" s="102" t="str">
        <f>MID(VLOOKUP($A85,Seqs!$A:$B,2,FALSE),VLOOKUP($A85,'NonXtal_SegEnds_Prot#'!A:AL,10,FALSE)+8,1)</f>
        <v>P</v>
      </c>
      <c r="V85" s="102" t="str">
        <f>MID(VLOOKUP($A85,Seqs!$A:$B,2,FALSE),VLOOKUP($A85,'NonXtal_SegEnds_Prot#'!A:AL,10,FALSE)+9,1)</f>
        <v>F</v>
      </c>
      <c r="W85" s="71" t="str">
        <f>MID(VLOOKUP($A85,Seqs!$A:$B,2,FALSE),VLOOKUP($A85,'NonXtal_SegEnds_Prot#'!$A:$AL,22,FALSE)+6,1)</f>
        <v>L</v>
      </c>
      <c r="X85" s="102" t="str">
        <f>MID(VLOOKUP($A85,Seqs!$A:$B,2,FALSE),VLOOKUP($A85,'NonXtal_SegEnds_Prot#'!$A:$AL,22,FALSE)+7,1)</f>
        <v>T</v>
      </c>
      <c r="Y85" s="102" t="str">
        <f>MID(VLOOKUP($A85,Seqs!$A:$B,2,FALSE),VLOOKUP($A85,'NonXtal_SegEnds_Prot#'!$A:$AL,22,FALSE)+8,1)</f>
        <v>L</v>
      </c>
      <c r="Z85" s="102" t="str">
        <f>MID(VLOOKUP($A85,Seqs!$A:$B,2,FALSE),VLOOKUP($A85,'NonXtal_SegEnds_Prot#'!$A:$AL,22,FALSE)+9,1)</f>
        <v>P</v>
      </c>
      <c r="AA85" s="102" t="str">
        <f>MID(VLOOKUP($A85,Seqs!$A:$B,2,FALSE),VLOOKUP($A85,'NonXtal_SegEnds_Prot#'!$A:$AL,22,FALSE)+10,1)</f>
        <v>V</v>
      </c>
      <c r="AB85" s="71" t="str">
        <f>MID(VLOOKUP($A85,Seqs!$A:$B,2,FALSE),VLOOKUP($A85,'NonXtal_SegEnds_Prot#'!$A:$AL,28,FALSE)-4,1)</f>
        <v>G</v>
      </c>
      <c r="AC85" s="102" t="str">
        <f>MID(VLOOKUP($A85,Seqs!$A:$B,2,FALSE),VLOOKUP($A85,'NonXtal_SegEnds_Prot#'!$A:$AL,28,FALSE),1)</f>
        <v>P</v>
      </c>
    </row>
    <row r="86" spans="1:29" s="2" customFormat="1" x14ac:dyDescent="0.2">
      <c r="A86" s="2" t="s">
        <v>397</v>
      </c>
      <c r="B86" s="2" t="str">
        <f>LOWER(VLOOKUP(A86,Xtal_Templ!A:B,2,FALSE))</f>
        <v>cxcr4_human</v>
      </c>
      <c r="C86" s="2" t="str">
        <f>VLOOKUP(A86,Classification!A:D,2,FALSE)</f>
        <v>A</v>
      </c>
      <c r="K86" s="2" t="s">
        <v>59</v>
      </c>
      <c r="N86" s="2" t="s">
        <v>43</v>
      </c>
      <c r="P86" s="4" t="s">
        <v>51</v>
      </c>
      <c r="R86" s="71" t="str">
        <f>MID(VLOOKUP($A86,Seqs!$A:$B,2,FALSE),VLOOKUP($A86,'NonXtal_SegEnds_Prot#'!A:AL,10,FALSE),1)</f>
        <v>D</v>
      </c>
      <c r="S86" s="102" t="str">
        <f>MID(VLOOKUP($A86,Seqs!$A:$B,2,FALSE),VLOOKUP($A86,'NonXtal_SegEnds_Prot#'!A:AL,10,FALSE)+6,1)</f>
        <v>I</v>
      </c>
      <c r="T86" s="102" t="str">
        <f>MID(VLOOKUP($A86,Seqs!$A:$B,2,FALSE),VLOOKUP($A86,'NonXtal_SegEnds_Prot#'!A:AL,10,FALSE)+7,1)</f>
        <v>L</v>
      </c>
      <c r="U86" s="102" t="str">
        <f>MID(VLOOKUP($A86,Seqs!$A:$B,2,FALSE),VLOOKUP($A86,'NonXtal_SegEnds_Prot#'!A:AL,10,FALSE)+8,1)</f>
        <v>P</v>
      </c>
      <c r="V86" s="102" t="str">
        <f>MID(VLOOKUP($A86,Seqs!$A:$B,2,FALSE),VLOOKUP($A86,'NonXtal_SegEnds_Prot#'!A:AL,10,FALSE)+9,1)</f>
        <v>F</v>
      </c>
      <c r="W86" s="71" t="str">
        <f>MID(VLOOKUP($A86,Seqs!$A:$B,2,FALSE),VLOOKUP($A86,'NonXtal_SegEnds_Prot#'!$A:$AL,22,FALSE)+6,1)</f>
        <v>L</v>
      </c>
      <c r="X86" s="102" t="str">
        <f>MID(VLOOKUP($A86,Seqs!$A:$B,2,FALSE),VLOOKUP($A86,'NonXtal_SegEnds_Prot#'!$A:$AL,22,FALSE)+7,1)</f>
        <v>T</v>
      </c>
      <c r="Y86" s="102" t="str">
        <f>MID(VLOOKUP($A86,Seqs!$A:$B,2,FALSE),VLOOKUP($A86,'NonXtal_SegEnds_Prot#'!$A:$AL,22,FALSE)+8,1)</f>
        <v>L</v>
      </c>
      <c r="Z86" s="102" t="str">
        <f>MID(VLOOKUP($A86,Seqs!$A:$B,2,FALSE),VLOOKUP($A86,'NonXtal_SegEnds_Prot#'!$A:$AL,22,FALSE)+9,1)</f>
        <v>P</v>
      </c>
      <c r="AA86" s="102" t="str">
        <f>MID(VLOOKUP($A86,Seqs!$A:$B,2,FALSE),VLOOKUP($A86,'NonXtal_SegEnds_Prot#'!$A:$AL,22,FALSE)+10,1)</f>
        <v>N</v>
      </c>
      <c r="AB86" s="71" t="str">
        <f>MID(VLOOKUP($A86,Seqs!$A:$B,2,FALSE),VLOOKUP($A86,'NonXtal_SegEnds_Prot#'!$A:$AL,28,FALSE)-4,1)</f>
        <v>G</v>
      </c>
      <c r="AC86" s="102" t="str">
        <f>MID(VLOOKUP($A86,Seqs!$A:$B,2,FALSE),VLOOKUP($A86,'NonXtal_SegEnds_Prot#'!$A:$AL,28,FALSE),1)</f>
        <v>P</v>
      </c>
    </row>
    <row r="87" spans="1:29" s="2" customFormat="1" x14ac:dyDescent="0.2">
      <c r="A87" s="2" t="s">
        <v>398</v>
      </c>
      <c r="B87" s="2" t="str">
        <f>LOWER(VLOOKUP(A87,Xtal_Templ!A:B,2,FALSE))</f>
        <v>aa2ar_human</v>
      </c>
      <c r="C87" s="2" t="str">
        <f>VLOOKUP(A87,Classification!A:D,2,FALSE)</f>
        <v>A</v>
      </c>
      <c r="P87" s="4" t="s">
        <v>51</v>
      </c>
      <c r="R87" s="71" t="str">
        <f>MID(VLOOKUP($A87,Seqs!$A:$B,2,FALSE),VLOOKUP($A87,'NonXtal_SegEnds_Prot#'!A:AL,10,FALSE),1)</f>
        <v>D</v>
      </c>
      <c r="S87" s="102" t="str">
        <f>MID(VLOOKUP($A87,Seqs!$A:$B,2,FALSE),VLOOKUP($A87,'NonXtal_SegEnds_Prot#'!A:AL,10,FALSE)+6,1)</f>
        <v>Y</v>
      </c>
      <c r="T87" s="102" t="str">
        <f>MID(VLOOKUP($A87,Seqs!$A:$B,2,FALSE),VLOOKUP($A87,'NonXtal_SegEnds_Prot#'!A:AL,10,FALSE)+7,1)</f>
        <v>L</v>
      </c>
      <c r="U87" s="102" t="str">
        <f>MID(VLOOKUP($A87,Seqs!$A:$B,2,FALSE),VLOOKUP($A87,'NonXtal_SegEnds_Prot#'!A:AL,10,FALSE)+8,1)</f>
        <v>L</v>
      </c>
      <c r="V87" s="102" t="str">
        <f>MID(VLOOKUP($A87,Seqs!$A:$B,2,FALSE),VLOOKUP($A87,'NonXtal_SegEnds_Prot#'!A:AL,10,FALSE)+9,1)</f>
        <v>L</v>
      </c>
      <c r="W87" s="71" t="str">
        <f>MID(VLOOKUP($A87,Seqs!$A:$B,2,FALSE),VLOOKUP($A87,'NonXtal_SegEnds_Prot#'!$A:$AL,22,FALSE)+6,1)</f>
        <v>A</v>
      </c>
      <c r="X87" s="102" t="str">
        <f>MID(VLOOKUP($A87,Seqs!$A:$B,2,FALSE),VLOOKUP($A87,'NonXtal_SegEnds_Prot#'!$A:$AL,22,FALSE)+7,1)</f>
        <v>A</v>
      </c>
      <c r="Y87" s="102" t="str">
        <f>MID(VLOOKUP($A87,Seqs!$A:$B,2,FALSE),VLOOKUP($A87,'NonXtal_SegEnds_Prot#'!$A:$AL,22,FALSE)+8,1)</f>
        <v>L</v>
      </c>
      <c r="Z87" s="102" t="str">
        <f>MID(VLOOKUP($A87,Seqs!$A:$B,2,FALSE),VLOOKUP($A87,'NonXtal_SegEnds_Prot#'!$A:$AL,22,FALSE)+9,1)</f>
        <v>F</v>
      </c>
      <c r="AA87" s="102" t="str">
        <f>MID(VLOOKUP($A87,Seqs!$A:$B,2,FALSE),VLOOKUP($A87,'NonXtal_SegEnds_Prot#'!$A:$AL,22,FALSE)+10,1)</f>
        <v>P</v>
      </c>
      <c r="AB87" s="71" t="str">
        <f>MID(VLOOKUP($A87,Seqs!$A:$B,2,FALSE),VLOOKUP($A87,'NonXtal_SegEnds_Prot#'!$A:$AL,28,FALSE)-4,1)</f>
        <v>L</v>
      </c>
      <c r="AC87" s="102" t="str">
        <f>MID(VLOOKUP($A87,Seqs!$A:$B,2,FALSE),VLOOKUP($A87,'NonXtal_SegEnds_Prot#'!$A:$AL,28,FALSE),1)</f>
        <v>A</v>
      </c>
    </row>
    <row r="88" spans="1:29" s="2" customFormat="1" x14ac:dyDescent="0.2">
      <c r="A88" s="2" t="s">
        <v>399</v>
      </c>
      <c r="B88" s="2" t="str">
        <f>LOWER(VLOOKUP(A88,Xtal_Templ!A:B,2,FALSE))</f>
        <v>oprm_mouse</v>
      </c>
      <c r="C88" s="2" t="str">
        <f>VLOOKUP(A88,Classification!A:D,2,FALSE)</f>
        <v>A</v>
      </c>
      <c r="E88" s="2" t="s">
        <v>20</v>
      </c>
      <c r="N88" s="2" t="s">
        <v>43</v>
      </c>
      <c r="P88" s="4" t="s">
        <v>51</v>
      </c>
      <c r="R88" s="71" t="str">
        <f>MID(VLOOKUP($A88,Seqs!$A:$B,2,FALSE),VLOOKUP($A88,'NonXtal_SegEnds_Prot#'!A:AL,10,FALSE),1)</f>
        <v>D</v>
      </c>
      <c r="S88" s="102" t="str">
        <f>MID(VLOOKUP($A88,Seqs!$A:$B,2,FALSE),VLOOKUP($A88,'NonXtal_SegEnds_Prot#'!A:AL,10,FALSE)+6,1)</f>
        <v>F</v>
      </c>
      <c r="T88" s="102" t="str">
        <f>MID(VLOOKUP($A88,Seqs!$A:$B,2,FALSE),VLOOKUP($A88,'NonXtal_SegEnds_Prot#'!A:AL,10,FALSE)+7,1)</f>
        <v>C</v>
      </c>
      <c r="U88" s="102" t="str">
        <f>MID(VLOOKUP($A88,Seqs!$A:$B,2,FALSE),VLOOKUP($A88,'NonXtal_SegEnds_Prot#'!A:AL,10,FALSE)+8,1)</f>
        <v>I</v>
      </c>
      <c r="V88" s="102" t="str">
        <f>MID(VLOOKUP($A88,Seqs!$A:$B,2,FALSE),VLOOKUP($A88,'NonXtal_SegEnds_Prot#'!A:AL,10,FALSE)+9,1)</f>
        <v>P</v>
      </c>
      <c r="W88" s="71" t="str">
        <f>MID(VLOOKUP($A88,Seqs!$A:$B,2,FALSE),VLOOKUP($A88,'NonXtal_SegEnds_Prot#'!$A:$AL,22,FALSE)+6,1)</f>
        <v>M</v>
      </c>
      <c r="X88" s="102" t="str">
        <f>MID(VLOOKUP($A88,Seqs!$A:$B,2,FALSE),VLOOKUP($A88,'NonXtal_SegEnds_Prot#'!$A:$AL,22,FALSE)+7,1)</f>
        <v>A</v>
      </c>
      <c r="Y88" s="102" t="str">
        <f>MID(VLOOKUP($A88,Seqs!$A:$B,2,FALSE),VLOOKUP($A88,'NonXtal_SegEnds_Prot#'!$A:$AL,22,FALSE)+8,1)</f>
        <v>S</v>
      </c>
      <c r="Z88" s="102" t="str">
        <f>MID(VLOOKUP($A88,Seqs!$A:$B,2,FALSE),VLOOKUP($A88,'NonXtal_SegEnds_Prot#'!$A:$AL,22,FALSE)+9,1)</f>
        <v>P</v>
      </c>
      <c r="AA88" s="102" t="str">
        <f>MID(VLOOKUP($A88,Seqs!$A:$B,2,FALSE),VLOOKUP($A88,'NonXtal_SegEnds_Prot#'!$A:$AL,22,FALSE)+10,1)</f>
        <v>V</v>
      </c>
      <c r="AB88" s="71" t="str">
        <f>MID(VLOOKUP($A88,Seqs!$A:$B,2,FALSE),VLOOKUP($A88,'NonXtal_SegEnds_Prot#'!$A:$AL,28,FALSE)-4,1)</f>
        <v>G</v>
      </c>
      <c r="AC88" s="102" t="str">
        <f>MID(VLOOKUP($A88,Seqs!$A:$B,2,FALSE),VLOOKUP($A88,'NonXtal_SegEnds_Prot#'!$A:$AL,28,FALSE),1)</f>
        <v>P</v>
      </c>
    </row>
    <row r="89" spans="1:29" s="2" customFormat="1" x14ac:dyDescent="0.2">
      <c r="A89" s="2" t="s">
        <v>400</v>
      </c>
      <c r="B89" s="2" t="str">
        <f>LOWER(VLOOKUP(A89,Xtal_Templ!A:B,2,FALSE))</f>
        <v>oprm_mouse</v>
      </c>
      <c r="C89" s="2" t="str">
        <f>VLOOKUP(A89,Classification!A:D,2,FALSE)</f>
        <v>A</v>
      </c>
      <c r="E89" s="2" t="s">
        <v>20</v>
      </c>
      <c r="K89" s="2" t="s">
        <v>59</v>
      </c>
      <c r="N89" s="2" t="s">
        <v>43</v>
      </c>
      <c r="P89" s="4" t="s">
        <v>51</v>
      </c>
      <c r="R89" s="71" t="str">
        <f>MID(VLOOKUP($A89,Seqs!$A:$B,2,FALSE),VLOOKUP($A89,'NonXtal_SegEnds_Prot#'!A:AL,10,FALSE),1)</f>
        <v>D</v>
      </c>
      <c r="S89" s="102" t="str">
        <f>MID(VLOOKUP($A89,Seqs!$A:$B,2,FALSE),VLOOKUP($A89,'NonXtal_SegEnds_Prot#'!A:AL,10,FALSE)+6,1)</f>
        <v>C</v>
      </c>
      <c r="T89" s="102" t="str">
        <f>MID(VLOOKUP($A89,Seqs!$A:$B,2,FALSE),VLOOKUP($A89,'NonXtal_SegEnds_Prot#'!A:AL,10,FALSE)+7,1)</f>
        <v>C</v>
      </c>
      <c r="U89" s="102" t="str">
        <f>MID(VLOOKUP($A89,Seqs!$A:$B,2,FALSE),VLOOKUP($A89,'NonXtal_SegEnds_Prot#'!A:AL,10,FALSE)+8,1)</f>
        <v>V</v>
      </c>
      <c r="V89" s="102" t="str">
        <f>MID(VLOOKUP($A89,Seqs!$A:$B,2,FALSE),VLOOKUP($A89,'NonXtal_SegEnds_Prot#'!A:AL,10,FALSE)+9,1)</f>
        <v>P</v>
      </c>
      <c r="W89" s="71" t="str">
        <f>MID(VLOOKUP($A89,Seqs!$A:$B,2,FALSE),VLOOKUP($A89,'NonXtal_SegEnds_Prot#'!$A:$AL,22,FALSE)+6,1)</f>
        <v>F</v>
      </c>
      <c r="X89" s="102" t="str">
        <f>MID(VLOOKUP($A89,Seqs!$A:$B,2,FALSE),VLOOKUP($A89,'NonXtal_SegEnds_Prot#'!$A:$AL,22,FALSE)+7,1)</f>
        <v>S</v>
      </c>
      <c r="Y89" s="102" t="str">
        <f>MID(VLOOKUP($A89,Seqs!$A:$B,2,FALSE),VLOOKUP($A89,'NonXtal_SegEnds_Prot#'!$A:$AL,22,FALSE)+8,1)</f>
        <v>G</v>
      </c>
      <c r="Z89" s="102" t="str">
        <f>MID(VLOOKUP($A89,Seqs!$A:$B,2,FALSE),VLOOKUP($A89,'NonXtal_SegEnds_Prot#'!$A:$AL,22,FALSE)+9,1)</f>
        <v>P</v>
      </c>
      <c r="AA89" s="102" t="str">
        <f>MID(VLOOKUP($A89,Seqs!$A:$B,2,FALSE),VLOOKUP($A89,'NonXtal_SegEnds_Prot#'!$A:$AL,22,FALSE)+10,1)</f>
        <v>Y</v>
      </c>
      <c r="AB89" s="71" t="str">
        <f>MID(VLOOKUP($A89,Seqs!$A:$B,2,FALSE),VLOOKUP($A89,'NonXtal_SegEnds_Prot#'!$A:$AL,28,FALSE)-4,1)</f>
        <v>S</v>
      </c>
      <c r="AC89" s="102" t="str">
        <f>MID(VLOOKUP($A89,Seqs!$A:$B,2,FALSE),VLOOKUP($A89,'NonXtal_SegEnds_Prot#'!$A:$AL,28,FALSE),1)</f>
        <v>P</v>
      </c>
    </row>
    <row r="90" spans="1:29" s="2" customFormat="1" x14ac:dyDescent="0.2">
      <c r="A90" s="2" t="s">
        <v>401</v>
      </c>
      <c r="B90" s="2" t="str">
        <f>LOWER(VLOOKUP(A90,Xtal_Templ!A:B,2,FALSE))</f>
        <v>oprm_mouse</v>
      </c>
      <c r="C90" s="2" t="str">
        <f>VLOOKUP(A90,Classification!A:D,2,FALSE)</f>
        <v>A</v>
      </c>
      <c r="E90" s="2" t="s">
        <v>20</v>
      </c>
      <c r="K90" s="2" t="s">
        <v>59</v>
      </c>
      <c r="N90" s="2" t="s">
        <v>43</v>
      </c>
      <c r="P90" s="4" t="s">
        <v>51</v>
      </c>
      <c r="R90" s="71" t="str">
        <f>MID(VLOOKUP($A90,Seqs!$A:$B,2,FALSE),VLOOKUP($A90,'NonXtal_SegEnds_Prot#'!A:AL,10,FALSE),1)</f>
        <v>D</v>
      </c>
      <c r="S90" s="102" t="str">
        <f>MID(VLOOKUP($A90,Seqs!$A:$B,2,FALSE),VLOOKUP($A90,'NonXtal_SegEnds_Prot#'!A:AL,10,FALSE)+6,1)</f>
        <v>C</v>
      </c>
      <c r="T90" s="102" t="str">
        <f>MID(VLOOKUP($A90,Seqs!$A:$B,2,FALSE),VLOOKUP($A90,'NonXtal_SegEnds_Prot#'!A:AL,10,FALSE)+7,1)</f>
        <v>C</v>
      </c>
      <c r="U90" s="102" t="str">
        <f>MID(VLOOKUP($A90,Seqs!$A:$B,2,FALSE),VLOOKUP($A90,'NonXtal_SegEnds_Prot#'!A:AL,10,FALSE)+8,1)</f>
        <v>V</v>
      </c>
      <c r="V90" s="102" t="str">
        <f>MID(VLOOKUP($A90,Seqs!$A:$B,2,FALSE),VLOOKUP($A90,'NonXtal_SegEnds_Prot#'!A:AL,10,FALSE)+9,1)</f>
        <v>P</v>
      </c>
      <c r="W90" s="71" t="str">
        <f>MID(VLOOKUP($A90,Seqs!$A:$B,2,FALSE),VLOOKUP($A90,'NonXtal_SegEnds_Prot#'!$A:$AL,22,FALSE)+6,1)</f>
        <v>F</v>
      </c>
      <c r="X90" s="102" t="str">
        <f>MID(VLOOKUP($A90,Seqs!$A:$B,2,FALSE),VLOOKUP($A90,'NonXtal_SegEnds_Prot#'!$A:$AL,22,FALSE)+7,1)</f>
        <v>S</v>
      </c>
      <c r="Y90" s="102" t="str">
        <f>MID(VLOOKUP($A90,Seqs!$A:$B,2,FALSE),VLOOKUP($A90,'NonXtal_SegEnds_Prot#'!$A:$AL,22,FALSE)+8,1)</f>
        <v>A</v>
      </c>
      <c r="Z90" s="102" t="str">
        <f>MID(VLOOKUP($A90,Seqs!$A:$B,2,FALSE),VLOOKUP($A90,'NonXtal_SegEnds_Prot#'!$A:$AL,22,FALSE)+9,1)</f>
        <v>P</v>
      </c>
      <c r="AA90" s="102" t="str">
        <f>MID(VLOOKUP($A90,Seqs!$A:$B,2,FALSE),VLOOKUP($A90,'NonXtal_SegEnds_Prot#'!$A:$AL,22,FALSE)+10,1)</f>
        <v>Y</v>
      </c>
      <c r="AB90" s="71" t="str">
        <f>MID(VLOOKUP($A90,Seqs!$A:$B,2,FALSE),VLOOKUP($A90,'NonXtal_SegEnds_Prot#'!$A:$AL,28,FALSE)-4,1)</f>
        <v>G</v>
      </c>
      <c r="AC90" s="102" t="str">
        <f>MID(VLOOKUP($A90,Seqs!$A:$B,2,FALSE),VLOOKUP($A90,'NonXtal_SegEnds_Prot#'!$A:$AL,28,FALSE),1)</f>
        <v>P</v>
      </c>
    </row>
    <row r="91" spans="1:29" s="2" customFormat="1" x14ac:dyDescent="0.2">
      <c r="A91" s="2" t="s">
        <v>402</v>
      </c>
      <c r="B91" s="2" t="str">
        <f>LOWER(VLOOKUP(A91,Xtal_Templ!A:B,2,FALSE))</f>
        <v>ox2r_human</v>
      </c>
      <c r="C91" s="2" t="str">
        <f>VLOOKUP(A91,Classification!A:D,2,FALSE)</f>
        <v>A</v>
      </c>
      <c r="E91" s="2" t="s">
        <v>20</v>
      </c>
      <c r="K91" s="2" t="s">
        <v>59</v>
      </c>
      <c r="N91" s="2" t="s">
        <v>43</v>
      </c>
      <c r="P91" s="4" t="s">
        <v>51</v>
      </c>
      <c r="R91" s="71" t="str">
        <f>MID(VLOOKUP($A91,Seqs!$A:$B,2,FALSE),VLOOKUP($A91,'NonXtal_SegEnds_Prot#'!A:AL,10,FALSE),1)</f>
        <v>D</v>
      </c>
      <c r="S91" s="102" t="str">
        <f>MID(VLOOKUP($A91,Seqs!$A:$B,2,FALSE),VLOOKUP($A91,'NonXtal_SegEnds_Prot#'!A:AL,10,FALSE)+6,1)</f>
        <v>A</v>
      </c>
      <c r="T91" s="102" t="str">
        <f>MID(VLOOKUP($A91,Seqs!$A:$B,2,FALSE),VLOOKUP($A91,'NonXtal_SegEnds_Prot#'!A:AL,10,FALSE)+7,1)</f>
        <v>C</v>
      </c>
      <c r="U91" s="102" t="str">
        <f>MID(VLOOKUP($A91,Seqs!$A:$B,2,FALSE),VLOOKUP($A91,'NonXtal_SegEnds_Prot#'!A:AL,10,FALSE)+8,1)</f>
        <v>M</v>
      </c>
      <c r="V91" s="102" t="str">
        <f>MID(VLOOKUP($A91,Seqs!$A:$B,2,FALSE),VLOOKUP($A91,'NonXtal_SegEnds_Prot#'!A:AL,10,FALSE)+9,1)</f>
        <v>P</v>
      </c>
      <c r="W91" s="71" t="str">
        <f>MID(VLOOKUP($A91,Seqs!$A:$B,2,FALSE),VLOOKUP($A91,'NonXtal_SegEnds_Prot#'!$A:$AL,22,FALSE)+6,1)</f>
        <v>L</v>
      </c>
      <c r="X91" s="102" t="str">
        <f>MID(VLOOKUP($A91,Seqs!$A:$B,2,FALSE),VLOOKUP($A91,'NonXtal_SegEnds_Prot#'!$A:$AL,22,FALSE)+7,1)</f>
        <v>M</v>
      </c>
      <c r="Y91" s="102" t="str">
        <f>MID(VLOOKUP($A91,Seqs!$A:$B,2,FALSE),VLOOKUP($A91,'NonXtal_SegEnds_Prot#'!$A:$AL,22,FALSE)+8,1)</f>
        <v>V</v>
      </c>
      <c r="Z91" s="102" t="str">
        <f>MID(VLOOKUP($A91,Seqs!$A:$B,2,FALSE),VLOOKUP($A91,'NonXtal_SegEnds_Prot#'!$A:$AL,22,FALSE)+9,1)</f>
        <v>P</v>
      </c>
      <c r="AA91" s="102" t="str">
        <f>MID(VLOOKUP($A91,Seqs!$A:$B,2,FALSE),VLOOKUP($A91,'NonXtal_SegEnds_Prot#'!$A:$AL,22,FALSE)+10,1)</f>
        <v>Y</v>
      </c>
      <c r="AB91" s="71" t="str">
        <f>MID(VLOOKUP($A91,Seqs!$A:$B,2,FALSE),VLOOKUP($A91,'NonXtal_SegEnds_Prot#'!$A:$AL,28,FALSE)-4,1)</f>
        <v>L</v>
      </c>
      <c r="AC91" s="102" t="str">
        <f>MID(VLOOKUP($A91,Seqs!$A:$B,2,FALSE),VLOOKUP($A91,'NonXtal_SegEnds_Prot#'!$A:$AL,28,FALSE),1)</f>
        <v>P</v>
      </c>
    </row>
    <row r="92" spans="1:29" s="2" customFormat="1" x14ac:dyDescent="0.2">
      <c r="A92" s="2" t="s">
        <v>403</v>
      </c>
      <c r="B92" s="2" t="str">
        <f>LOWER(VLOOKUP(A92,Xtal_Templ!A:B,2,FALSE))</f>
        <v>ntr1_rat</v>
      </c>
      <c r="C92" s="2" t="str">
        <f>VLOOKUP(A92,Classification!A:D,2,FALSE)</f>
        <v>A</v>
      </c>
      <c r="K92" s="2" t="s">
        <v>59</v>
      </c>
      <c r="P92" s="4" t="s">
        <v>51</v>
      </c>
      <c r="R92" s="71" t="str">
        <f>MID(VLOOKUP($A92,Seqs!$A:$B,2,FALSE),VLOOKUP($A92,'NonXtal_SegEnds_Prot#'!A:AL,10,FALSE),1)</f>
        <v>D</v>
      </c>
      <c r="S92" s="102" t="str">
        <f>MID(VLOOKUP($A92,Seqs!$A:$B,2,FALSE),VLOOKUP($A92,'NonXtal_SegEnds_Prot#'!A:AL,10,FALSE)+6,1)</f>
        <v>C</v>
      </c>
      <c r="T92" s="102" t="str">
        <f>MID(VLOOKUP($A92,Seqs!$A:$B,2,FALSE),VLOOKUP($A92,'NonXtal_SegEnds_Prot#'!A:AL,10,FALSE)+7,1)</f>
        <v>M</v>
      </c>
      <c r="U92" s="102" t="str">
        <f>MID(VLOOKUP($A92,Seqs!$A:$B,2,FALSE),VLOOKUP($A92,'NonXtal_SegEnds_Prot#'!A:AL,10,FALSE)+8,1)</f>
        <v>P</v>
      </c>
      <c r="V92" s="102" t="str">
        <f>MID(VLOOKUP($A92,Seqs!$A:$B,2,FALSE),VLOOKUP($A92,'NonXtal_SegEnds_Prot#'!A:AL,10,FALSE)+9,1)</f>
        <v>L</v>
      </c>
      <c r="W92" s="71" t="str">
        <f>MID(VLOOKUP($A92,Seqs!$A:$B,2,FALSE),VLOOKUP($A92,'NonXtal_SegEnds_Prot#'!$A:$AL,22,FALSE)+6,1)</f>
        <v>S</v>
      </c>
      <c r="X92" s="102" t="str">
        <f>MID(VLOOKUP($A92,Seqs!$A:$B,2,FALSE),VLOOKUP($A92,'NonXtal_SegEnds_Prot#'!$A:$AL,22,FALSE)+7,1)</f>
        <v>A</v>
      </c>
      <c r="Y92" s="102" t="str">
        <f>MID(VLOOKUP($A92,Seqs!$A:$B,2,FALSE),VLOOKUP($A92,'NonXtal_SegEnds_Prot#'!$A:$AL,22,FALSE)+8,1)</f>
        <v>G</v>
      </c>
      <c r="Z92" s="102" t="str">
        <f>MID(VLOOKUP($A92,Seqs!$A:$B,2,FALSE),VLOOKUP($A92,'NonXtal_SegEnds_Prot#'!$A:$AL,22,FALSE)+9,1)</f>
        <v>P</v>
      </c>
      <c r="AA92" s="102" t="str">
        <f>MID(VLOOKUP($A92,Seqs!$A:$B,2,FALSE),VLOOKUP($A92,'NonXtal_SegEnds_Prot#'!$A:$AL,22,FALSE)+10,1)</f>
        <v>I</v>
      </c>
      <c r="AB92" s="71" t="str">
        <f>MID(VLOOKUP($A92,Seqs!$A:$B,2,FALSE),VLOOKUP($A92,'NonXtal_SegEnds_Prot#'!$A:$AL,28,FALSE)-4,1)</f>
        <v>F</v>
      </c>
      <c r="AC92" s="102" t="str">
        <f>MID(VLOOKUP($A92,Seqs!$A:$B,2,FALSE),VLOOKUP($A92,'NonXtal_SegEnds_Prot#'!$A:$AL,28,FALSE),1)</f>
        <v>P</v>
      </c>
    </row>
    <row r="93" spans="1:29" s="2" customFormat="1" x14ac:dyDescent="0.2">
      <c r="A93" s="2" t="s">
        <v>404</v>
      </c>
      <c r="B93" s="2" t="str">
        <f>LOWER(VLOOKUP(A93,Xtal_Templ!A:B,2,FALSE))</f>
        <v>oprm_mouse</v>
      </c>
      <c r="C93" s="2" t="str">
        <f>VLOOKUP(A93,Classification!A:D,2,FALSE)</f>
        <v>A</v>
      </c>
      <c r="K93" s="2" t="s">
        <v>59</v>
      </c>
      <c r="N93" s="2" t="s">
        <v>43</v>
      </c>
      <c r="P93" s="4" t="s">
        <v>51</v>
      </c>
      <c r="R93" s="71" t="str">
        <f>MID(VLOOKUP($A93,Seqs!$A:$B,2,FALSE),VLOOKUP($A93,'NonXtal_SegEnds_Prot#'!A:AL,10,FALSE),1)</f>
        <v>L</v>
      </c>
      <c r="S93" s="102" t="str">
        <f>MID(VLOOKUP($A93,Seqs!$A:$B,2,FALSE),VLOOKUP($A93,'NonXtal_SegEnds_Prot#'!A:AL,10,FALSE)+6,1)</f>
        <v>V</v>
      </c>
      <c r="T93" s="102" t="str">
        <f>MID(VLOOKUP($A93,Seqs!$A:$B,2,FALSE),VLOOKUP($A93,'NonXtal_SegEnds_Prot#'!A:AL,10,FALSE)+7,1)</f>
        <v>M</v>
      </c>
      <c r="U93" s="102" t="str">
        <f>MID(VLOOKUP($A93,Seqs!$A:$B,2,FALSE),VLOOKUP($A93,'NonXtal_SegEnds_Prot#'!A:AL,10,FALSE)+8,1)</f>
        <v>P</v>
      </c>
      <c r="V93" s="102" t="str">
        <f>MID(VLOOKUP($A93,Seqs!$A:$B,2,FALSE),VLOOKUP($A93,'NonXtal_SegEnds_Prot#'!A:AL,10,FALSE)+9,1)</f>
        <v>L</v>
      </c>
      <c r="W93" s="71" t="str">
        <f>MID(VLOOKUP($A93,Seqs!$A:$B,2,FALSE),VLOOKUP($A93,'NonXtal_SegEnds_Prot#'!$A:$AL,22,FALSE)+6,1)</f>
        <v>F</v>
      </c>
      <c r="X93" s="102" t="str">
        <f>MID(VLOOKUP($A93,Seqs!$A:$B,2,FALSE),VLOOKUP($A93,'NonXtal_SegEnds_Prot#'!$A:$AL,22,FALSE)+7,1)</f>
        <v>A</v>
      </c>
      <c r="Y93" s="102" t="str">
        <f>MID(VLOOKUP($A93,Seqs!$A:$B,2,FALSE),VLOOKUP($A93,'NonXtal_SegEnds_Prot#'!$A:$AL,22,FALSE)+8,1)</f>
        <v>G</v>
      </c>
      <c r="Z93" s="102" t="str">
        <f>MID(VLOOKUP($A93,Seqs!$A:$B,2,FALSE),VLOOKUP($A93,'NonXtal_SegEnds_Prot#'!$A:$AL,22,FALSE)+9,1)</f>
        <v>P</v>
      </c>
      <c r="AA93" s="102" t="str">
        <f>MID(VLOOKUP($A93,Seqs!$A:$B,2,FALSE),VLOOKUP($A93,'NonXtal_SegEnds_Prot#'!$A:$AL,22,FALSE)+10,1)</f>
        <v>Q</v>
      </c>
      <c r="AB93" s="71" t="str">
        <f>MID(VLOOKUP($A93,Seqs!$A:$B,2,FALSE),VLOOKUP($A93,'NonXtal_SegEnds_Prot#'!$A:$AL,28,FALSE)-4,1)</f>
        <v>L</v>
      </c>
      <c r="AC93" s="102" t="str">
        <f>MID(VLOOKUP($A93,Seqs!$A:$B,2,FALSE),VLOOKUP($A93,'NonXtal_SegEnds_Prot#'!$A:$AL,28,FALSE),1)</f>
        <v>P</v>
      </c>
    </row>
    <row r="94" spans="1:29" s="2" customFormat="1" x14ac:dyDescent="0.2">
      <c r="A94" s="2" t="s">
        <v>406</v>
      </c>
      <c r="B94" s="2" t="str">
        <f>LOWER(VLOOKUP(A94,Xtal_Templ!A:B,2,FALSE))</f>
        <v>adrb1_melga</v>
      </c>
      <c r="C94" s="2" t="str">
        <f>VLOOKUP(A94,Classification!A:D,2,FALSE)</f>
        <v>A</v>
      </c>
      <c r="E94" s="2" t="s">
        <v>20</v>
      </c>
      <c r="P94" s="4" t="s">
        <v>51</v>
      </c>
      <c r="R94" s="71" t="str">
        <f>MID(VLOOKUP($A94,Seqs!$A:$B,2,FALSE),VLOOKUP($A94,'NonXtal_SegEnds_Prot#'!A:AL,10,FALSE),1)</f>
        <v>D</v>
      </c>
      <c r="S94" s="102" t="str">
        <f>MID(VLOOKUP($A94,Seqs!$A:$B,2,FALSE),VLOOKUP($A94,'NonXtal_SegEnds_Prot#'!A:AL,10,FALSE)+6,1)</f>
        <v>L</v>
      </c>
      <c r="T94" s="102" t="str">
        <f>MID(VLOOKUP($A94,Seqs!$A:$B,2,FALSE),VLOOKUP($A94,'NonXtal_SegEnds_Prot#'!A:AL,10,FALSE)+7,1)</f>
        <v>V</v>
      </c>
      <c r="U94" s="102" t="str">
        <f>MID(VLOOKUP($A94,Seqs!$A:$B,2,FALSE),VLOOKUP($A94,'NonXtal_SegEnds_Prot#'!A:AL,10,FALSE)+8,1)</f>
        <v>A</v>
      </c>
      <c r="V94" s="102" t="str">
        <f>MID(VLOOKUP($A94,Seqs!$A:$B,2,FALSE),VLOOKUP($A94,'NonXtal_SegEnds_Prot#'!A:AL,10,FALSE)+9,1)</f>
        <v>P</v>
      </c>
      <c r="W94" s="71" t="str">
        <f>MID(VLOOKUP($A94,Seqs!$A:$B,2,FALSE),VLOOKUP($A94,'NonXtal_SegEnds_Prot#'!$A:$AL,22,FALSE)+6,1)</f>
        <v>Q</v>
      </c>
      <c r="X94" s="102" t="str">
        <f>MID(VLOOKUP($A94,Seqs!$A:$B,2,FALSE),VLOOKUP($A94,'NonXtal_SegEnds_Prot#'!$A:$AL,22,FALSE)+7,1)</f>
        <v>S</v>
      </c>
      <c r="Y94" s="102" t="str">
        <f>MID(VLOOKUP($A94,Seqs!$A:$B,2,FALSE),VLOOKUP($A94,'NonXtal_SegEnds_Prot#'!$A:$AL,22,FALSE)+8,1)</f>
        <v>T</v>
      </c>
      <c r="Z94" s="102" t="str">
        <f>MID(VLOOKUP($A94,Seqs!$A:$B,2,FALSE),VLOOKUP($A94,'NonXtal_SegEnds_Prot#'!$A:$AL,22,FALSE)+9,1)</f>
        <v>P</v>
      </c>
      <c r="AA94" s="102" t="str">
        <f>MID(VLOOKUP($A94,Seqs!$A:$B,2,FALSE),VLOOKUP($A94,'NonXtal_SegEnds_Prot#'!$A:$AL,22,FALSE)+10,1)</f>
        <v>P</v>
      </c>
      <c r="AB94" s="71" t="str">
        <f>MID(VLOOKUP($A94,Seqs!$A:$B,2,FALSE),VLOOKUP($A94,'NonXtal_SegEnds_Prot#'!$A:$AL,28,FALSE)-4,1)</f>
        <v>F</v>
      </c>
      <c r="AC94" s="102" t="str">
        <f>MID(VLOOKUP($A94,Seqs!$A:$B,2,FALSE),VLOOKUP($A94,'NonXtal_SegEnds_Prot#'!$A:$AL,28,FALSE),1)</f>
        <v>P</v>
      </c>
    </row>
    <row r="95" spans="1:29" s="2" customFormat="1" x14ac:dyDescent="0.2">
      <c r="A95" s="2" t="s">
        <v>407</v>
      </c>
      <c r="B95" s="2" t="str">
        <f>LOWER(VLOOKUP(A95,Xtal_Templ!A:B,2,FALSE))</f>
        <v>s1pr1_human</v>
      </c>
      <c r="C95" s="2" t="str">
        <f>VLOOKUP(A95,Classification!A:D,2,FALSE)</f>
        <v>A</v>
      </c>
      <c r="N95" s="2" t="s">
        <v>43</v>
      </c>
      <c r="P95" s="4" t="s">
        <v>51</v>
      </c>
      <c r="R95" s="71" t="str">
        <f>MID(VLOOKUP($A95,Seqs!$A:$B,2,FALSE),VLOOKUP($A95,'NonXtal_SegEnds_Prot#'!A:AL,10,FALSE),1)</f>
        <v>D</v>
      </c>
      <c r="S95" s="102" t="str">
        <f>MID(VLOOKUP($A95,Seqs!$A:$B,2,FALSE),VLOOKUP($A95,'NonXtal_SegEnds_Prot#'!A:AL,10,FALSE)+6,1)</f>
        <v>A</v>
      </c>
      <c r="T95" s="102" t="str">
        <f>MID(VLOOKUP($A95,Seqs!$A:$B,2,FALSE),VLOOKUP($A95,'NonXtal_SegEnds_Prot#'!A:AL,10,FALSE)+7,1)</f>
        <v>I</v>
      </c>
      <c r="U95" s="102" t="str">
        <f>MID(VLOOKUP($A95,Seqs!$A:$B,2,FALSE),VLOOKUP($A95,'NonXtal_SegEnds_Prot#'!A:AL,10,FALSE)+8,1)</f>
        <v>S</v>
      </c>
      <c r="V95" s="102" t="str">
        <f>MID(VLOOKUP($A95,Seqs!$A:$B,2,FALSE),VLOOKUP($A95,'NonXtal_SegEnds_Prot#'!A:AL,10,FALSE)+9,1)</f>
        <v>G</v>
      </c>
      <c r="W95" s="71" t="str">
        <f>MID(VLOOKUP($A95,Seqs!$A:$B,2,FALSE),VLOOKUP($A95,'NonXtal_SegEnds_Prot#'!$A:$AL,22,FALSE)+6,1)</f>
        <v>I</v>
      </c>
      <c r="X95" s="102" t="str">
        <f>MID(VLOOKUP($A95,Seqs!$A:$B,2,FALSE),VLOOKUP($A95,'NonXtal_SegEnds_Prot#'!$A:$AL,22,FALSE)+7,1)</f>
        <v>G</v>
      </c>
      <c r="Y95" s="102" t="str">
        <f>MID(VLOOKUP($A95,Seqs!$A:$B,2,FALSE),VLOOKUP($A95,'NonXtal_SegEnds_Prot#'!$A:$AL,22,FALSE)+8,1)</f>
        <v>F</v>
      </c>
      <c r="Z95" s="102" t="str">
        <f>MID(VLOOKUP($A95,Seqs!$A:$B,2,FALSE),VLOOKUP($A95,'NonXtal_SegEnds_Prot#'!$A:$AL,22,FALSE)+9,1)</f>
        <v>L</v>
      </c>
      <c r="AA95" s="102" t="str">
        <f>MID(VLOOKUP($A95,Seqs!$A:$B,2,FALSE),VLOOKUP($A95,'NonXtal_SegEnds_Prot#'!$A:$AL,22,FALSE)+10,1)</f>
        <v>P</v>
      </c>
      <c r="AB95" s="71" t="str">
        <f>MID(VLOOKUP($A95,Seqs!$A:$B,2,FALSE),VLOOKUP($A95,'NonXtal_SegEnds_Prot#'!$A:$AL,28,FALSE)-4,1)</f>
        <v>V</v>
      </c>
      <c r="AC95" s="102" t="str">
        <f>MID(VLOOKUP($A95,Seqs!$A:$B,2,FALSE),VLOOKUP($A95,'NonXtal_SegEnds_Prot#'!$A:$AL,28,FALSE),1)</f>
        <v>P</v>
      </c>
    </row>
    <row r="96" spans="1:29" s="2" customFormat="1" x14ac:dyDescent="0.2">
      <c r="A96" s="2" t="s">
        <v>408</v>
      </c>
      <c r="B96" s="2" t="str">
        <f>LOWER(VLOOKUP(A96,Xtal_Templ!A:B,2,FALSE))</f>
        <v>p2ry1_human</v>
      </c>
      <c r="C96" s="2" t="str">
        <f>VLOOKUP(A96,Classification!A:D,2,FALSE)</f>
        <v>A</v>
      </c>
      <c r="K96" s="2" t="s">
        <v>59</v>
      </c>
      <c r="N96" s="2" t="s">
        <v>43</v>
      </c>
      <c r="P96" s="4" t="s">
        <v>51</v>
      </c>
      <c r="R96" s="71" t="str">
        <f>MID(VLOOKUP($A96,Seqs!$A:$B,2,FALSE),VLOOKUP($A96,'NonXtal_SegEnds_Prot#'!A:AL,10,FALSE),1)</f>
        <v>E</v>
      </c>
      <c r="S96" s="102" t="str">
        <f>MID(VLOOKUP($A96,Seqs!$A:$B,2,FALSE),VLOOKUP($A96,'NonXtal_SegEnds_Prot#'!A:AL,10,FALSE)+6,1)</f>
        <v>T</v>
      </c>
      <c r="T96" s="102" t="str">
        <f>MID(VLOOKUP($A96,Seqs!$A:$B,2,FALSE),VLOOKUP($A96,'NonXtal_SegEnds_Prot#'!A:AL,10,FALSE)+7,1)</f>
        <v>L</v>
      </c>
      <c r="U96" s="102" t="str">
        <f>MID(VLOOKUP($A96,Seqs!$A:$B,2,FALSE),VLOOKUP($A96,'NonXtal_SegEnds_Prot#'!A:AL,10,FALSE)+8,1)</f>
        <v>P</v>
      </c>
      <c r="V96" s="102" t="str">
        <f>MID(VLOOKUP($A96,Seqs!$A:$B,2,FALSE),VLOOKUP($A96,'NonXtal_SegEnds_Prot#'!A:AL,10,FALSE)+9,1)</f>
        <v>L</v>
      </c>
      <c r="W96" s="71" t="str">
        <f>MID(VLOOKUP($A96,Seqs!$A:$B,2,FALSE),VLOOKUP($A96,'NonXtal_SegEnds_Prot#'!$A:$AL,22,FALSE)+6,1)</f>
        <v>V</v>
      </c>
      <c r="X96" s="102" t="str">
        <f>MID(VLOOKUP($A96,Seqs!$A:$B,2,FALSE),VLOOKUP($A96,'NonXtal_SegEnds_Prot#'!$A:$AL,22,FALSE)+7,1)</f>
        <v>H</v>
      </c>
      <c r="Y96" s="102" t="str">
        <f>MID(VLOOKUP($A96,Seqs!$A:$B,2,FALSE),VLOOKUP($A96,'NonXtal_SegEnds_Prot#'!$A:$AL,22,FALSE)+8,1)</f>
        <v>Y</v>
      </c>
      <c r="Z96" s="102" t="str">
        <f>MID(VLOOKUP($A96,Seqs!$A:$B,2,FALSE),VLOOKUP($A96,'NonXtal_SegEnds_Prot#'!$A:$AL,22,FALSE)+9,1)</f>
        <v>P</v>
      </c>
      <c r="AA96" s="102" t="str">
        <f>MID(VLOOKUP($A96,Seqs!$A:$B,2,FALSE),VLOOKUP($A96,'NonXtal_SegEnds_Prot#'!$A:$AL,22,FALSE)+10,1)</f>
        <v>V</v>
      </c>
      <c r="AB96" s="71" t="str">
        <f>MID(VLOOKUP($A96,Seqs!$A:$B,2,FALSE),VLOOKUP($A96,'NonXtal_SegEnds_Prot#'!$A:$AL,28,FALSE)-4,1)</f>
        <v>G</v>
      </c>
      <c r="AC96" s="102" t="str">
        <f>MID(VLOOKUP($A96,Seqs!$A:$B,2,FALSE),VLOOKUP($A96,'NonXtal_SegEnds_Prot#'!$A:$AL,28,FALSE),1)</f>
        <v>P</v>
      </c>
    </row>
    <row r="97" spans="1:29" s="2" customFormat="1" x14ac:dyDescent="0.2">
      <c r="A97" s="2" t="s">
        <v>409</v>
      </c>
      <c r="B97" s="2" t="str">
        <f>LOWER(VLOOKUP(A97,Xtal_Templ!A:B,2,FALSE))</f>
        <v>ox1r_human</v>
      </c>
      <c r="C97" s="2" t="str">
        <f>VLOOKUP(A97,Classification!A:D,2,FALSE)</f>
        <v>A</v>
      </c>
      <c r="E97" s="2" t="s">
        <v>20</v>
      </c>
      <c r="K97" s="2" t="s">
        <v>59</v>
      </c>
      <c r="N97" s="2" t="s">
        <v>43</v>
      </c>
      <c r="P97" s="4" t="s">
        <v>51</v>
      </c>
      <c r="R97" s="71" t="str">
        <f>MID(VLOOKUP($A97,Seqs!$A:$B,2,FALSE),VLOOKUP($A97,'NonXtal_SegEnds_Prot#'!A:AL,10,FALSE),1)</f>
        <v>D</v>
      </c>
      <c r="S97" s="102" t="str">
        <f>MID(VLOOKUP($A97,Seqs!$A:$B,2,FALSE),VLOOKUP($A97,'NonXtal_SegEnds_Prot#'!A:AL,10,FALSE)+6,1)</f>
        <v>L</v>
      </c>
      <c r="T97" s="102" t="str">
        <f>MID(VLOOKUP($A97,Seqs!$A:$B,2,FALSE),VLOOKUP($A97,'NonXtal_SegEnds_Prot#'!A:AL,10,FALSE)+7,1)</f>
        <v>C</v>
      </c>
      <c r="U97" s="102" t="str">
        <f>MID(VLOOKUP($A97,Seqs!$A:$B,2,FALSE),VLOOKUP($A97,'NonXtal_SegEnds_Prot#'!A:AL,10,FALSE)+8,1)</f>
        <v>L</v>
      </c>
      <c r="V97" s="102" t="str">
        <f>MID(VLOOKUP($A97,Seqs!$A:$B,2,FALSE),VLOOKUP($A97,'NonXtal_SegEnds_Prot#'!A:AL,10,FALSE)+9,1)</f>
        <v>P</v>
      </c>
      <c r="W97" s="71" t="str">
        <f>MID(VLOOKUP($A97,Seqs!$A:$B,2,FALSE),VLOOKUP($A97,'NonXtal_SegEnds_Prot#'!$A:$AL,22,FALSE)+6,1)</f>
        <v>F</v>
      </c>
      <c r="X97" s="102" t="str">
        <f>MID(VLOOKUP($A97,Seqs!$A:$B,2,FALSE),VLOOKUP($A97,'NonXtal_SegEnds_Prot#'!$A:$AL,22,FALSE)+7,1)</f>
        <v>S</v>
      </c>
      <c r="Y97" s="102" t="str">
        <f>MID(VLOOKUP($A97,Seqs!$A:$B,2,FALSE),VLOOKUP($A97,'NonXtal_SegEnds_Prot#'!$A:$AL,22,FALSE)+8,1)</f>
        <v>L</v>
      </c>
      <c r="Z97" s="102" t="str">
        <f>MID(VLOOKUP($A97,Seqs!$A:$B,2,FALSE),VLOOKUP($A97,'NonXtal_SegEnds_Prot#'!$A:$AL,22,FALSE)+9,1)</f>
        <v>P</v>
      </c>
      <c r="AA97" s="102" t="str">
        <f>MID(VLOOKUP($A97,Seqs!$A:$B,2,FALSE),VLOOKUP($A97,'NonXtal_SegEnds_Prot#'!$A:$AL,22,FALSE)+10,1)</f>
        <v>W</v>
      </c>
      <c r="AB97" s="71" t="str">
        <f>MID(VLOOKUP($A97,Seqs!$A:$B,2,FALSE),VLOOKUP($A97,'NonXtal_SegEnds_Prot#'!$A:$AL,28,FALSE)-4,1)</f>
        <v>C</v>
      </c>
      <c r="AC97" s="102" t="str">
        <f>MID(VLOOKUP($A97,Seqs!$A:$B,2,FALSE),VLOOKUP($A97,'NonXtal_SegEnds_Prot#'!$A:$AL,28,FALSE),1)</f>
        <v>P</v>
      </c>
    </row>
    <row r="98" spans="1:29" s="2" customFormat="1" x14ac:dyDescent="0.2">
      <c r="A98" s="2" t="s">
        <v>410</v>
      </c>
      <c r="B98" s="2" t="str">
        <f>LOWER(VLOOKUP(A98,Xtal_Templ!A:B,2,FALSE))</f>
        <v>ntr1_rat</v>
      </c>
      <c r="C98" s="2" t="str">
        <f>VLOOKUP(A98,Classification!A:D,2,FALSE)</f>
        <v>A</v>
      </c>
      <c r="N98" s="2" t="s">
        <v>43</v>
      </c>
      <c r="P98" s="4" t="s">
        <v>51</v>
      </c>
      <c r="R98" s="71" t="str">
        <f>MID(VLOOKUP($A98,Seqs!$A:$B,2,FALSE),VLOOKUP($A98,'NonXtal_SegEnds_Prot#'!A:AL,10,FALSE),1)</f>
        <v>D</v>
      </c>
      <c r="S98" s="102" t="str">
        <f>MID(VLOOKUP($A98,Seqs!$A:$B,2,FALSE),VLOOKUP($A98,'NonXtal_SegEnds_Prot#'!A:AL,10,FALSE)+6,1)</f>
        <v>F</v>
      </c>
      <c r="T98" s="102" t="str">
        <f>MID(VLOOKUP($A98,Seqs!$A:$B,2,FALSE),VLOOKUP($A98,'NonXtal_SegEnds_Prot#'!A:AL,10,FALSE)+7,1)</f>
        <v>I</v>
      </c>
      <c r="U98" s="102" t="str">
        <f>MID(VLOOKUP($A98,Seqs!$A:$B,2,FALSE),VLOOKUP($A98,'NonXtal_SegEnds_Prot#'!A:AL,10,FALSE)+8,1)</f>
        <v>V</v>
      </c>
      <c r="V98" s="102" t="str">
        <f>MID(VLOOKUP($A98,Seqs!$A:$B,2,FALSE),VLOOKUP($A98,'NonXtal_SegEnds_Prot#'!A:AL,10,FALSE)+9,1)</f>
        <v>F</v>
      </c>
      <c r="W98" s="71" t="str">
        <f>MID(VLOOKUP($A98,Seqs!$A:$B,2,FALSE),VLOOKUP($A98,'NonXtal_SegEnds_Prot#'!$A:$AL,22,FALSE)+6,1)</f>
        <v>L</v>
      </c>
      <c r="X98" s="102" t="str">
        <f>MID(VLOOKUP($A98,Seqs!$A:$B,2,FALSE),VLOOKUP($A98,'NonXtal_SegEnds_Prot#'!$A:$AL,22,FALSE)+7,1)</f>
        <v>T</v>
      </c>
      <c r="Y98" s="102" t="str">
        <f>MID(VLOOKUP($A98,Seqs!$A:$B,2,FALSE),VLOOKUP($A98,'NonXtal_SegEnds_Prot#'!$A:$AL,22,FALSE)+8,1)</f>
        <v>S</v>
      </c>
      <c r="Z98" s="102" t="str">
        <f>MID(VLOOKUP($A98,Seqs!$A:$B,2,FALSE),VLOOKUP($A98,'NonXtal_SegEnds_Prot#'!$A:$AL,22,FALSE)+9,1)</f>
        <v>I</v>
      </c>
      <c r="AA98" s="102" t="str">
        <f>MID(VLOOKUP($A98,Seqs!$A:$B,2,FALSE),VLOOKUP($A98,'NonXtal_SegEnds_Prot#'!$A:$AL,22,FALSE)+10,1)</f>
        <v>P</v>
      </c>
      <c r="AB98" s="71" t="str">
        <f>MID(VLOOKUP($A98,Seqs!$A:$B,2,FALSE),VLOOKUP($A98,'NonXtal_SegEnds_Prot#'!$A:$AL,28,FALSE)-4,1)</f>
        <v>V</v>
      </c>
      <c r="AC98" s="102" t="str">
        <f>MID(VLOOKUP($A98,Seqs!$A:$B,2,FALSE),VLOOKUP($A98,'NonXtal_SegEnds_Prot#'!$A:$AL,28,FALSE),1)</f>
        <v>P</v>
      </c>
    </row>
    <row r="99" spans="1:29" s="2" customFormat="1" x14ac:dyDescent="0.2">
      <c r="A99" s="2" t="s">
        <v>411</v>
      </c>
      <c r="B99" s="2" t="str">
        <f>LOWER(VLOOKUP(A99,Xtal_Templ!A:B,2,FALSE))</f>
        <v>oprx_human</v>
      </c>
      <c r="C99" s="2" t="str">
        <f>VLOOKUP(A99,Classification!A:D,2,FALSE)</f>
        <v>A</v>
      </c>
      <c r="K99" s="2" t="s">
        <v>59</v>
      </c>
      <c r="P99" s="4" t="s">
        <v>51</v>
      </c>
      <c r="R99" s="71" t="str">
        <f>MID(VLOOKUP($A99,Seqs!$A:$B,2,FALSE),VLOOKUP($A99,'NonXtal_SegEnds_Prot#'!A:AL,10,FALSE),1)</f>
        <v>H</v>
      </c>
      <c r="S99" s="102" t="str">
        <f>MID(VLOOKUP($A99,Seqs!$A:$B,2,FALSE),VLOOKUP($A99,'NonXtal_SegEnds_Prot#'!A:AL,10,FALSE)+6,1)</f>
        <v>T</v>
      </c>
      <c r="T99" s="102" t="str">
        <f>MID(VLOOKUP($A99,Seqs!$A:$B,2,FALSE),VLOOKUP($A99,'NonXtal_SegEnds_Prot#'!A:AL,10,FALSE)+7,1)</f>
        <v>V</v>
      </c>
      <c r="U99" s="102" t="str">
        <f>MID(VLOOKUP($A99,Seqs!$A:$B,2,FALSE),VLOOKUP($A99,'NonXtal_SegEnds_Prot#'!A:AL,10,FALSE)+8,1)</f>
        <v>P</v>
      </c>
      <c r="V99" s="102" t="str">
        <f>MID(VLOOKUP($A99,Seqs!$A:$B,2,FALSE),VLOOKUP($A99,'NonXtal_SegEnds_Prot#'!A:AL,10,FALSE)+9,1)</f>
        <v>F</v>
      </c>
      <c r="W99" s="71" t="str">
        <f>MID(VLOOKUP($A99,Seqs!$A:$B,2,FALSE),VLOOKUP($A99,'NonXtal_SegEnds_Prot#'!$A:$AL,22,FALSE)+6,1)</f>
        <v>I</v>
      </c>
      <c r="X99" s="102" t="str">
        <f>MID(VLOOKUP($A99,Seqs!$A:$B,2,FALSE),VLOOKUP($A99,'NonXtal_SegEnds_Prot#'!$A:$AL,22,FALSE)+7,1)</f>
        <v>V</v>
      </c>
      <c r="Y99" s="102" t="str">
        <f>MID(VLOOKUP($A99,Seqs!$A:$B,2,FALSE),VLOOKUP($A99,'NonXtal_SegEnds_Prot#'!$A:$AL,22,FALSE)+8,1)</f>
        <v>V</v>
      </c>
      <c r="Z99" s="102" t="str">
        <f>MID(VLOOKUP($A99,Seqs!$A:$B,2,FALSE),VLOOKUP($A99,'NonXtal_SegEnds_Prot#'!$A:$AL,22,FALSE)+9,1)</f>
        <v>P</v>
      </c>
      <c r="AA99" s="102" t="str">
        <f>MID(VLOOKUP($A99,Seqs!$A:$B,2,FALSE),VLOOKUP($A99,'NonXtal_SegEnds_Prot#'!$A:$AL,22,FALSE)+10,1)</f>
        <v>L</v>
      </c>
      <c r="AB99" s="71" t="str">
        <f>MID(VLOOKUP($A99,Seqs!$A:$B,2,FALSE),VLOOKUP($A99,'NonXtal_SegEnds_Prot#'!$A:$AL,28,FALSE)-4,1)</f>
        <v>V</v>
      </c>
      <c r="AC99" s="102" t="str">
        <f>MID(VLOOKUP($A99,Seqs!$A:$B,2,FALSE),VLOOKUP($A99,'NonXtal_SegEnds_Prot#'!$A:$AL,28,FALSE),1)</f>
        <v>L</v>
      </c>
    </row>
    <row r="100" spans="1:29" s="2" customFormat="1" x14ac:dyDescent="0.2">
      <c r="A100" s="2" t="s">
        <v>412</v>
      </c>
      <c r="B100" s="2" t="str">
        <f>LOWER(VLOOKUP(A100,Xtal_Templ!A:B,2,FALSE))</f>
        <v>oprx_human</v>
      </c>
      <c r="C100" s="2" t="str">
        <f>VLOOKUP(A100,Classification!A:D,2,FALSE)</f>
        <v>A</v>
      </c>
      <c r="N100" s="2" t="s">
        <v>43</v>
      </c>
      <c r="P100" s="4" t="s">
        <v>51</v>
      </c>
      <c r="R100" s="71" t="str">
        <f>MID(VLOOKUP($A100,Seqs!$A:$B,2,FALSE),VLOOKUP($A100,'NonXtal_SegEnds_Prot#'!A:AL,10,FALSE),1)</f>
        <v>D</v>
      </c>
      <c r="S100" s="102" t="str">
        <f>MID(VLOOKUP($A100,Seqs!$A:$B,2,FALSE),VLOOKUP($A100,'NonXtal_SegEnds_Prot#'!A:AL,10,FALSE)+6,1)</f>
        <v>V</v>
      </c>
      <c r="T100" s="102" t="str">
        <f>MID(VLOOKUP($A100,Seqs!$A:$B,2,FALSE),VLOOKUP($A100,'NonXtal_SegEnds_Prot#'!A:AL,10,FALSE)+7,1)</f>
        <v>I</v>
      </c>
      <c r="U100" s="102" t="str">
        <f>MID(VLOOKUP($A100,Seqs!$A:$B,2,FALSE),VLOOKUP($A100,'NonXtal_SegEnds_Prot#'!A:AL,10,FALSE)+8,1)</f>
        <v>V</v>
      </c>
      <c r="V100" s="102" t="str">
        <f>MID(VLOOKUP($A100,Seqs!$A:$B,2,FALSE),VLOOKUP($A100,'NonXtal_SegEnds_Prot#'!A:AL,10,FALSE)+9,1)</f>
        <v>F</v>
      </c>
      <c r="W100" s="71" t="str">
        <f>MID(VLOOKUP($A100,Seqs!$A:$B,2,FALSE),VLOOKUP($A100,'NonXtal_SegEnds_Prot#'!$A:$AL,22,FALSE)+6,1)</f>
        <v>L</v>
      </c>
      <c r="X100" s="102" t="str">
        <f>MID(VLOOKUP($A100,Seqs!$A:$B,2,FALSE),VLOOKUP($A100,'NonXtal_SegEnds_Prot#'!$A:$AL,22,FALSE)+7,1)</f>
        <v>T</v>
      </c>
      <c r="Y100" s="102" t="str">
        <f>MID(VLOOKUP($A100,Seqs!$A:$B,2,FALSE),VLOOKUP($A100,'NonXtal_SegEnds_Prot#'!$A:$AL,22,FALSE)+8,1)</f>
        <v>G</v>
      </c>
      <c r="Z100" s="102" t="str">
        <f>MID(VLOOKUP($A100,Seqs!$A:$B,2,FALSE),VLOOKUP($A100,'NonXtal_SegEnds_Prot#'!$A:$AL,22,FALSE)+9,1)</f>
        <v>I</v>
      </c>
      <c r="AA100" s="102" t="str">
        <f>MID(VLOOKUP($A100,Seqs!$A:$B,2,FALSE),VLOOKUP($A100,'NonXtal_SegEnds_Prot#'!$A:$AL,22,FALSE)+10,1)</f>
        <v>P</v>
      </c>
      <c r="AB100" s="71" t="str">
        <f>MID(VLOOKUP($A100,Seqs!$A:$B,2,FALSE),VLOOKUP($A100,'NonXtal_SegEnds_Prot#'!$A:$AL,28,FALSE)-4,1)</f>
        <v>V</v>
      </c>
      <c r="AC100" s="102" t="str">
        <f>MID(VLOOKUP($A100,Seqs!$A:$B,2,FALSE),VLOOKUP($A100,'NonXtal_SegEnds_Prot#'!$A:$AL,28,FALSE),1)</f>
        <v>P</v>
      </c>
    </row>
    <row r="101" spans="1:29" s="2" customFormat="1" x14ac:dyDescent="0.2">
      <c r="A101" s="2" t="s">
        <v>413</v>
      </c>
      <c r="B101" s="2" t="str">
        <f>LOWER(VLOOKUP(A101,Xtal_Templ!A:B,2,FALSE))</f>
        <v>hrh1_human</v>
      </c>
      <c r="C101" s="2" t="str">
        <f>VLOOKUP(A101,Classification!A:D,2,FALSE)</f>
        <v>A</v>
      </c>
      <c r="E101" s="2" t="s">
        <v>20</v>
      </c>
      <c r="N101" s="2" t="s">
        <v>43</v>
      </c>
      <c r="P101" s="4" t="s">
        <v>51</v>
      </c>
      <c r="R101" s="71" t="str">
        <f>MID(VLOOKUP($A101,Seqs!$A:$B,2,FALSE),VLOOKUP($A101,'NonXtal_SegEnds_Prot#'!A:AL,10,FALSE),1)</f>
        <v>A</v>
      </c>
      <c r="S101" s="102" t="str">
        <f>MID(VLOOKUP($A101,Seqs!$A:$B,2,FALSE),VLOOKUP($A101,'NonXtal_SegEnds_Prot#'!A:AL,10,FALSE)+6,1)</f>
        <v>L</v>
      </c>
      <c r="T101" s="102" t="str">
        <f>MID(VLOOKUP($A101,Seqs!$A:$B,2,FALSE),VLOOKUP($A101,'NonXtal_SegEnds_Prot#'!A:AL,10,FALSE)+7,1)</f>
        <v>L</v>
      </c>
      <c r="U101" s="102" t="str">
        <f>MID(VLOOKUP($A101,Seqs!$A:$B,2,FALSE),VLOOKUP($A101,'NonXtal_SegEnds_Prot#'!A:AL,10,FALSE)+8,1)</f>
        <v>G</v>
      </c>
      <c r="V101" s="102" t="str">
        <f>MID(VLOOKUP($A101,Seqs!$A:$B,2,FALSE),VLOOKUP($A101,'NonXtal_SegEnds_Prot#'!A:AL,10,FALSE)+9,1)</f>
        <v>P</v>
      </c>
      <c r="W101" s="71" t="str">
        <f>MID(VLOOKUP($A101,Seqs!$A:$B,2,FALSE),VLOOKUP($A101,'NonXtal_SegEnds_Prot#'!$A:$AL,22,FALSE)+6,1)</f>
        <v>T</v>
      </c>
      <c r="X101" s="102" t="str">
        <f>MID(VLOOKUP($A101,Seqs!$A:$B,2,FALSE),VLOOKUP($A101,'NonXtal_SegEnds_Prot#'!$A:$AL,22,FALSE)+7,1)</f>
        <v>S</v>
      </c>
      <c r="Y101" s="102" t="str">
        <f>MID(VLOOKUP($A101,Seqs!$A:$B,2,FALSE),VLOOKUP($A101,'NonXtal_SegEnds_Prot#'!$A:$AL,22,FALSE)+8,1)</f>
        <v>F</v>
      </c>
      <c r="Z101" s="102" t="str">
        <f>MID(VLOOKUP($A101,Seqs!$A:$B,2,FALSE),VLOOKUP($A101,'NonXtal_SegEnds_Prot#'!$A:$AL,22,FALSE)+9,1)</f>
        <v>S</v>
      </c>
      <c r="AA101" s="102" t="str">
        <f>MID(VLOOKUP($A101,Seqs!$A:$B,2,FALSE),VLOOKUP($A101,'NonXtal_SegEnds_Prot#'!$A:$AL,22,FALSE)+10,1)</f>
        <v>S</v>
      </c>
      <c r="AB101" s="71" t="str">
        <f>MID(VLOOKUP($A101,Seqs!$A:$B,2,FALSE),VLOOKUP($A101,'NonXtal_SegEnds_Prot#'!$A:$AL,28,FALSE)-4,1)</f>
        <v>G</v>
      </c>
      <c r="AC101" s="102" t="str">
        <f>MID(VLOOKUP($A101,Seqs!$A:$B,2,FALSE),VLOOKUP($A101,'NonXtal_SegEnds_Prot#'!$A:$AL,28,FALSE),1)</f>
        <v>P</v>
      </c>
    </row>
    <row r="102" spans="1:29" s="2" customFormat="1" x14ac:dyDescent="0.2">
      <c r="A102" s="2" t="s">
        <v>414</v>
      </c>
      <c r="B102" s="2" t="str">
        <f>LOWER(VLOOKUP(A102,Xtal_Templ!A:B,2,FALSE))</f>
        <v>5ht1b_human</v>
      </c>
      <c r="C102" s="2" t="str">
        <f>VLOOKUP(A102,Classification!A:D,2,FALSE)</f>
        <v>A</v>
      </c>
      <c r="N102" s="2" t="s">
        <v>43</v>
      </c>
      <c r="P102" s="4" t="s">
        <v>51</v>
      </c>
      <c r="R102" s="71" t="str">
        <f>MID(VLOOKUP($A102,Seqs!$A:$B,2,FALSE),VLOOKUP($A102,'NonXtal_SegEnds_Prot#'!A:AL,10,FALSE),1)</f>
        <v>D</v>
      </c>
      <c r="S102" s="102" t="str">
        <f>MID(VLOOKUP($A102,Seqs!$A:$B,2,FALSE),VLOOKUP($A102,'NonXtal_SegEnds_Prot#'!A:AL,10,FALSE)+6,1)</f>
        <v>L</v>
      </c>
      <c r="T102" s="102" t="str">
        <f>MID(VLOOKUP($A102,Seqs!$A:$B,2,FALSE),VLOOKUP($A102,'NonXtal_SegEnds_Prot#'!A:AL,10,FALSE)+7,1)</f>
        <v>H</v>
      </c>
      <c r="U102" s="102" t="str">
        <f>MID(VLOOKUP($A102,Seqs!$A:$B,2,FALSE),VLOOKUP($A102,'NonXtal_SegEnds_Prot#'!A:AL,10,FALSE)+8,1)</f>
        <v>M</v>
      </c>
      <c r="V102" s="102" t="str">
        <f>MID(VLOOKUP($A102,Seqs!$A:$B,2,FALSE),VLOOKUP($A102,'NonXtal_SegEnds_Prot#'!A:AL,10,FALSE)+9,1)</f>
        <v>L</v>
      </c>
      <c r="W102" s="71" t="str">
        <f>MID(VLOOKUP($A102,Seqs!$A:$B,2,FALSE),VLOOKUP($A102,'NonXtal_SegEnds_Prot#'!$A:$AL,22,FALSE)+6,1)</f>
        <v>F</v>
      </c>
      <c r="X102" s="102" t="str">
        <f>MID(VLOOKUP($A102,Seqs!$A:$B,2,FALSE),VLOOKUP($A102,'NonXtal_SegEnds_Prot#'!$A:$AL,22,FALSE)+7,1)</f>
        <v>P</v>
      </c>
      <c r="Y102" s="102" t="str">
        <f>MID(VLOOKUP($A102,Seqs!$A:$B,2,FALSE),VLOOKUP($A102,'NonXtal_SegEnds_Prot#'!$A:$AL,22,FALSE)+8,1)</f>
        <v>T</v>
      </c>
      <c r="Z102" s="102" t="str">
        <f>MID(VLOOKUP($A102,Seqs!$A:$B,2,FALSE),VLOOKUP($A102,'NonXtal_SegEnds_Prot#'!$A:$AL,22,FALSE)+9,1)</f>
        <v>F</v>
      </c>
      <c r="AA102" s="102" t="str">
        <f>MID(VLOOKUP($A102,Seqs!$A:$B,2,FALSE),VLOOKUP($A102,'NonXtal_SegEnds_Prot#'!$A:$AL,22,FALSE)+10,1)</f>
        <v>L</v>
      </c>
      <c r="AB102" s="71" t="str">
        <f>MID(VLOOKUP($A102,Seqs!$A:$B,2,FALSE),VLOOKUP($A102,'NonXtal_SegEnds_Prot#'!$A:$AL,28,FALSE)-4,1)</f>
        <v>M</v>
      </c>
      <c r="AC102" s="102" t="str">
        <f>MID(VLOOKUP($A102,Seqs!$A:$B,2,FALSE),VLOOKUP($A102,'NonXtal_SegEnds_Prot#'!$A:$AL,28,FALSE),1)</f>
        <v>P</v>
      </c>
    </row>
    <row r="103" spans="1:29" s="2" customFormat="1" x14ac:dyDescent="0.2">
      <c r="A103" s="2" t="s">
        <v>415</v>
      </c>
      <c r="B103" s="2" t="str">
        <f>LOWER(VLOOKUP(A103,Xtal_Templ!A:B,2,FALSE))</f>
        <v>us28_hcmva</v>
      </c>
      <c r="C103" s="2" t="str">
        <f>VLOOKUP(A103,Classification!A:D,2,FALSE)</f>
        <v>A</v>
      </c>
      <c r="N103" s="2" t="s">
        <v>43</v>
      </c>
      <c r="P103" s="4" t="s">
        <v>51</v>
      </c>
      <c r="R103" s="71" t="str">
        <f>MID(VLOOKUP($A103,Seqs!$A:$B,2,FALSE),VLOOKUP($A103,'NonXtal_SegEnds_Prot#'!A:AL,10,FALSE),1)</f>
        <v>Q</v>
      </c>
      <c r="S103" s="102" t="str">
        <f>MID(VLOOKUP($A103,Seqs!$A:$B,2,FALSE),VLOOKUP($A103,'NonXtal_SegEnds_Prot#'!A:AL,10,FALSE)+6,1)</f>
        <v>S</v>
      </c>
      <c r="T103" s="102" t="str">
        <f>MID(VLOOKUP($A103,Seqs!$A:$B,2,FALSE),VLOOKUP($A103,'NonXtal_SegEnds_Prot#'!A:AL,10,FALSE)+7,1)</f>
        <v>M</v>
      </c>
      <c r="U103" s="102" t="str">
        <f>MID(VLOOKUP($A103,Seqs!$A:$B,2,FALSE),VLOOKUP($A103,'NonXtal_SegEnds_Prot#'!A:AL,10,FALSE)+8,1)</f>
        <v>L</v>
      </c>
      <c r="V103" s="102" t="str">
        <f>MID(VLOOKUP($A103,Seqs!$A:$B,2,FALSE),VLOOKUP($A103,'NonXtal_SegEnds_Prot#'!A:AL,10,FALSE)+9,1)</f>
        <v>V</v>
      </c>
      <c r="W103" s="71" t="str">
        <f>MID(VLOOKUP($A103,Seqs!$A:$B,2,FALSE),VLOOKUP($A103,'NonXtal_SegEnds_Prot#'!$A:$AL,22,FALSE)+6,1)</f>
        <v>L</v>
      </c>
      <c r="X103" s="102" t="str">
        <f>MID(VLOOKUP($A103,Seqs!$A:$B,2,FALSE),VLOOKUP($A103,'NonXtal_SegEnds_Prot#'!$A:$AL,22,FALSE)+7,1)</f>
        <v>S</v>
      </c>
      <c r="Y103" s="102" t="str">
        <f>MID(VLOOKUP($A103,Seqs!$A:$B,2,FALSE),VLOOKUP($A103,'NonXtal_SegEnds_Prot#'!$A:$AL,22,FALSE)+8,1)</f>
        <v>A</v>
      </c>
      <c r="Z103" s="102" t="str">
        <f>MID(VLOOKUP($A103,Seqs!$A:$B,2,FALSE),VLOOKUP($A103,'NonXtal_SegEnds_Prot#'!$A:$AL,22,FALSE)+9,1)</f>
        <v>L</v>
      </c>
      <c r="AA103" s="102" t="str">
        <f>MID(VLOOKUP($A103,Seqs!$A:$B,2,FALSE),VLOOKUP($A103,'NonXtal_SegEnds_Prot#'!$A:$AL,22,FALSE)+10,1)</f>
        <v>P</v>
      </c>
      <c r="AB103" s="71" t="str">
        <f>MID(VLOOKUP($A103,Seqs!$A:$B,2,FALSE),VLOOKUP($A103,'NonXtal_SegEnds_Prot#'!$A:$AL,28,FALSE)-4,1)</f>
        <v>G</v>
      </c>
      <c r="AC103" s="102" t="str">
        <f>MID(VLOOKUP($A103,Seqs!$A:$B,2,FALSE),VLOOKUP($A103,'NonXtal_SegEnds_Prot#'!$A:$AL,28,FALSE),1)</f>
        <v>P</v>
      </c>
    </row>
    <row r="104" spans="1:29" s="2" customFormat="1" x14ac:dyDescent="0.2">
      <c r="A104" s="2" t="s">
        <v>416</v>
      </c>
      <c r="B104" s="2" t="str">
        <f>LOWER(VLOOKUP(A104,Xtal_Templ!A:B,2,FALSE))</f>
        <v>ox1r_human</v>
      </c>
      <c r="C104" s="2" t="str">
        <f>VLOOKUP(A104,Classification!A:D,2,FALSE)</f>
        <v>A</v>
      </c>
      <c r="N104" s="2" t="s">
        <v>43</v>
      </c>
      <c r="P104" s="4" t="s">
        <v>51</v>
      </c>
      <c r="R104" s="71" t="str">
        <f>MID(VLOOKUP($A104,Seqs!$A:$B,2,FALSE),VLOOKUP($A104,'NonXtal_SegEnds_Prot#'!A:AL,10,FALSE),1)</f>
        <v>D</v>
      </c>
      <c r="S104" s="102" t="str">
        <f>MID(VLOOKUP($A104,Seqs!$A:$B,2,FALSE),VLOOKUP($A104,'NonXtal_SegEnds_Prot#'!A:AL,10,FALSE)+6,1)</f>
        <v>G</v>
      </c>
      <c r="T104" s="102" t="str">
        <f>MID(VLOOKUP($A104,Seqs!$A:$B,2,FALSE),VLOOKUP($A104,'NonXtal_SegEnds_Prot#'!A:AL,10,FALSE)+7,1)</f>
        <v>T</v>
      </c>
      <c r="U104" s="102" t="str">
        <f>MID(VLOOKUP($A104,Seqs!$A:$B,2,FALSE),VLOOKUP($A104,'NonXtal_SegEnds_Prot#'!A:AL,10,FALSE)+8,1)</f>
        <v>A</v>
      </c>
      <c r="V104" s="102" t="str">
        <f>MID(VLOOKUP($A104,Seqs!$A:$B,2,FALSE),VLOOKUP($A104,'NonXtal_SegEnds_Prot#'!A:AL,10,FALSE)+9,1)</f>
        <v>L</v>
      </c>
      <c r="W104" s="71" t="str">
        <f>MID(VLOOKUP($A104,Seqs!$A:$B,2,FALSE),VLOOKUP($A104,'NonXtal_SegEnds_Prot#'!$A:$AL,22,FALSE)+6,1)</f>
        <v>L</v>
      </c>
      <c r="X104" s="102" t="str">
        <f>MID(VLOOKUP($A104,Seqs!$A:$B,2,FALSE),VLOOKUP($A104,'NonXtal_SegEnds_Prot#'!$A:$AL,22,FALSE)+7,1)</f>
        <v>A</v>
      </c>
      <c r="Y104" s="102" t="str">
        <f>MID(VLOOKUP($A104,Seqs!$A:$B,2,FALSE),VLOOKUP($A104,'NonXtal_SegEnds_Prot#'!$A:$AL,22,FALSE)+8,1)</f>
        <v>L</v>
      </c>
      <c r="Z104" s="102" t="str">
        <f>MID(VLOOKUP($A104,Seqs!$A:$B,2,FALSE),VLOOKUP($A104,'NonXtal_SegEnds_Prot#'!$A:$AL,22,FALSE)+9,1)</f>
        <v>P</v>
      </c>
      <c r="AA104" s="102" t="str">
        <f>MID(VLOOKUP($A104,Seqs!$A:$B,2,FALSE),VLOOKUP($A104,'NonXtal_SegEnds_Prot#'!$A:$AL,22,FALSE)+10,1)</f>
        <v>P</v>
      </c>
      <c r="AB104" s="71" t="str">
        <f>MID(VLOOKUP($A104,Seqs!$A:$B,2,FALSE),VLOOKUP($A104,'NonXtal_SegEnds_Prot#'!$A:$AL,28,FALSE)-4,1)</f>
        <v>G</v>
      </c>
      <c r="AC104" s="102" t="str">
        <f>MID(VLOOKUP($A104,Seqs!$A:$B,2,FALSE),VLOOKUP($A104,'NonXtal_SegEnds_Prot#'!$A:$AL,28,FALSE),1)</f>
        <v>P</v>
      </c>
    </row>
    <row r="105" spans="1:29" s="2" customFormat="1" x14ac:dyDescent="0.2">
      <c r="A105" s="2" t="s">
        <v>417</v>
      </c>
      <c r="B105" s="2" t="str">
        <f>LOWER(VLOOKUP(A105,Xtal_Templ!A:B,2,FALSE))</f>
        <v>ox2r_human</v>
      </c>
      <c r="C105" s="2" t="str">
        <f>VLOOKUP(A105,Classification!A:D,2,FALSE)</f>
        <v>A</v>
      </c>
      <c r="E105" s="2" t="s">
        <v>20</v>
      </c>
      <c r="K105" s="2" t="s">
        <v>59</v>
      </c>
      <c r="N105" s="2" t="s">
        <v>43</v>
      </c>
      <c r="P105" s="4" t="s">
        <v>51</v>
      </c>
      <c r="R105" s="71" t="str">
        <f>MID(VLOOKUP($A105,Seqs!$A:$B,2,FALSE),VLOOKUP($A105,'NonXtal_SegEnds_Prot#'!A:AL,10,FALSE),1)</f>
        <v>D</v>
      </c>
      <c r="S105" s="102" t="str">
        <f>MID(VLOOKUP($A105,Seqs!$A:$B,2,FALSE),VLOOKUP($A105,'NonXtal_SegEnds_Prot#'!A:AL,10,FALSE)+6,1)</f>
        <v>F</v>
      </c>
      <c r="T105" s="102" t="str">
        <f>MID(VLOOKUP($A105,Seqs!$A:$B,2,FALSE),VLOOKUP($A105,'NonXtal_SegEnds_Prot#'!A:AL,10,FALSE)+7,1)</f>
        <v>S</v>
      </c>
      <c r="U105" s="102" t="str">
        <f>MID(VLOOKUP($A105,Seqs!$A:$B,2,FALSE),VLOOKUP($A105,'NonXtal_SegEnds_Prot#'!A:AL,10,FALSE)+8,1)</f>
        <v>A</v>
      </c>
      <c r="V105" s="102" t="str">
        <f>MID(VLOOKUP($A105,Seqs!$A:$B,2,FALSE),VLOOKUP($A105,'NonXtal_SegEnds_Prot#'!A:AL,10,FALSE)+9,1)</f>
        <v>P</v>
      </c>
      <c r="W105" s="71" t="str">
        <f>MID(VLOOKUP($A105,Seqs!$A:$B,2,FALSE),VLOOKUP($A105,'NonXtal_SegEnds_Prot#'!$A:$AL,22,FALSE)+6,1)</f>
        <v>L</v>
      </c>
      <c r="X105" s="102" t="str">
        <f>MID(VLOOKUP($A105,Seqs!$A:$B,2,FALSE),VLOOKUP($A105,'NonXtal_SegEnds_Prot#'!$A:$AL,22,FALSE)+7,1)</f>
        <v>P</v>
      </c>
      <c r="Y105" s="102" t="str">
        <f>MID(VLOOKUP($A105,Seqs!$A:$B,2,FALSE),VLOOKUP($A105,'NonXtal_SegEnds_Prot#'!$A:$AL,22,FALSE)+8,1)</f>
        <v>L</v>
      </c>
      <c r="Z105" s="102" t="str">
        <f>MID(VLOOKUP($A105,Seqs!$A:$B,2,FALSE),VLOOKUP($A105,'NonXtal_SegEnds_Prot#'!$A:$AL,22,FALSE)+9,1)</f>
        <v>P</v>
      </c>
      <c r="AA105" s="102" t="str">
        <f>MID(VLOOKUP($A105,Seqs!$A:$B,2,FALSE),VLOOKUP($A105,'NonXtal_SegEnds_Prot#'!$A:$AL,22,FALSE)+10,1)</f>
        <v>E</v>
      </c>
      <c r="AB105" s="71" t="str">
        <f>MID(VLOOKUP($A105,Seqs!$A:$B,2,FALSE),VLOOKUP($A105,'NonXtal_SegEnds_Prot#'!$A:$AL,28,FALSE)-4,1)</f>
        <v>A</v>
      </c>
      <c r="AC105" s="102" t="str">
        <f>MID(VLOOKUP($A105,Seqs!$A:$B,2,FALSE),VLOOKUP($A105,'NonXtal_SegEnds_Prot#'!$A:$AL,28,FALSE),1)</f>
        <v>P</v>
      </c>
    </row>
    <row r="106" spans="1:29" s="2" customFormat="1" x14ac:dyDescent="0.2">
      <c r="A106" s="2" t="s">
        <v>418</v>
      </c>
      <c r="B106" s="2" t="str">
        <f>LOWER(VLOOKUP(A106,Xtal_Templ!A:B,2,FALSE))</f>
        <v>ntr1_rat</v>
      </c>
      <c r="C106" s="2" t="str">
        <f>VLOOKUP(A106,Classification!A:D,2,FALSE)</f>
        <v>A</v>
      </c>
      <c r="K106" s="2" t="s">
        <v>59</v>
      </c>
      <c r="N106" s="2" t="s">
        <v>43</v>
      </c>
      <c r="P106" s="4" t="s">
        <v>51</v>
      </c>
      <c r="R106" s="71" t="str">
        <f>MID(VLOOKUP($A106,Seqs!$A:$B,2,FALSE),VLOOKUP($A106,'NonXtal_SegEnds_Prot#'!A:AL,10,FALSE),1)</f>
        <v>D</v>
      </c>
      <c r="S106" s="102" t="str">
        <f>MID(VLOOKUP($A106,Seqs!$A:$B,2,FALSE),VLOOKUP($A106,'NonXtal_SegEnds_Prot#'!A:AL,10,FALSE)+6,1)</f>
        <v>A</v>
      </c>
      <c r="T106" s="102" t="str">
        <f>MID(VLOOKUP($A106,Seqs!$A:$B,2,FALSE),VLOOKUP($A106,'NonXtal_SegEnds_Prot#'!A:AL,10,FALSE)+7,1)</f>
        <v>A</v>
      </c>
      <c r="U106" s="102" t="str">
        <f>MID(VLOOKUP($A106,Seqs!$A:$B,2,FALSE),VLOOKUP($A106,'NonXtal_SegEnds_Prot#'!A:AL,10,FALSE)+8,1)</f>
        <v>A</v>
      </c>
      <c r="V106" s="102" t="str">
        <f>MID(VLOOKUP($A106,Seqs!$A:$B,2,FALSE),VLOOKUP($A106,'NonXtal_SegEnds_Prot#'!A:AL,10,FALSE)+9,1)</f>
        <v>F</v>
      </c>
      <c r="W106" s="71" t="str">
        <f>MID(VLOOKUP($A106,Seqs!$A:$B,2,FALSE),VLOOKUP($A106,'NonXtal_SegEnds_Prot#'!$A:$AL,22,FALSE)+6,1)</f>
        <v>F</v>
      </c>
      <c r="X106" s="102" t="str">
        <f>MID(VLOOKUP($A106,Seqs!$A:$B,2,FALSE),VLOOKUP($A106,'NonXtal_SegEnds_Prot#'!$A:$AL,22,FALSE)+7,1)</f>
        <v>S</v>
      </c>
      <c r="Y106" s="102" t="str">
        <f>MID(VLOOKUP($A106,Seqs!$A:$B,2,FALSE),VLOOKUP($A106,'NonXtal_SegEnds_Prot#'!$A:$AL,22,FALSE)+8,1)</f>
        <v>V</v>
      </c>
      <c r="Z106" s="102" t="str">
        <f>MID(VLOOKUP($A106,Seqs!$A:$B,2,FALSE),VLOOKUP($A106,'NonXtal_SegEnds_Prot#'!$A:$AL,22,FALSE)+9,1)</f>
        <v>P</v>
      </c>
      <c r="AA106" s="102" t="str">
        <f>MID(VLOOKUP($A106,Seqs!$A:$B,2,FALSE),VLOOKUP($A106,'NonXtal_SegEnds_Prot#'!$A:$AL,22,FALSE)+10,1)</f>
        <v>W</v>
      </c>
      <c r="AB106" s="71" t="str">
        <f>MID(VLOOKUP($A106,Seqs!$A:$B,2,FALSE),VLOOKUP($A106,'NonXtal_SegEnds_Prot#'!$A:$AL,28,FALSE)-4,1)</f>
        <v>G</v>
      </c>
      <c r="AC106" s="102" t="str">
        <f>MID(VLOOKUP($A106,Seqs!$A:$B,2,FALSE),VLOOKUP($A106,'NonXtal_SegEnds_Prot#'!$A:$AL,28,FALSE),1)</f>
        <v>P</v>
      </c>
    </row>
    <row r="107" spans="1:29" s="2" customFormat="1" x14ac:dyDescent="0.2">
      <c r="A107" s="2" t="s">
        <v>419</v>
      </c>
      <c r="B107" s="2" t="str">
        <f>LOWER(VLOOKUP(A107,Xtal_Templ!A:B,2,FALSE))</f>
        <v>ox2r_human</v>
      </c>
      <c r="C107" s="2" t="str">
        <f>VLOOKUP(A107,Classification!A:D,2,FALSE)</f>
        <v>A</v>
      </c>
      <c r="P107" s="4" t="s">
        <v>51</v>
      </c>
      <c r="R107" s="71" t="str">
        <f>MID(VLOOKUP($A107,Seqs!$A:$B,2,FALSE),VLOOKUP($A107,'NonXtal_SegEnds_Prot#'!A:AL,10,FALSE),1)</f>
        <v>H</v>
      </c>
      <c r="S107" s="102" t="str">
        <f>MID(VLOOKUP($A107,Seqs!$A:$B,2,FALSE),VLOOKUP($A107,'NonXtal_SegEnds_Prot#'!A:AL,10,FALSE)+6,1)</f>
        <v>V</v>
      </c>
      <c r="T107" s="102" t="str">
        <f>MID(VLOOKUP($A107,Seqs!$A:$B,2,FALSE),VLOOKUP($A107,'NonXtal_SegEnds_Prot#'!A:AL,10,FALSE)+7,1)</f>
        <v>P</v>
      </c>
      <c r="U107" s="102" t="str">
        <f>MID(VLOOKUP($A107,Seqs!$A:$B,2,FALSE),VLOOKUP($A107,'NonXtal_SegEnds_Prot#'!A:AL,10,FALSE)+8,1)</f>
        <v>I</v>
      </c>
      <c r="V107" s="102" t="str">
        <f>MID(VLOOKUP($A107,Seqs!$A:$B,2,FALSE),VLOOKUP($A107,'NonXtal_SegEnds_Prot#'!A:AL,10,FALSE)+9,1)</f>
        <v>A</v>
      </c>
      <c r="W107" s="71" t="str">
        <f>MID(VLOOKUP($A107,Seqs!$A:$B,2,FALSE),VLOOKUP($A107,'NonXtal_SegEnds_Prot#'!$A:$AL,22,FALSE)+6,1)</f>
        <v>L</v>
      </c>
      <c r="X107" s="102" t="str">
        <f>MID(VLOOKUP($A107,Seqs!$A:$B,2,FALSE),VLOOKUP($A107,'NonXtal_SegEnds_Prot#'!$A:$AL,22,FALSE)+7,1)</f>
        <v>S</v>
      </c>
      <c r="Y107" s="102" t="str">
        <f>MID(VLOOKUP($A107,Seqs!$A:$B,2,FALSE),VLOOKUP($A107,'NonXtal_SegEnds_Prot#'!$A:$AL,22,FALSE)+8,1)</f>
        <v>A</v>
      </c>
      <c r="Z107" s="102" t="str">
        <f>MID(VLOOKUP($A107,Seqs!$A:$B,2,FALSE),VLOOKUP($A107,'NonXtal_SegEnds_Prot#'!$A:$AL,22,FALSE)+9,1)</f>
        <v>L</v>
      </c>
      <c r="AA107" s="102" t="str">
        <f>MID(VLOOKUP($A107,Seqs!$A:$B,2,FALSE),VLOOKUP($A107,'NonXtal_SegEnds_Prot#'!$A:$AL,22,FALSE)+10,1)</f>
        <v>P</v>
      </c>
      <c r="AB107" s="71" t="str">
        <f>MID(VLOOKUP($A107,Seqs!$A:$B,2,FALSE),VLOOKUP($A107,'NonXtal_SegEnds_Prot#'!$A:$AL,28,FALSE)-4,1)</f>
        <v>V</v>
      </c>
      <c r="AC107" s="102" t="str">
        <f>MID(VLOOKUP($A107,Seqs!$A:$B,2,FALSE),VLOOKUP($A107,'NonXtal_SegEnds_Prot#'!$A:$AL,28,FALSE),1)</f>
        <v>V</v>
      </c>
    </row>
    <row r="108" spans="1:29" s="2" customFormat="1" x14ac:dyDescent="0.2">
      <c r="A108" s="2" t="s">
        <v>420</v>
      </c>
      <c r="B108" s="2" t="str">
        <f>LOWER(VLOOKUP(A108,Xtal_Templ!A:B,2,FALSE))</f>
        <v>hrh1_human</v>
      </c>
      <c r="C108" s="2" t="str">
        <f>VLOOKUP(A108,Classification!A:D,2,FALSE)</f>
        <v>A</v>
      </c>
      <c r="P108" s="4" t="s">
        <v>51</v>
      </c>
      <c r="R108" s="71" t="str">
        <f>MID(VLOOKUP($A108,Seqs!$A:$B,2,FALSE),VLOOKUP($A108,'NonXtal_SegEnds_Prot#'!A:AL,10,FALSE),1)</f>
        <v>D</v>
      </c>
      <c r="S108" s="102" t="str">
        <f>MID(VLOOKUP($A108,Seqs!$A:$B,2,FALSE),VLOOKUP($A108,'NonXtal_SegEnds_Prot#'!A:AL,10,FALSE)+6,1)</f>
        <v>N</v>
      </c>
      <c r="T108" s="102" t="str">
        <f>MID(VLOOKUP($A108,Seqs!$A:$B,2,FALSE),VLOOKUP($A108,'NonXtal_SegEnds_Prot#'!A:AL,10,FALSE)+7,1)</f>
        <v>I</v>
      </c>
      <c r="U108" s="102" t="str">
        <f>MID(VLOOKUP($A108,Seqs!$A:$B,2,FALSE),VLOOKUP($A108,'NonXtal_SegEnds_Prot#'!A:AL,10,FALSE)+8,1)</f>
        <v>S</v>
      </c>
      <c r="V108" s="102" t="str">
        <f>MID(VLOOKUP($A108,Seqs!$A:$B,2,FALSE),VLOOKUP($A108,'NonXtal_SegEnds_Prot#'!A:AL,10,FALSE)+9,1)</f>
        <v>I</v>
      </c>
      <c r="W108" s="71" t="str">
        <f>MID(VLOOKUP($A108,Seqs!$A:$B,2,FALSE),VLOOKUP($A108,'NonXtal_SegEnds_Prot#'!$A:$AL,22,FALSE)+6,1)</f>
        <v>Y</v>
      </c>
      <c r="X108" s="102" t="str">
        <f>MID(VLOOKUP($A108,Seqs!$A:$B,2,FALSE),VLOOKUP($A108,'NonXtal_SegEnds_Prot#'!$A:$AL,22,FALSE)+7,1)</f>
        <v>V</v>
      </c>
      <c r="Y108" s="102" t="str">
        <f>MID(VLOOKUP($A108,Seqs!$A:$B,2,FALSE),VLOOKUP($A108,'NonXtal_SegEnds_Prot#'!$A:$AL,22,FALSE)+8,1)</f>
        <v>L</v>
      </c>
      <c r="Z108" s="102" t="str">
        <f>MID(VLOOKUP($A108,Seqs!$A:$B,2,FALSE),VLOOKUP($A108,'NonXtal_SegEnds_Prot#'!$A:$AL,22,FALSE)+9,1)</f>
        <v>G</v>
      </c>
      <c r="AA108" s="102" t="str">
        <f>MID(VLOOKUP($A108,Seqs!$A:$B,2,FALSE),VLOOKUP($A108,'NonXtal_SegEnds_Prot#'!$A:$AL,22,FALSE)+10,1)</f>
        <v>D</v>
      </c>
      <c r="AB108" s="71" t="str">
        <f>MID(VLOOKUP($A108,Seqs!$A:$B,2,FALSE),VLOOKUP($A108,'NonXtal_SegEnds_Prot#'!$A:$AL,28,FALSE)-4,1)</f>
        <v>I</v>
      </c>
      <c r="AC108" s="102" t="str">
        <f>MID(VLOOKUP($A108,Seqs!$A:$B,2,FALSE),VLOOKUP($A108,'NonXtal_SegEnds_Prot#'!$A:$AL,28,FALSE),1)</f>
        <v>A</v>
      </c>
    </row>
    <row r="109" spans="1:29" s="2" customFormat="1" x14ac:dyDescent="0.2">
      <c r="A109" s="2" t="s">
        <v>421</v>
      </c>
      <c r="B109" s="2" t="str">
        <f>LOWER(VLOOKUP(A109,Xtal_Templ!A:B,2,FALSE))</f>
        <v>5ht1b_human</v>
      </c>
      <c r="C109" s="2" t="str">
        <f>VLOOKUP(A109,Classification!A:D,2,FALSE)</f>
        <v>A</v>
      </c>
      <c r="E109" s="2" t="s">
        <v>20</v>
      </c>
      <c r="N109" s="2" t="s">
        <v>43</v>
      </c>
      <c r="P109" s="4" t="s">
        <v>51</v>
      </c>
      <c r="R109" s="71" t="str">
        <f>MID(VLOOKUP($A109,Seqs!$A:$B,2,FALSE),VLOOKUP($A109,'NonXtal_SegEnds_Prot#'!A:AL,10,FALSE),1)</f>
        <v>N</v>
      </c>
      <c r="S109" s="102" t="str">
        <f>MID(VLOOKUP($A109,Seqs!$A:$B,2,FALSE),VLOOKUP($A109,'NonXtal_SegEnds_Prot#'!A:AL,10,FALSE)+6,1)</f>
        <v>L</v>
      </c>
      <c r="T109" s="102" t="str">
        <f>MID(VLOOKUP($A109,Seqs!$A:$B,2,FALSE),VLOOKUP($A109,'NonXtal_SegEnds_Prot#'!A:AL,10,FALSE)+7,1)</f>
        <v>V</v>
      </c>
      <c r="U109" s="102" t="str">
        <f>MID(VLOOKUP($A109,Seqs!$A:$B,2,FALSE),VLOOKUP($A109,'NonXtal_SegEnds_Prot#'!A:AL,10,FALSE)+8,1)</f>
        <v>L</v>
      </c>
      <c r="V109" s="102" t="str">
        <f>MID(VLOOKUP($A109,Seqs!$A:$B,2,FALSE),VLOOKUP($A109,'NonXtal_SegEnds_Prot#'!A:AL,10,FALSE)+9,1)</f>
        <v>P</v>
      </c>
      <c r="W109" s="71" t="str">
        <f>MID(VLOOKUP($A109,Seqs!$A:$B,2,FALSE),VLOOKUP($A109,'NonXtal_SegEnds_Prot#'!$A:$AL,22,FALSE)+6,1)</f>
        <v>G</v>
      </c>
      <c r="X109" s="102" t="str">
        <f>MID(VLOOKUP($A109,Seqs!$A:$B,2,FALSE),VLOOKUP($A109,'NonXtal_SegEnds_Prot#'!$A:$AL,22,FALSE)+7,1)</f>
        <v>C</v>
      </c>
      <c r="Y109" s="102" t="str">
        <f>MID(VLOOKUP($A109,Seqs!$A:$B,2,FALSE),VLOOKUP($A109,'NonXtal_SegEnds_Prot#'!$A:$AL,22,FALSE)+8,1)</f>
        <v>L</v>
      </c>
      <c r="Z109" s="102" t="str">
        <f>MID(VLOOKUP($A109,Seqs!$A:$B,2,FALSE),VLOOKUP($A109,'NonXtal_SegEnds_Prot#'!$A:$AL,22,FALSE)+9,1)</f>
        <v>P</v>
      </c>
      <c r="AA109" s="102" t="str">
        <f>MID(VLOOKUP($A109,Seqs!$A:$B,2,FALSE),VLOOKUP($A109,'NonXtal_SegEnds_Prot#'!$A:$AL,22,FALSE)+10,1)</f>
        <v>P</v>
      </c>
      <c r="AB109" s="71" t="str">
        <f>MID(VLOOKUP($A109,Seqs!$A:$B,2,FALSE),VLOOKUP($A109,'NonXtal_SegEnds_Prot#'!$A:$AL,28,FALSE)-4,1)</f>
        <v>C</v>
      </c>
      <c r="AC109" s="102" t="str">
        <f>MID(VLOOKUP($A109,Seqs!$A:$B,2,FALSE),VLOOKUP($A109,'NonXtal_SegEnds_Prot#'!$A:$AL,28,FALSE),1)</f>
        <v>P</v>
      </c>
    </row>
    <row r="110" spans="1:29" s="2" customFormat="1" x14ac:dyDescent="0.2">
      <c r="A110" s="2" t="s">
        <v>422</v>
      </c>
      <c r="B110" s="2" t="str">
        <f>LOWER(VLOOKUP(A110,Xtal_Templ!A:B,2,FALSE))</f>
        <v>acm4_human</v>
      </c>
      <c r="C110" s="2" t="str">
        <f>VLOOKUP(A110,Classification!A:D,2,FALSE)</f>
        <v>A</v>
      </c>
      <c r="P110" s="4" t="s">
        <v>51</v>
      </c>
      <c r="R110" s="71" t="str">
        <f>MID(VLOOKUP($A110,Seqs!$A:$B,2,FALSE),VLOOKUP($A110,'NonXtal_SegEnds_Prot#'!A:AL,10,FALSE),1)</f>
        <v>H</v>
      </c>
      <c r="S110" s="102" t="str">
        <f>MID(VLOOKUP($A110,Seqs!$A:$B,2,FALSE),VLOOKUP($A110,'NonXtal_SegEnds_Prot#'!A:AL,10,FALSE)+6,1)</f>
        <v>V</v>
      </c>
      <c r="T110" s="102" t="str">
        <f>MID(VLOOKUP($A110,Seqs!$A:$B,2,FALSE),VLOOKUP($A110,'NonXtal_SegEnds_Prot#'!A:AL,10,FALSE)+7,1)</f>
        <v>P</v>
      </c>
      <c r="U110" s="102" t="str">
        <f>MID(VLOOKUP($A110,Seqs!$A:$B,2,FALSE),VLOOKUP($A110,'NonXtal_SegEnds_Prot#'!A:AL,10,FALSE)+8,1)</f>
        <v>L</v>
      </c>
      <c r="V110" s="102" t="str">
        <f>MID(VLOOKUP($A110,Seqs!$A:$B,2,FALSE),VLOOKUP($A110,'NonXtal_SegEnds_Prot#'!A:AL,10,FALSE)+9,1)</f>
        <v>T</v>
      </c>
      <c r="W110" s="71" t="str">
        <f>MID(VLOOKUP($A110,Seqs!$A:$B,2,FALSE),VLOOKUP($A110,'NonXtal_SegEnds_Prot#'!$A:$AL,22,FALSE)+6,1)</f>
        <v>L</v>
      </c>
      <c r="X110" s="102" t="str">
        <f>MID(VLOOKUP($A110,Seqs!$A:$B,2,FALSE),VLOOKUP($A110,'NonXtal_SegEnds_Prot#'!$A:$AL,22,FALSE)+7,1)</f>
        <v>S</v>
      </c>
      <c r="Y110" s="102" t="str">
        <f>MID(VLOOKUP($A110,Seqs!$A:$B,2,FALSE),VLOOKUP($A110,'NonXtal_SegEnds_Prot#'!$A:$AL,22,FALSE)+8,1)</f>
        <v>T</v>
      </c>
      <c r="Z110" s="102" t="str">
        <f>MID(VLOOKUP($A110,Seqs!$A:$B,2,FALSE),VLOOKUP($A110,'NonXtal_SegEnds_Prot#'!$A:$AL,22,FALSE)+9,1)</f>
        <v>L</v>
      </c>
      <c r="AA110" s="102" t="str">
        <f>MID(VLOOKUP($A110,Seqs!$A:$B,2,FALSE),VLOOKUP($A110,'NonXtal_SegEnds_Prot#'!$A:$AL,22,FALSE)+10,1)</f>
        <v>P</v>
      </c>
      <c r="AB110" s="71" t="str">
        <f>MID(VLOOKUP($A110,Seqs!$A:$B,2,FALSE),VLOOKUP($A110,'NonXtal_SegEnds_Prot#'!$A:$AL,28,FALSE)-4,1)</f>
        <v>L</v>
      </c>
      <c r="AC110" s="102" t="str">
        <f>MID(VLOOKUP($A110,Seqs!$A:$B,2,FALSE),VLOOKUP($A110,'NonXtal_SegEnds_Prot#'!$A:$AL,28,FALSE),1)</f>
        <v>I</v>
      </c>
    </row>
    <row r="111" spans="1:29" s="2" customFormat="1" x14ac:dyDescent="0.2">
      <c r="A111" s="2" t="s">
        <v>423</v>
      </c>
      <c r="B111" s="2" t="str">
        <f>LOWER(VLOOKUP(A111,Xtal_Templ!A:B,2,FALSE))</f>
        <v>p2y12_human</v>
      </c>
      <c r="C111" s="2" t="str">
        <f>VLOOKUP(A111,Classification!A:D,2,FALSE)</f>
        <v>A</v>
      </c>
      <c r="K111" s="2" t="s">
        <v>59</v>
      </c>
      <c r="P111" s="4" t="s">
        <v>51</v>
      </c>
      <c r="R111" s="71" t="str">
        <f>MID(VLOOKUP($A111,Seqs!$A:$B,2,FALSE),VLOOKUP($A111,'NonXtal_SegEnds_Prot#'!A:AL,10,FALSE),1)</f>
        <v>D</v>
      </c>
      <c r="S111" s="102" t="str">
        <f>MID(VLOOKUP($A111,Seqs!$A:$B,2,FALSE),VLOOKUP($A111,'NonXtal_SegEnds_Prot#'!A:AL,10,FALSE)+6,1)</f>
        <v>A</v>
      </c>
      <c r="T111" s="102" t="str">
        <f>MID(VLOOKUP($A111,Seqs!$A:$B,2,FALSE),VLOOKUP($A111,'NonXtal_SegEnds_Prot#'!A:AL,10,FALSE)+7,1)</f>
        <v>L</v>
      </c>
      <c r="U111" s="102" t="str">
        <f>MID(VLOOKUP($A111,Seqs!$A:$B,2,FALSE),VLOOKUP($A111,'NonXtal_SegEnds_Prot#'!A:AL,10,FALSE)+8,1)</f>
        <v>P</v>
      </c>
      <c r="V111" s="102" t="str">
        <f>MID(VLOOKUP($A111,Seqs!$A:$B,2,FALSE),VLOOKUP($A111,'NonXtal_SegEnds_Prot#'!A:AL,10,FALSE)+9,1)</f>
        <v>V</v>
      </c>
      <c r="W111" s="71" t="str">
        <f>MID(VLOOKUP($A111,Seqs!$A:$B,2,FALSE),VLOOKUP($A111,'NonXtal_SegEnds_Prot#'!$A:$AL,22,FALSE)+6,1)</f>
        <v>I</v>
      </c>
      <c r="X111" s="102" t="str">
        <f>MID(VLOOKUP($A111,Seqs!$A:$B,2,FALSE),VLOOKUP($A111,'NonXtal_SegEnds_Prot#'!$A:$AL,22,FALSE)+7,1)</f>
        <v>M</v>
      </c>
      <c r="Y111" s="102" t="str">
        <f>MID(VLOOKUP($A111,Seqs!$A:$B,2,FALSE),VLOOKUP($A111,'NonXtal_SegEnds_Prot#'!$A:$AL,22,FALSE)+8,1)</f>
        <v>V</v>
      </c>
      <c r="Z111" s="102" t="str">
        <f>MID(VLOOKUP($A111,Seqs!$A:$B,2,FALSE),VLOOKUP($A111,'NonXtal_SegEnds_Prot#'!$A:$AL,22,FALSE)+9,1)</f>
        <v>P</v>
      </c>
      <c r="AA111" s="102" t="str">
        <f>MID(VLOOKUP($A111,Seqs!$A:$B,2,FALSE),VLOOKUP($A111,'NonXtal_SegEnds_Prot#'!$A:$AL,22,FALSE)+10,1)</f>
        <v>N</v>
      </c>
      <c r="AB111" s="71" t="str">
        <f>MID(VLOOKUP($A111,Seqs!$A:$B,2,FALSE),VLOOKUP($A111,'NonXtal_SegEnds_Prot#'!$A:$AL,28,FALSE)-4,1)</f>
        <v>I</v>
      </c>
      <c r="AC111" s="102" t="str">
        <f>MID(VLOOKUP($A111,Seqs!$A:$B,2,FALSE),VLOOKUP($A111,'NonXtal_SegEnds_Prot#'!$A:$AL,28,FALSE),1)</f>
        <v>F</v>
      </c>
    </row>
    <row r="112" spans="1:29" s="2" customFormat="1" x14ac:dyDescent="0.2">
      <c r="A112" s="2" t="s">
        <v>424</v>
      </c>
      <c r="B112" s="2" t="str">
        <f>LOWER(VLOOKUP(A112,Xtal_Templ!A:B,2,FALSE))</f>
        <v>5ht2b_human</v>
      </c>
      <c r="C112" s="2" t="str">
        <f>VLOOKUP(A112,Classification!A:D,2,FALSE)</f>
        <v>A</v>
      </c>
      <c r="E112" s="2" t="s">
        <v>20</v>
      </c>
      <c r="N112" s="2" t="s">
        <v>43</v>
      </c>
      <c r="P112" s="4" t="s">
        <v>51</v>
      </c>
      <c r="R112" s="71" t="str">
        <f>MID(VLOOKUP($A112,Seqs!$A:$B,2,FALSE),VLOOKUP($A112,'NonXtal_SegEnds_Prot#'!A:AL,10,FALSE),1)</f>
        <v>D</v>
      </c>
      <c r="S112" s="102" t="str">
        <f>MID(VLOOKUP($A112,Seqs!$A:$B,2,FALSE),VLOOKUP($A112,'NonXtal_SegEnds_Prot#'!A:AL,10,FALSE)+6,1)</f>
        <v>V</v>
      </c>
      <c r="T112" s="102" t="str">
        <f>MID(VLOOKUP($A112,Seqs!$A:$B,2,FALSE),VLOOKUP($A112,'NonXtal_SegEnds_Prot#'!A:AL,10,FALSE)+7,1)</f>
        <v>C</v>
      </c>
      <c r="U112" s="102" t="str">
        <f>MID(VLOOKUP($A112,Seqs!$A:$B,2,FALSE),VLOOKUP($A112,'NonXtal_SegEnds_Prot#'!A:AL,10,FALSE)+8,1)</f>
        <v>F</v>
      </c>
      <c r="V112" s="102" t="str">
        <f>MID(VLOOKUP($A112,Seqs!$A:$B,2,FALSE),VLOOKUP($A112,'NonXtal_SegEnds_Prot#'!A:AL,10,FALSE)+9,1)</f>
        <v>P</v>
      </c>
      <c r="W112" s="71" t="str">
        <f>MID(VLOOKUP($A112,Seqs!$A:$B,2,FALSE),VLOOKUP($A112,'NonXtal_SegEnds_Prot#'!$A:$AL,22,FALSE)+6,1)</f>
        <v>M</v>
      </c>
      <c r="X112" s="102" t="str">
        <f>MID(VLOOKUP($A112,Seqs!$A:$B,2,FALSE),VLOOKUP($A112,'NonXtal_SegEnds_Prot#'!$A:$AL,22,FALSE)+7,1)</f>
        <v>A</v>
      </c>
      <c r="Y112" s="102" t="str">
        <f>MID(VLOOKUP($A112,Seqs!$A:$B,2,FALSE),VLOOKUP($A112,'NonXtal_SegEnds_Prot#'!$A:$AL,22,FALSE)+8,1)</f>
        <v>F</v>
      </c>
      <c r="Z112" s="102" t="str">
        <f>MID(VLOOKUP($A112,Seqs!$A:$B,2,FALSE),VLOOKUP($A112,'NonXtal_SegEnds_Prot#'!$A:$AL,22,FALSE)+9,1)</f>
        <v>P</v>
      </c>
      <c r="AA112" s="102" t="str">
        <f>MID(VLOOKUP($A112,Seqs!$A:$B,2,FALSE),VLOOKUP($A112,'NonXtal_SegEnds_Prot#'!$A:$AL,22,FALSE)+10,1)</f>
        <v>P</v>
      </c>
      <c r="AB112" s="71" t="str">
        <f>MID(VLOOKUP($A112,Seqs!$A:$B,2,FALSE),VLOOKUP($A112,'NonXtal_SegEnds_Prot#'!$A:$AL,28,FALSE)-4,1)</f>
        <v>T</v>
      </c>
      <c r="AC112" s="102" t="str">
        <f>MID(VLOOKUP($A112,Seqs!$A:$B,2,FALSE),VLOOKUP($A112,'NonXtal_SegEnds_Prot#'!$A:$AL,28,FALSE),1)</f>
        <v>P</v>
      </c>
    </row>
    <row r="113" spans="1:29" s="2" customFormat="1" x14ac:dyDescent="0.2">
      <c r="A113" s="2" t="s">
        <v>425</v>
      </c>
      <c r="B113" s="2" t="str">
        <f>LOWER(VLOOKUP(A113,Xtal_Templ!A:B,2,FALSE))</f>
        <v>p2ry1_human</v>
      </c>
      <c r="C113" s="2" t="str">
        <f>VLOOKUP(A113,Classification!A:D,2,FALSE)</f>
        <v>A</v>
      </c>
      <c r="N113" s="2" t="s">
        <v>43</v>
      </c>
      <c r="P113" s="4" t="s">
        <v>51</v>
      </c>
      <c r="R113" s="71" t="str">
        <f>MID(VLOOKUP($A113,Seqs!$A:$B,2,FALSE),VLOOKUP($A113,'NonXtal_SegEnds_Prot#'!A:AL,10,FALSE),1)</f>
        <v>D</v>
      </c>
      <c r="S113" s="102" t="str">
        <f>MID(VLOOKUP($A113,Seqs!$A:$B,2,FALSE),VLOOKUP($A113,'NonXtal_SegEnds_Prot#'!A:AL,10,FALSE)+6,1)</f>
        <v>S</v>
      </c>
      <c r="T113" s="102" t="str">
        <f>MID(VLOOKUP($A113,Seqs!$A:$B,2,FALSE),VLOOKUP($A113,'NonXtal_SegEnds_Prot#'!A:AL,10,FALSE)+7,1)</f>
        <v>L</v>
      </c>
      <c r="U113" s="102" t="str">
        <f>MID(VLOOKUP($A113,Seqs!$A:$B,2,FALSE),VLOOKUP($A113,'NonXtal_SegEnds_Prot#'!A:AL,10,FALSE)+8,1)</f>
        <v>P</v>
      </c>
      <c r="V113" s="102" t="str">
        <f>MID(VLOOKUP($A113,Seqs!$A:$B,2,FALSE),VLOOKUP($A113,'NonXtal_SegEnds_Prot#'!A:AL,10,FALSE)+9,1)</f>
        <v>L</v>
      </c>
      <c r="W113" s="71" t="str">
        <f>MID(VLOOKUP($A113,Seqs!$A:$B,2,FALSE),VLOOKUP($A113,'NonXtal_SegEnds_Prot#'!$A:$AL,22,FALSE)+6,1)</f>
        <v>A</v>
      </c>
      <c r="X113" s="102" t="str">
        <f>MID(VLOOKUP($A113,Seqs!$A:$B,2,FALSE),VLOOKUP($A113,'NonXtal_SegEnds_Prot#'!$A:$AL,22,FALSE)+7,1)</f>
        <v>C</v>
      </c>
      <c r="Y113" s="102" t="str">
        <f>MID(VLOOKUP($A113,Seqs!$A:$B,2,FALSE),VLOOKUP($A113,'NonXtal_SegEnds_Prot#'!$A:$AL,22,FALSE)+8,1)</f>
        <v>V</v>
      </c>
      <c r="Z113" s="102" t="str">
        <f>MID(VLOOKUP($A113,Seqs!$A:$B,2,FALSE),VLOOKUP($A113,'NonXtal_SegEnds_Prot#'!$A:$AL,22,FALSE)+9,1)</f>
        <v>L</v>
      </c>
      <c r="AA113" s="102" t="str">
        <f>MID(VLOOKUP($A113,Seqs!$A:$B,2,FALSE),VLOOKUP($A113,'NonXtal_SegEnds_Prot#'!$A:$AL,22,FALSE)+10,1)</f>
        <v>F</v>
      </c>
      <c r="AB113" s="71" t="str">
        <f>MID(VLOOKUP($A113,Seqs!$A:$B,2,FALSE),VLOOKUP($A113,'NonXtal_SegEnds_Prot#'!$A:$AL,28,FALSE)-4,1)</f>
        <v>G</v>
      </c>
      <c r="AC113" s="102" t="str">
        <f>MID(VLOOKUP($A113,Seqs!$A:$B,2,FALSE),VLOOKUP($A113,'NonXtal_SegEnds_Prot#'!$A:$AL,28,FALSE),1)</f>
        <v>P</v>
      </c>
    </row>
    <row r="114" spans="1:29" s="2" customFormat="1" x14ac:dyDescent="0.2">
      <c r="A114" s="2" t="s">
        <v>426</v>
      </c>
      <c r="B114" s="2" t="str">
        <f>LOWER(VLOOKUP(A114,Xtal_Templ!A:B,2,FALSE))</f>
        <v>ox1r_human</v>
      </c>
      <c r="C114" s="2" t="str">
        <f>VLOOKUP(A114,Classification!A:D,2,FALSE)</f>
        <v>A</v>
      </c>
      <c r="E114" s="2" t="s">
        <v>20</v>
      </c>
      <c r="K114" s="2" t="s">
        <v>59</v>
      </c>
      <c r="N114" s="2" t="s">
        <v>43</v>
      </c>
      <c r="P114" s="4" t="s">
        <v>51</v>
      </c>
      <c r="R114" s="71" t="str">
        <f>MID(VLOOKUP($A114,Seqs!$A:$B,2,FALSE),VLOOKUP($A114,'NonXtal_SegEnds_Prot#'!A:AL,10,FALSE),1)</f>
        <v>G</v>
      </c>
      <c r="S114" s="102" t="str">
        <f>MID(VLOOKUP($A114,Seqs!$A:$B,2,FALSE),VLOOKUP($A114,'NonXtal_SegEnds_Prot#'!A:AL,10,FALSE)+6,1)</f>
        <v>V</v>
      </c>
      <c r="T114" s="102" t="str">
        <f>MID(VLOOKUP($A114,Seqs!$A:$B,2,FALSE),VLOOKUP($A114,'NonXtal_SegEnds_Prot#'!A:AL,10,FALSE)+7,1)</f>
        <v>C</v>
      </c>
      <c r="U114" s="102" t="str">
        <f>MID(VLOOKUP($A114,Seqs!$A:$B,2,FALSE),VLOOKUP($A114,'NonXtal_SegEnds_Prot#'!A:AL,10,FALSE)+8,1)</f>
        <v>V</v>
      </c>
      <c r="V114" s="102" t="str">
        <f>MID(VLOOKUP($A114,Seqs!$A:$B,2,FALSE),VLOOKUP($A114,'NonXtal_SegEnds_Prot#'!A:AL,10,FALSE)+9,1)</f>
        <v>P</v>
      </c>
      <c r="W114" s="71" t="str">
        <f>MID(VLOOKUP($A114,Seqs!$A:$B,2,FALSE),VLOOKUP($A114,'NonXtal_SegEnds_Prot#'!$A:$AL,22,FALSE)+6,1)</f>
        <v>A</v>
      </c>
      <c r="X114" s="102" t="str">
        <f>MID(VLOOKUP($A114,Seqs!$A:$B,2,FALSE),VLOOKUP($A114,'NonXtal_SegEnds_Prot#'!$A:$AL,22,FALSE)+7,1)</f>
        <v>S</v>
      </c>
      <c r="Y114" s="102" t="str">
        <f>MID(VLOOKUP($A114,Seqs!$A:$B,2,FALSE),VLOOKUP($A114,'NonXtal_SegEnds_Prot#'!$A:$AL,22,FALSE)+8,1)</f>
        <v>V</v>
      </c>
      <c r="Z114" s="102" t="str">
        <f>MID(VLOOKUP($A114,Seqs!$A:$B,2,FALSE),VLOOKUP($A114,'NonXtal_SegEnds_Prot#'!$A:$AL,22,FALSE)+9,1)</f>
        <v>P</v>
      </c>
      <c r="AA114" s="102" t="str">
        <f>MID(VLOOKUP($A114,Seqs!$A:$B,2,FALSE),VLOOKUP($A114,'NonXtal_SegEnds_Prot#'!$A:$AL,22,FALSE)+10,1)</f>
        <v>V</v>
      </c>
      <c r="AB114" s="71" t="str">
        <f>MID(VLOOKUP($A114,Seqs!$A:$B,2,FALSE),VLOOKUP($A114,'NonXtal_SegEnds_Prot#'!$A:$AL,28,FALSE)-4,1)</f>
        <v>T</v>
      </c>
      <c r="AC114" s="102" t="str">
        <f>MID(VLOOKUP($A114,Seqs!$A:$B,2,FALSE),VLOOKUP($A114,'NonXtal_SegEnds_Prot#'!$A:$AL,28,FALSE),1)</f>
        <v>P</v>
      </c>
    </row>
    <row r="115" spans="1:29" s="2" customFormat="1" x14ac:dyDescent="0.2">
      <c r="A115" s="2" t="s">
        <v>427</v>
      </c>
      <c r="B115" s="2" t="str">
        <f>LOWER(VLOOKUP(A115,Xtal_Templ!A:B,2,FALSE))</f>
        <v>agtr1_human</v>
      </c>
      <c r="C115" s="2" t="str">
        <f>VLOOKUP(A115,Classification!A:D,2,FALSE)</f>
        <v>A</v>
      </c>
      <c r="K115" s="2" t="s">
        <v>59</v>
      </c>
      <c r="N115" s="2" t="s">
        <v>43</v>
      </c>
      <c r="P115" s="4" t="s">
        <v>51</v>
      </c>
      <c r="R115" s="71" t="str">
        <f>MID(VLOOKUP($A115,Seqs!$A:$B,2,FALSE),VLOOKUP($A115,'NonXtal_SegEnds_Prot#'!A:AL,10,FALSE),1)</f>
        <v>D</v>
      </c>
      <c r="S115" s="102" t="str">
        <f>MID(VLOOKUP($A115,Seqs!$A:$B,2,FALSE),VLOOKUP($A115,'NonXtal_SegEnds_Prot#'!A:AL,10,FALSE)+6,1)</f>
        <v>S</v>
      </c>
      <c r="T115" s="102" t="str">
        <f>MID(VLOOKUP($A115,Seqs!$A:$B,2,FALSE),VLOOKUP($A115,'NonXtal_SegEnds_Prot#'!A:AL,10,FALSE)+7,1)</f>
        <v>L</v>
      </c>
      <c r="U115" s="102" t="str">
        <f>MID(VLOOKUP($A115,Seqs!$A:$B,2,FALSE),VLOOKUP($A115,'NonXtal_SegEnds_Prot#'!A:AL,10,FALSE)+8,1)</f>
        <v>P</v>
      </c>
      <c r="V115" s="102" t="str">
        <f>MID(VLOOKUP($A115,Seqs!$A:$B,2,FALSE),VLOOKUP($A115,'NonXtal_SegEnds_Prot#'!A:AL,10,FALSE)+9,1)</f>
        <v>V</v>
      </c>
      <c r="W115" s="71" t="str">
        <f>MID(VLOOKUP($A115,Seqs!$A:$B,2,FALSE),VLOOKUP($A115,'NonXtal_SegEnds_Prot#'!$A:$AL,22,FALSE)+6,1)</f>
        <v>I</v>
      </c>
      <c r="X115" s="102" t="str">
        <f>MID(VLOOKUP($A115,Seqs!$A:$B,2,FALSE),VLOOKUP($A115,'NonXtal_SegEnds_Prot#'!$A:$AL,22,FALSE)+7,1)</f>
        <v>P</v>
      </c>
      <c r="Y115" s="102" t="str">
        <f>MID(VLOOKUP($A115,Seqs!$A:$B,2,FALSE),VLOOKUP($A115,'NonXtal_SegEnds_Prot#'!$A:$AL,22,FALSE)+8,1)</f>
        <v>L</v>
      </c>
      <c r="Z115" s="102" t="str">
        <f>MID(VLOOKUP($A115,Seqs!$A:$B,2,FALSE),VLOOKUP($A115,'NonXtal_SegEnds_Prot#'!$A:$AL,22,FALSE)+9,1)</f>
        <v>P</v>
      </c>
      <c r="AA115" s="102" t="str">
        <f>MID(VLOOKUP($A115,Seqs!$A:$B,2,FALSE),VLOOKUP($A115,'NonXtal_SegEnds_Prot#'!$A:$AL,22,FALSE)+10,1)</f>
        <v>E</v>
      </c>
      <c r="AB115" s="71" t="str">
        <f>MID(VLOOKUP($A115,Seqs!$A:$B,2,FALSE),VLOOKUP($A115,'NonXtal_SegEnds_Prot#'!$A:$AL,28,FALSE)-4,1)</f>
        <v>G</v>
      </c>
      <c r="AC115" s="102" t="str">
        <f>MID(VLOOKUP($A115,Seqs!$A:$B,2,FALSE),VLOOKUP($A115,'NonXtal_SegEnds_Prot#'!$A:$AL,28,FALSE),1)</f>
        <v>P</v>
      </c>
    </row>
    <row r="116" spans="1:29" s="2" customFormat="1" x14ac:dyDescent="0.2">
      <c r="A116" s="2" t="s">
        <v>428</v>
      </c>
      <c r="B116" s="2" t="str">
        <f>LOWER(VLOOKUP(A116,Xtal_Templ!A:B,2,FALSE))</f>
        <v>p2y12_human</v>
      </c>
      <c r="C116" s="2" t="str">
        <f>VLOOKUP(A116,Classification!A:D,2,FALSE)</f>
        <v>A</v>
      </c>
      <c r="K116" s="2" t="s">
        <v>59</v>
      </c>
      <c r="N116" s="2" t="s">
        <v>43</v>
      </c>
      <c r="P116" s="4" t="s">
        <v>51</v>
      </c>
      <c r="R116" s="71" t="str">
        <f>MID(VLOOKUP($A116,Seqs!$A:$B,2,FALSE),VLOOKUP($A116,'NonXtal_SegEnds_Prot#'!A:AL,10,FALSE),1)</f>
        <v>D</v>
      </c>
      <c r="S116" s="102" t="str">
        <f>MID(VLOOKUP($A116,Seqs!$A:$B,2,FALSE),VLOOKUP($A116,'NonXtal_SegEnds_Prot#'!A:AL,10,FALSE)+6,1)</f>
        <v>A</v>
      </c>
      <c r="T116" s="102" t="str">
        <f>MID(VLOOKUP($A116,Seqs!$A:$B,2,FALSE),VLOOKUP($A116,'NonXtal_SegEnds_Prot#'!A:AL,10,FALSE)+7,1)</f>
        <v>L</v>
      </c>
      <c r="U116" s="102" t="str">
        <f>MID(VLOOKUP($A116,Seqs!$A:$B,2,FALSE),VLOOKUP($A116,'NonXtal_SegEnds_Prot#'!A:AL,10,FALSE)+8,1)</f>
        <v>P</v>
      </c>
      <c r="V116" s="102" t="str">
        <f>MID(VLOOKUP($A116,Seqs!$A:$B,2,FALSE),VLOOKUP($A116,'NonXtal_SegEnds_Prot#'!A:AL,10,FALSE)+9,1)</f>
        <v>T</v>
      </c>
      <c r="W116" s="71" t="str">
        <f>MID(VLOOKUP($A116,Seqs!$A:$B,2,FALSE),VLOOKUP($A116,'NonXtal_SegEnds_Prot#'!$A:$AL,22,FALSE)+6,1)</f>
        <v>Q</v>
      </c>
      <c r="X116" s="102" t="str">
        <f>MID(VLOOKUP($A116,Seqs!$A:$B,2,FALSE),VLOOKUP($A116,'NonXtal_SegEnds_Prot#'!$A:$AL,22,FALSE)+7,1)</f>
        <v>T</v>
      </c>
      <c r="Y116" s="102" t="str">
        <f>MID(VLOOKUP($A116,Seqs!$A:$B,2,FALSE),VLOOKUP($A116,'NonXtal_SegEnds_Prot#'!$A:$AL,22,FALSE)+8,1)</f>
        <v>L</v>
      </c>
      <c r="Z116" s="102" t="str">
        <f>MID(VLOOKUP($A116,Seqs!$A:$B,2,FALSE),VLOOKUP($A116,'NonXtal_SegEnds_Prot#'!$A:$AL,22,FALSE)+9,1)</f>
        <v>P</v>
      </c>
      <c r="AA116" s="102" t="str">
        <f>MID(VLOOKUP($A116,Seqs!$A:$B,2,FALSE),VLOOKUP($A116,'NonXtal_SegEnds_Prot#'!$A:$AL,22,FALSE)+10,1)</f>
        <v>L</v>
      </c>
      <c r="AB116" s="71" t="str">
        <f>MID(VLOOKUP($A116,Seqs!$A:$B,2,FALSE),VLOOKUP($A116,'NonXtal_SegEnds_Prot#'!$A:$AL,28,FALSE)-4,1)</f>
        <v>G</v>
      </c>
      <c r="AC116" s="102" t="str">
        <f>MID(VLOOKUP($A116,Seqs!$A:$B,2,FALSE),VLOOKUP($A116,'NonXtal_SegEnds_Prot#'!$A:$AL,28,FALSE),1)</f>
        <v>P</v>
      </c>
    </row>
    <row r="117" spans="1:29" s="2" customFormat="1" x14ac:dyDescent="0.2">
      <c r="A117" s="2" t="s">
        <v>429</v>
      </c>
      <c r="B117" s="2" t="str">
        <f>LOWER(VLOOKUP(A117,Xtal_Templ!A:B,2,FALSE))</f>
        <v>acm1_human</v>
      </c>
      <c r="C117" s="2" t="str">
        <f>VLOOKUP(A117,Classification!A:D,2,FALSE)</f>
        <v>A</v>
      </c>
      <c r="N117" s="2" t="s">
        <v>43</v>
      </c>
      <c r="P117" s="4" t="s">
        <v>51</v>
      </c>
      <c r="R117" s="71" t="str">
        <f>MID(VLOOKUP($A117,Seqs!$A:$B,2,FALSE),VLOOKUP($A117,'NonXtal_SegEnds_Prot#'!A:AL,10,FALSE),1)</f>
        <v>G</v>
      </c>
      <c r="S117" s="102" t="str">
        <f>MID(VLOOKUP($A117,Seqs!$A:$B,2,FALSE),VLOOKUP($A117,'NonXtal_SegEnds_Prot#'!A:AL,10,FALSE)+6,1)</f>
        <v>A</v>
      </c>
      <c r="T117" s="102" t="str">
        <f>MID(VLOOKUP($A117,Seqs!$A:$B,2,FALSE),VLOOKUP($A117,'NonXtal_SegEnds_Prot#'!A:AL,10,FALSE)+7,1)</f>
        <v>L</v>
      </c>
      <c r="U117" s="102" t="str">
        <f>MID(VLOOKUP($A117,Seqs!$A:$B,2,FALSE),VLOOKUP($A117,'NonXtal_SegEnds_Prot#'!A:AL,10,FALSE)+8,1)</f>
        <v>P</v>
      </c>
      <c r="V117" s="102" t="str">
        <f>MID(VLOOKUP($A117,Seqs!$A:$B,2,FALSE),VLOOKUP($A117,'NonXtal_SegEnds_Prot#'!A:AL,10,FALSE)+9,1)</f>
        <v>T</v>
      </c>
      <c r="W117" s="71" t="str">
        <f>MID(VLOOKUP($A117,Seqs!$A:$B,2,FALSE),VLOOKUP($A117,'NonXtal_SegEnds_Prot#'!$A:$AL,22,FALSE)+6,1)</f>
        <v>F</v>
      </c>
      <c r="X117" s="102" t="str">
        <f>MID(VLOOKUP($A117,Seqs!$A:$B,2,FALSE),VLOOKUP($A117,'NonXtal_SegEnds_Prot#'!$A:$AL,22,FALSE)+7,1)</f>
        <v>A</v>
      </c>
      <c r="Y117" s="102" t="str">
        <f>MID(VLOOKUP($A117,Seqs!$A:$B,2,FALSE),VLOOKUP($A117,'NonXtal_SegEnds_Prot#'!$A:$AL,22,FALSE)+8,1)</f>
        <v>S</v>
      </c>
      <c r="Z117" s="102" t="str">
        <f>MID(VLOOKUP($A117,Seqs!$A:$B,2,FALSE),VLOOKUP($A117,'NonXtal_SegEnds_Prot#'!$A:$AL,22,FALSE)+9,1)</f>
        <v>L</v>
      </c>
      <c r="AA117" s="102" t="str">
        <f>MID(VLOOKUP($A117,Seqs!$A:$B,2,FALSE),VLOOKUP($A117,'NonXtal_SegEnds_Prot#'!$A:$AL,22,FALSE)+10,1)</f>
        <v>P</v>
      </c>
      <c r="AB117" s="71" t="str">
        <f>MID(VLOOKUP($A117,Seqs!$A:$B,2,FALSE),VLOOKUP($A117,'NonXtal_SegEnds_Prot#'!$A:$AL,28,FALSE)-4,1)</f>
        <v>G</v>
      </c>
      <c r="AC117" s="102" t="str">
        <f>MID(VLOOKUP($A117,Seqs!$A:$B,2,FALSE),VLOOKUP($A117,'NonXtal_SegEnds_Prot#'!$A:$AL,28,FALSE),1)</f>
        <v>P</v>
      </c>
    </row>
    <row r="118" spans="1:29" s="2" customFormat="1" x14ac:dyDescent="0.2">
      <c r="A118" s="2" t="s">
        <v>430</v>
      </c>
      <c r="B118" s="2" t="str">
        <f>LOWER(VLOOKUP(A118,Xtal_Templ!A:B,2,FALSE))</f>
        <v>agtr1_human</v>
      </c>
      <c r="C118" s="2" t="str">
        <f>VLOOKUP(A118,Classification!A:D,2,FALSE)</f>
        <v>A</v>
      </c>
      <c r="N118" s="2" t="s">
        <v>43</v>
      </c>
      <c r="P118" s="4" t="s">
        <v>51</v>
      </c>
      <c r="R118" s="71" t="str">
        <f>MID(VLOOKUP($A118,Seqs!$A:$B,2,FALSE),VLOOKUP($A118,'NonXtal_SegEnds_Prot#'!A:AL,10,FALSE),1)</f>
        <v>D</v>
      </c>
      <c r="S118" s="102" t="str">
        <f>MID(VLOOKUP($A118,Seqs!$A:$B,2,FALSE),VLOOKUP($A118,'NonXtal_SegEnds_Prot#'!A:AL,10,FALSE)+6,1)</f>
        <v>D</v>
      </c>
      <c r="T118" s="102" t="str">
        <f>MID(VLOOKUP($A118,Seqs!$A:$B,2,FALSE),VLOOKUP($A118,'NonXtal_SegEnds_Prot#'!A:AL,10,FALSE)+7,1)</f>
        <v>S</v>
      </c>
      <c r="U118" s="102" t="str">
        <f>MID(VLOOKUP($A118,Seqs!$A:$B,2,FALSE),VLOOKUP($A118,'NonXtal_SegEnds_Prot#'!A:AL,10,FALSE)+8,1)</f>
        <v>L</v>
      </c>
      <c r="V118" s="102" t="str">
        <f>MID(VLOOKUP($A118,Seqs!$A:$B,2,FALSE),VLOOKUP($A118,'NonXtal_SegEnds_Prot#'!A:AL,10,FALSE)+9,1)</f>
        <v>I</v>
      </c>
      <c r="W118" s="71" t="str">
        <f>MID(VLOOKUP($A118,Seqs!$A:$B,2,FALSE),VLOOKUP($A118,'NonXtal_SegEnds_Prot#'!$A:$AL,22,FALSE)+6,1)</f>
        <v>A</v>
      </c>
      <c r="X118" s="102" t="str">
        <f>MID(VLOOKUP($A118,Seqs!$A:$B,2,FALSE),VLOOKUP($A118,'NonXtal_SegEnds_Prot#'!$A:$AL,22,FALSE)+7,1)</f>
        <v>T</v>
      </c>
      <c r="Y118" s="102" t="str">
        <f>MID(VLOOKUP($A118,Seqs!$A:$B,2,FALSE),VLOOKUP($A118,'NonXtal_SegEnds_Prot#'!$A:$AL,22,FALSE)+8,1)</f>
        <v>L</v>
      </c>
      <c r="Z118" s="102" t="str">
        <f>MID(VLOOKUP($A118,Seqs!$A:$B,2,FALSE),VLOOKUP($A118,'NonXtal_SegEnds_Prot#'!$A:$AL,22,FALSE)+9,1)</f>
        <v>V</v>
      </c>
      <c r="AA118" s="102" t="str">
        <f>MID(VLOOKUP($A118,Seqs!$A:$B,2,FALSE),VLOOKUP($A118,'NonXtal_SegEnds_Prot#'!$A:$AL,22,FALSE)+10,1)</f>
        <v>P</v>
      </c>
      <c r="AB118" s="71" t="str">
        <f>MID(VLOOKUP($A118,Seqs!$A:$B,2,FALSE),VLOOKUP($A118,'NonXtal_SegEnds_Prot#'!$A:$AL,28,FALSE)-4,1)</f>
        <v>G</v>
      </c>
      <c r="AC118" s="102" t="str">
        <f>MID(VLOOKUP($A118,Seqs!$A:$B,2,FALSE),VLOOKUP($A118,'NonXtal_SegEnds_Prot#'!$A:$AL,28,FALSE),1)</f>
        <v>P</v>
      </c>
    </row>
    <row r="119" spans="1:29" s="2" customFormat="1" x14ac:dyDescent="0.2">
      <c r="A119" s="2" t="s">
        <v>431</v>
      </c>
      <c r="B119" s="2" t="str">
        <f>LOWER(VLOOKUP(A119,Xtal_Templ!A:B,2,FALSE))</f>
        <v>agtr1_human</v>
      </c>
      <c r="C119" s="2" t="str">
        <f>VLOOKUP(A119,Classification!A:D,2,FALSE)</f>
        <v>A</v>
      </c>
      <c r="N119" s="2" t="s">
        <v>43</v>
      </c>
      <c r="P119" s="4" t="s">
        <v>51</v>
      </c>
      <c r="R119" s="71" t="str">
        <f>MID(VLOOKUP($A119,Seqs!$A:$B,2,FALSE),VLOOKUP($A119,'NonXtal_SegEnds_Prot#'!A:AL,10,FALSE),1)</f>
        <v>D</v>
      </c>
      <c r="S119" s="102" t="str">
        <f>MID(VLOOKUP($A119,Seqs!$A:$B,2,FALSE),VLOOKUP($A119,'NonXtal_SegEnds_Prot#'!A:AL,10,FALSE)+6,1)</f>
        <v>F</v>
      </c>
      <c r="T119" s="102" t="str">
        <f>MID(VLOOKUP($A119,Seqs!$A:$B,2,FALSE),VLOOKUP($A119,'NonXtal_SegEnds_Prot#'!A:AL,10,FALSE)+7,1)</f>
        <v>L</v>
      </c>
      <c r="U119" s="102" t="str">
        <f>MID(VLOOKUP($A119,Seqs!$A:$B,2,FALSE),VLOOKUP($A119,'NonXtal_SegEnds_Prot#'!A:AL,10,FALSE)+8,1)</f>
        <v>P</v>
      </c>
      <c r="V119" s="102" t="str">
        <f>MID(VLOOKUP($A119,Seqs!$A:$B,2,FALSE),VLOOKUP($A119,'NonXtal_SegEnds_Prot#'!A:AL,10,FALSE)+9,1)</f>
        <v>L</v>
      </c>
      <c r="W119" s="71" t="str">
        <f>MID(VLOOKUP($A119,Seqs!$A:$B,2,FALSE),VLOOKUP($A119,'NonXtal_SegEnds_Prot#'!$A:$AL,22,FALSE)+6,1)</f>
        <v>I</v>
      </c>
      <c r="X119" s="102" t="str">
        <f>MID(VLOOKUP($A119,Seqs!$A:$B,2,FALSE),VLOOKUP($A119,'NonXtal_SegEnds_Prot#'!$A:$AL,22,FALSE)+7,1)</f>
        <v>G</v>
      </c>
      <c r="Y119" s="102" t="str">
        <f>MID(VLOOKUP($A119,Seqs!$A:$B,2,FALSE),VLOOKUP($A119,'NonXtal_SegEnds_Prot#'!$A:$AL,22,FALSE)+8,1)</f>
        <v>G</v>
      </c>
      <c r="Z119" s="102" t="str">
        <f>MID(VLOOKUP($A119,Seqs!$A:$B,2,FALSE),VLOOKUP($A119,'NonXtal_SegEnds_Prot#'!$A:$AL,22,FALSE)+9,1)</f>
        <v>P</v>
      </c>
      <c r="AA119" s="102" t="str">
        <f>MID(VLOOKUP($A119,Seqs!$A:$B,2,FALSE),VLOOKUP($A119,'NonXtal_SegEnds_Prot#'!$A:$AL,22,FALSE)+10,1)</f>
        <v>A</v>
      </c>
      <c r="AB119" s="71" t="str">
        <f>MID(VLOOKUP($A119,Seqs!$A:$B,2,FALSE),VLOOKUP($A119,'NonXtal_SegEnds_Prot#'!$A:$AL,28,FALSE)-4,1)</f>
        <v>G</v>
      </c>
      <c r="AC119" s="102" t="str">
        <f>MID(VLOOKUP($A119,Seqs!$A:$B,2,FALSE),VLOOKUP($A119,'NonXtal_SegEnds_Prot#'!$A:$AL,28,FALSE),1)</f>
        <v>P</v>
      </c>
    </row>
    <row r="120" spans="1:29" s="2" customFormat="1" x14ac:dyDescent="0.2">
      <c r="A120" s="2" t="s">
        <v>432</v>
      </c>
      <c r="B120" s="2" t="str">
        <f>LOWER(VLOOKUP(A120,Xtal_Templ!A:B,2,FALSE))</f>
        <v>s1pr1_human</v>
      </c>
      <c r="C120" s="2" t="str">
        <f>VLOOKUP(A120,Classification!A:D,2,FALSE)</f>
        <v>A</v>
      </c>
      <c r="P120" s="4" t="s">
        <v>51</v>
      </c>
      <c r="R120" s="71" t="str">
        <f>MID(VLOOKUP($A120,Seqs!$A:$B,2,FALSE),VLOOKUP($A120,'NonXtal_SegEnds_Prot#'!A:AL,10,FALSE),1)</f>
        <v>D</v>
      </c>
      <c r="S120" s="102" t="str">
        <f>MID(VLOOKUP($A120,Seqs!$A:$B,2,FALSE),VLOOKUP($A120,'NonXtal_SegEnds_Prot#'!A:AL,10,FALSE)+6,1)</f>
        <v>G</v>
      </c>
      <c r="T120" s="102" t="str">
        <f>MID(VLOOKUP($A120,Seqs!$A:$B,2,FALSE),VLOOKUP($A120,'NonXtal_SegEnds_Prot#'!A:AL,10,FALSE)+7,1)</f>
        <v>L</v>
      </c>
      <c r="U120" s="102" t="str">
        <f>MID(VLOOKUP($A120,Seqs!$A:$B,2,FALSE),VLOOKUP($A120,'NonXtal_SegEnds_Prot#'!A:AL,10,FALSE)+8,1)</f>
        <v>I</v>
      </c>
      <c r="V120" s="102" t="str">
        <f>MID(VLOOKUP($A120,Seqs!$A:$B,2,FALSE),VLOOKUP($A120,'NonXtal_SegEnds_Prot#'!A:AL,10,FALSE)+9,1)</f>
        <v>T</v>
      </c>
      <c r="W120" s="71" t="str">
        <f>MID(VLOOKUP($A120,Seqs!$A:$B,2,FALSE),VLOOKUP($A120,'NonXtal_SegEnds_Prot#'!$A:$AL,22,FALSE)+6,1)</f>
        <v>L</v>
      </c>
      <c r="X120" s="102" t="str">
        <f>MID(VLOOKUP($A120,Seqs!$A:$B,2,FALSE),VLOOKUP($A120,'NonXtal_SegEnds_Prot#'!$A:$AL,22,FALSE)+7,1)</f>
        <v>G</v>
      </c>
      <c r="Y120" s="102" t="str">
        <f>MID(VLOOKUP($A120,Seqs!$A:$B,2,FALSE),VLOOKUP($A120,'NonXtal_SegEnds_Prot#'!$A:$AL,22,FALSE)+8,1)</f>
        <v>L</v>
      </c>
      <c r="Z120" s="102" t="str">
        <f>MID(VLOOKUP($A120,Seqs!$A:$B,2,FALSE),VLOOKUP($A120,'NonXtal_SegEnds_Prot#'!$A:$AL,22,FALSE)+9,1)</f>
        <v>L</v>
      </c>
      <c r="AA120" s="102" t="str">
        <f>MID(VLOOKUP($A120,Seqs!$A:$B,2,FALSE),VLOOKUP($A120,'NonXtal_SegEnds_Prot#'!$A:$AL,22,FALSE)+10,1)</f>
        <v>P</v>
      </c>
      <c r="AB120" s="71" t="str">
        <f>MID(VLOOKUP($A120,Seqs!$A:$B,2,FALSE),VLOOKUP($A120,'NonXtal_SegEnds_Prot#'!$A:$AL,28,FALSE)-4,1)</f>
        <v>S</v>
      </c>
      <c r="AC120" s="102" t="str">
        <f>MID(VLOOKUP($A120,Seqs!$A:$B,2,FALSE),VLOOKUP($A120,'NonXtal_SegEnds_Prot#'!$A:$AL,28,FALSE),1)</f>
        <v>M</v>
      </c>
    </row>
    <row r="121" spans="1:29" s="2" customFormat="1" x14ac:dyDescent="0.2">
      <c r="A121" s="2" t="s">
        <v>433</v>
      </c>
      <c r="B121" s="2" t="str">
        <f>LOWER(VLOOKUP(A121,Xtal_Templ!A:B,2,FALSE))</f>
        <v>agtr1_human</v>
      </c>
      <c r="C121" s="2" t="str">
        <f>VLOOKUP(A121,Classification!A:D,2,FALSE)</f>
        <v>A</v>
      </c>
      <c r="N121" s="2" t="s">
        <v>43</v>
      </c>
      <c r="P121" s="4" t="s">
        <v>51</v>
      </c>
      <c r="R121" s="71" t="str">
        <f>MID(VLOOKUP($A121,Seqs!$A:$B,2,FALSE),VLOOKUP($A121,'NonXtal_SegEnds_Prot#'!A:AL,10,FALSE),1)</f>
        <v>D</v>
      </c>
      <c r="S121" s="102" t="str">
        <f>MID(VLOOKUP($A121,Seqs!$A:$B,2,FALSE),VLOOKUP($A121,'NonXtal_SegEnds_Prot#'!A:AL,10,FALSE)+6,1)</f>
        <v>T</v>
      </c>
      <c r="T121" s="102" t="str">
        <f>MID(VLOOKUP($A121,Seqs!$A:$B,2,FALSE),VLOOKUP($A121,'NonXtal_SegEnds_Prot#'!A:AL,10,FALSE)+7,1)</f>
        <v>L</v>
      </c>
      <c r="U121" s="102" t="str">
        <f>MID(VLOOKUP($A121,Seqs!$A:$B,2,FALSE),VLOOKUP($A121,'NonXtal_SegEnds_Prot#'!A:AL,10,FALSE)+8,1)</f>
        <v>P</v>
      </c>
      <c r="V121" s="102" t="str">
        <f>MID(VLOOKUP($A121,Seqs!$A:$B,2,FALSE),VLOOKUP($A121,'NonXtal_SegEnds_Prot#'!A:AL,10,FALSE)+9,1)</f>
        <v>L</v>
      </c>
      <c r="W121" s="71" t="str">
        <f>MID(VLOOKUP($A121,Seqs!$A:$B,2,FALSE),VLOOKUP($A121,'NonXtal_SegEnds_Prot#'!$A:$AL,22,FALSE)+6,1)</f>
        <v>L</v>
      </c>
      <c r="X121" s="102" t="str">
        <f>MID(VLOOKUP($A121,Seqs!$A:$B,2,FALSE),VLOOKUP($A121,'NonXtal_SegEnds_Prot#'!$A:$AL,22,FALSE)+7,1)</f>
        <v>G</v>
      </c>
      <c r="Y121" s="102" t="str">
        <f>MID(VLOOKUP($A121,Seqs!$A:$B,2,FALSE),VLOOKUP($A121,'NonXtal_SegEnds_Prot#'!$A:$AL,22,FALSE)+8,1)</f>
        <v>L</v>
      </c>
      <c r="Z121" s="102" t="str">
        <f>MID(VLOOKUP($A121,Seqs!$A:$B,2,FALSE),VLOOKUP($A121,'NonXtal_SegEnds_Prot#'!$A:$AL,22,FALSE)+9,1)</f>
        <v>P</v>
      </c>
      <c r="AA121" s="102" t="str">
        <f>MID(VLOOKUP($A121,Seqs!$A:$B,2,FALSE),VLOOKUP($A121,'NonXtal_SegEnds_Prot#'!$A:$AL,22,FALSE)+10,1)</f>
        <v>T</v>
      </c>
      <c r="AB121" s="71" t="str">
        <f>MID(VLOOKUP($A121,Seqs!$A:$B,2,FALSE),VLOOKUP($A121,'NonXtal_SegEnds_Prot#'!$A:$AL,28,FALSE)-4,1)</f>
        <v>T</v>
      </c>
      <c r="AC121" s="102" t="str">
        <f>MID(VLOOKUP($A121,Seqs!$A:$B,2,FALSE),VLOOKUP($A121,'NonXtal_SegEnds_Prot#'!$A:$AL,28,FALSE),1)</f>
        <v>P</v>
      </c>
    </row>
    <row r="122" spans="1:29" s="2" customFormat="1" x14ac:dyDescent="0.2">
      <c r="A122" s="2" t="s">
        <v>434</v>
      </c>
      <c r="B122" s="2" t="str">
        <f>LOWER(VLOOKUP(A122,Xtal_Templ!A:B,2,FALSE))</f>
        <v>p2ry1_human</v>
      </c>
      <c r="C122" s="2" t="str">
        <f>VLOOKUP(A122,Classification!A:D,2,FALSE)</f>
        <v>A</v>
      </c>
      <c r="K122" s="2" t="s">
        <v>59</v>
      </c>
      <c r="N122" s="2" t="s">
        <v>43</v>
      </c>
      <c r="P122" s="4" t="s">
        <v>51</v>
      </c>
      <c r="R122" s="71" t="str">
        <f>MID(VLOOKUP($A122,Seqs!$A:$B,2,FALSE),VLOOKUP($A122,'NonXtal_SegEnds_Prot#'!A:AL,10,FALSE),1)</f>
        <v>D</v>
      </c>
      <c r="S122" s="102" t="str">
        <f>MID(VLOOKUP($A122,Seqs!$A:$B,2,FALSE),VLOOKUP($A122,'NonXtal_SegEnds_Prot#'!A:AL,10,FALSE)+6,1)</f>
        <v>V</v>
      </c>
      <c r="T122" s="102" t="str">
        <f>MID(VLOOKUP($A122,Seqs!$A:$B,2,FALSE),VLOOKUP($A122,'NonXtal_SegEnds_Prot#'!A:AL,10,FALSE)+7,1)</f>
        <v>L</v>
      </c>
      <c r="U122" s="102" t="str">
        <f>MID(VLOOKUP($A122,Seqs!$A:$B,2,FALSE),VLOOKUP($A122,'NonXtal_SegEnds_Prot#'!A:AL,10,FALSE)+8,1)</f>
        <v>P</v>
      </c>
      <c r="V122" s="102" t="str">
        <f>MID(VLOOKUP($A122,Seqs!$A:$B,2,FALSE),VLOOKUP($A122,'NonXtal_SegEnds_Prot#'!A:AL,10,FALSE)+9,1)</f>
        <v>T</v>
      </c>
      <c r="W122" s="71" t="str">
        <f>MID(VLOOKUP($A122,Seqs!$A:$B,2,FALSE),VLOOKUP($A122,'NonXtal_SegEnds_Prot#'!$A:$AL,22,FALSE)+6,1)</f>
        <v>A</v>
      </c>
      <c r="X122" s="102" t="str">
        <f>MID(VLOOKUP($A122,Seqs!$A:$B,2,FALSE),VLOOKUP($A122,'NonXtal_SegEnds_Prot#'!$A:$AL,22,FALSE)+7,1)</f>
        <v>M</v>
      </c>
      <c r="Y122" s="102" t="str">
        <f>MID(VLOOKUP($A122,Seqs!$A:$B,2,FALSE),VLOOKUP($A122,'NonXtal_SegEnds_Prot#'!$A:$AL,22,FALSE)+8,1)</f>
        <v>A</v>
      </c>
      <c r="Z122" s="102" t="str">
        <f>MID(VLOOKUP($A122,Seqs!$A:$B,2,FALSE),VLOOKUP($A122,'NonXtal_SegEnds_Prot#'!$A:$AL,22,FALSE)+9,1)</f>
        <v>P</v>
      </c>
      <c r="AA122" s="102" t="str">
        <f>MID(VLOOKUP($A122,Seqs!$A:$B,2,FALSE),VLOOKUP($A122,'NonXtal_SegEnds_Prot#'!$A:$AL,22,FALSE)+10,1)</f>
        <v>L</v>
      </c>
      <c r="AB122" s="71" t="str">
        <f>MID(VLOOKUP($A122,Seqs!$A:$B,2,FALSE),VLOOKUP($A122,'NonXtal_SegEnds_Prot#'!$A:$AL,28,FALSE)-4,1)</f>
        <v>A</v>
      </c>
      <c r="AC122" s="102" t="str">
        <f>MID(VLOOKUP($A122,Seqs!$A:$B,2,FALSE),VLOOKUP($A122,'NonXtal_SegEnds_Prot#'!$A:$AL,28,FALSE),1)</f>
        <v>P</v>
      </c>
    </row>
    <row r="123" spans="1:29" s="2" customFormat="1" x14ac:dyDescent="0.2">
      <c r="A123" s="2" t="s">
        <v>435</v>
      </c>
      <c r="B123" s="2" t="str">
        <f>LOWER(VLOOKUP(A123,Xtal_Templ!A:B,2,FALSE))</f>
        <v>p2ry1_human</v>
      </c>
      <c r="C123" s="2" t="str">
        <f>VLOOKUP(A123,Classification!A:D,2,FALSE)</f>
        <v>A</v>
      </c>
      <c r="P123" s="4" t="s">
        <v>51</v>
      </c>
      <c r="R123" s="71" t="str">
        <f>MID(VLOOKUP($A123,Seqs!$A:$B,2,FALSE),VLOOKUP($A123,'NonXtal_SegEnds_Prot#'!A:AL,10,FALSE),1)</f>
        <v>D</v>
      </c>
      <c r="S123" s="102" t="str">
        <f>MID(VLOOKUP($A123,Seqs!$A:$B,2,FALSE),VLOOKUP($A123,'NonXtal_SegEnds_Prot#'!A:AL,10,FALSE)+6,1)</f>
        <v>T</v>
      </c>
      <c r="T123" s="102" t="str">
        <f>MID(VLOOKUP($A123,Seqs!$A:$B,2,FALSE),VLOOKUP($A123,'NonXtal_SegEnds_Prot#'!A:AL,10,FALSE)+7,1)</f>
        <v>L</v>
      </c>
      <c r="U123" s="102" t="str">
        <f>MID(VLOOKUP($A123,Seqs!$A:$B,2,FALSE),VLOOKUP($A123,'NonXtal_SegEnds_Prot#'!A:AL,10,FALSE)+8,1)</f>
        <v>P</v>
      </c>
      <c r="V123" s="102" t="str">
        <f>MID(VLOOKUP($A123,Seqs!$A:$B,2,FALSE),VLOOKUP($A123,'NonXtal_SegEnds_Prot#'!A:AL,10,FALSE)+9,1)</f>
        <v>F</v>
      </c>
      <c r="W123" s="71" t="str">
        <f>MID(VLOOKUP($A123,Seqs!$A:$B,2,FALSE),VLOOKUP($A123,'NonXtal_SegEnds_Prot#'!$A:$AL,22,FALSE)+6,1)</f>
        <v>T</v>
      </c>
      <c r="X123" s="102" t="str">
        <f>MID(VLOOKUP($A123,Seqs!$A:$B,2,FALSE),VLOOKUP($A123,'NonXtal_SegEnds_Prot#'!$A:$AL,22,FALSE)+7,1)</f>
        <v>T</v>
      </c>
      <c r="Y123" s="102" t="str">
        <f>MID(VLOOKUP($A123,Seqs!$A:$B,2,FALSE),VLOOKUP($A123,'NonXtal_SegEnds_Prot#'!$A:$AL,22,FALSE)+8,1)</f>
        <v>T</v>
      </c>
      <c r="Z123" s="102" t="str">
        <f>MID(VLOOKUP($A123,Seqs!$A:$B,2,FALSE),VLOOKUP($A123,'NonXtal_SegEnds_Prot#'!$A:$AL,22,FALSE)+9,1)</f>
        <v>P</v>
      </c>
      <c r="AA123" s="102" t="str">
        <f>MID(VLOOKUP($A123,Seqs!$A:$B,2,FALSE),VLOOKUP($A123,'NonXtal_SegEnds_Prot#'!$A:$AL,22,FALSE)+10,1)</f>
        <v>L</v>
      </c>
      <c r="AB123" s="71" t="str">
        <f>MID(VLOOKUP($A123,Seqs!$A:$B,2,FALSE),VLOOKUP($A123,'NonXtal_SegEnds_Prot#'!$A:$AL,28,FALSE)-4,1)</f>
        <v>F</v>
      </c>
      <c r="AC123" s="102" t="str">
        <f>MID(VLOOKUP($A123,Seqs!$A:$B,2,FALSE),VLOOKUP($A123,'NonXtal_SegEnds_Prot#'!$A:$AL,28,FALSE),1)</f>
        <v>P</v>
      </c>
    </row>
    <row r="124" spans="1:29" s="2" customFormat="1" x14ac:dyDescent="0.2">
      <c r="A124" s="2" t="s">
        <v>436</v>
      </c>
      <c r="B124" s="2" t="str">
        <f>LOWER(VLOOKUP(A124,Xtal_Templ!A:B,2,FALSE))</f>
        <v>ox2r_human</v>
      </c>
      <c r="C124" s="2" t="str">
        <f>VLOOKUP(A124,Classification!A:D,2,FALSE)</f>
        <v>A</v>
      </c>
      <c r="E124" s="2" t="s">
        <v>20</v>
      </c>
      <c r="N124" s="2" t="s">
        <v>43</v>
      </c>
      <c r="P124" s="4" t="s">
        <v>51</v>
      </c>
      <c r="R124" s="71" t="str">
        <f>MID(VLOOKUP($A124,Seqs!$A:$B,2,FALSE),VLOOKUP($A124,'NonXtal_SegEnds_Prot#'!A:AL,10,FALSE),1)</f>
        <v>D</v>
      </c>
      <c r="S124" s="102" t="str">
        <f>MID(VLOOKUP($A124,Seqs!$A:$B,2,FALSE),VLOOKUP($A124,'NonXtal_SegEnds_Prot#'!A:AL,10,FALSE)+6,1)</f>
        <v>A</v>
      </c>
      <c r="T124" s="102" t="str">
        <f>MID(VLOOKUP($A124,Seqs!$A:$B,2,FALSE),VLOOKUP($A124,'NonXtal_SegEnds_Prot#'!A:AL,10,FALSE)+7,1)</f>
        <v>S</v>
      </c>
      <c r="U124" s="102" t="str">
        <f>MID(VLOOKUP($A124,Seqs!$A:$B,2,FALSE),VLOOKUP($A124,'NonXtal_SegEnds_Prot#'!A:AL,10,FALSE)+8,1)</f>
        <v>T</v>
      </c>
      <c r="V124" s="102" t="str">
        <f>MID(VLOOKUP($A124,Seqs!$A:$B,2,FALSE),VLOOKUP($A124,'NonXtal_SegEnds_Prot#'!A:AL,10,FALSE)+9,1)</f>
        <v>P</v>
      </c>
      <c r="W124" s="71" t="str">
        <f>MID(VLOOKUP($A124,Seqs!$A:$B,2,FALSE),VLOOKUP($A124,'NonXtal_SegEnds_Prot#'!$A:$AL,22,FALSE)+6,1)</f>
        <v>F</v>
      </c>
      <c r="X124" s="102" t="str">
        <f>MID(VLOOKUP($A124,Seqs!$A:$B,2,FALSE),VLOOKUP($A124,'NonXtal_SegEnds_Prot#'!$A:$AL,22,FALSE)+7,1)</f>
        <v>V</v>
      </c>
      <c r="Y124" s="102" t="str">
        <f>MID(VLOOKUP($A124,Seqs!$A:$B,2,FALSE),VLOOKUP($A124,'NonXtal_SegEnds_Prot#'!$A:$AL,22,FALSE)+8,1)</f>
        <v>T</v>
      </c>
      <c r="Z124" s="102" t="str">
        <f>MID(VLOOKUP($A124,Seqs!$A:$B,2,FALSE),VLOOKUP($A124,'NonXtal_SegEnds_Prot#'!$A:$AL,22,FALSE)+9,1)</f>
        <v>P</v>
      </c>
      <c r="AA124" s="102" t="str">
        <f>MID(VLOOKUP($A124,Seqs!$A:$B,2,FALSE),VLOOKUP($A124,'NonXtal_SegEnds_Prot#'!$A:$AL,22,FALSE)+10,1)</f>
        <v>V</v>
      </c>
      <c r="AB124" s="71" t="str">
        <f>MID(VLOOKUP($A124,Seqs!$A:$B,2,FALSE),VLOOKUP($A124,'NonXtal_SegEnds_Prot#'!$A:$AL,28,FALSE)-4,1)</f>
        <v>G</v>
      </c>
      <c r="AC124" s="102" t="str">
        <f>MID(VLOOKUP($A124,Seqs!$A:$B,2,FALSE),VLOOKUP($A124,'NonXtal_SegEnds_Prot#'!$A:$AL,28,FALSE),1)</f>
        <v>P</v>
      </c>
    </row>
    <row r="125" spans="1:29" s="2" customFormat="1" x14ac:dyDescent="0.2">
      <c r="A125" s="2" t="s">
        <v>437</v>
      </c>
      <c r="B125" s="2" t="str">
        <f>LOWER(VLOOKUP(A125,Xtal_Templ!A:B,2,FALSE))</f>
        <v>par1_human</v>
      </c>
      <c r="C125" s="2" t="str">
        <f>VLOOKUP(A125,Classification!A:D,2,FALSE)</f>
        <v>A</v>
      </c>
      <c r="N125" s="2" t="s">
        <v>43</v>
      </c>
      <c r="P125" s="4" t="s">
        <v>51</v>
      </c>
      <c r="R125" s="71" t="str">
        <f>MID(VLOOKUP($A125,Seqs!$A:$B,2,FALSE),VLOOKUP($A125,'NonXtal_SegEnds_Prot#'!A:AL,10,FALSE),1)</f>
        <v>D</v>
      </c>
      <c r="S125" s="102" t="str">
        <f>MID(VLOOKUP($A125,Seqs!$A:$B,2,FALSE),VLOOKUP($A125,'NonXtal_SegEnds_Prot#'!A:AL,10,FALSE)+6,1)</f>
        <v>S</v>
      </c>
      <c r="T125" s="102" t="str">
        <f>MID(VLOOKUP($A125,Seqs!$A:$B,2,FALSE),VLOOKUP($A125,'NonXtal_SegEnds_Prot#'!A:AL,10,FALSE)+7,1)</f>
        <v>L</v>
      </c>
      <c r="U125" s="102" t="str">
        <f>MID(VLOOKUP($A125,Seqs!$A:$B,2,FALSE),VLOOKUP($A125,'NonXtal_SegEnds_Prot#'!A:AL,10,FALSE)+8,1)</f>
        <v>P</v>
      </c>
      <c r="V125" s="102" t="str">
        <f>MID(VLOOKUP($A125,Seqs!$A:$B,2,FALSE),VLOOKUP($A125,'NonXtal_SegEnds_Prot#'!A:AL,10,FALSE)+9,1)</f>
        <v>T</v>
      </c>
      <c r="W125" s="71" t="str">
        <f>MID(VLOOKUP($A125,Seqs!$A:$B,2,FALSE),VLOOKUP($A125,'NonXtal_SegEnds_Prot#'!$A:$AL,22,FALSE)+6,1)</f>
        <v>V</v>
      </c>
      <c r="X125" s="102" t="str">
        <f>MID(VLOOKUP($A125,Seqs!$A:$B,2,FALSE),VLOOKUP($A125,'NonXtal_SegEnds_Prot#'!$A:$AL,22,FALSE)+7,1)</f>
        <v>T</v>
      </c>
      <c r="Y125" s="102" t="str">
        <f>MID(VLOOKUP($A125,Seqs!$A:$B,2,FALSE),VLOOKUP($A125,'NonXtal_SegEnds_Prot#'!$A:$AL,22,FALSE)+8,1)</f>
        <v>L</v>
      </c>
      <c r="Z125" s="102" t="str">
        <f>MID(VLOOKUP($A125,Seqs!$A:$B,2,FALSE),VLOOKUP($A125,'NonXtal_SegEnds_Prot#'!$A:$AL,22,FALSE)+9,1)</f>
        <v>S</v>
      </c>
      <c r="AA125" s="102" t="str">
        <f>MID(VLOOKUP($A125,Seqs!$A:$B,2,FALSE),VLOOKUP($A125,'NonXtal_SegEnds_Prot#'!$A:$AL,22,FALSE)+10,1)</f>
        <v>V</v>
      </c>
      <c r="AB125" s="71" t="str">
        <f>MID(VLOOKUP($A125,Seqs!$A:$B,2,FALSE),VLOOKUP($A125,'NonXtal_SegEnds_Prot#'!$A:$AL,28,FALSE)-4,1)</f>
        <v>E</v>
      </c>
      <c r="AC125" s="102" t="str">
        <f>MID(VLOOKUP($A125,Seqs!$A:$B,2,FALSE),VLOOKUP($A125,'NonXtal_SegEnds_Prot#'!$A:$AL,28,FALSE),1)</f>
        <v>P</v>
      </c>
    </row>
    <row r="126" spans="1:29" s="2" customFormat="1" x14ac:dyDescent="0.2">
      <c r="A126" s="2" t="s">
        <v>438</v>
      </c>
      <c r="B126" s="2" t="str">
        <f>LOWER(VLOOKUP(A126,Xtal_Templ!A:B,2,FALSE))</f>
        <v>ox2r_human</v>
      </c>
      <c r="C126" s="2" t="str">
        <f>VLOOKUP(A126,Classification!A:D,2,FALSE)</f>
        <v>A</v>
      </c>
      <c r="K126" s="2" t="s">
        <v>59</v>
      </c>
      <c r="N126" s="2" t="s">
        <v>43</v>
      </c>
      <c r="P126" s="4" t="s">
        <v>51</v>
      </c>
      <c r="R126" s="71" t="str">
        <f>MID(VLOOKUP($A126,Seqs!$A:$B,2,FALSE),VLOOKUP($A126,'NonXtal_SegEnds_Prot#'!A:AL,10,FALSE),1)</f>
        <v>D</v>
      </c>
      <c r="S126" s="102" t="str">
        <f>MID(VLOOKUP($A126,Seqs!$A:$B,2,FALSE),VLOOKUP($A126,'NonXtal_SegEnds_Prot#'!A:AL,10,FALSE)+6,1)</f>
        <v>S</v>
      </c>
      <c r="T126" s="102" t="str">
        <f>MID(VLOOKUP($A126,Seqs!$A:$B,2,FALSE),VLOOKUP($A126,'NonXtal_SegEnds_Prot#'!A:AL,10,FALSE)+7,1)</f>
        <v>C</v>
      </c>
      <c r="U126" s="102" t="str">
        <f>MID(VLOOKUP($A126,Seqs!$A:$B,2,FALSE),VLOOKUP($A126,'NonXtal_SegEnds_Prot#'!A:AL,10,FALSE)+8,1)</f>
        <v>V</v>
      </c>
      <c r="V126" s="102" t="str">
        <f>MID(VLOOKUP($A126,Seqs!$A:$B,2,FALSE),VLOOKUP($A126,'NonXtal_SegEnds_Prot#'!A:AL,10,FALSE)+9,1)</f>
        <v>V</v>
      </c>
      <c r="W126" s="71" t="str">
        <f>MID(VLOOKUP($A126,Seqs!$A:$B,2,FALSE),VLOOKUP($A126,'NonXtal_SegEnds_Prot#'!$A:$AL,22,FALSE)+6,1)</f>
        <v>V</v>
      </c>
      <c r="X126" s="102" t="str">
        <f>MID(VLOOKUP($A126,Seqs!$A:$B,2,FALSE),VLOOKUP($A126,'NonXtal_SegEnds_Prot#'!$A:$AL,22,FALSE)+7,1)</f>
        <v>F</v>
      </c>
      <c r="Y126" s="102" t="str">
        <f>MID(VLOOKUP($A126,Seqs!$A:$B,2,FALSE),VLOOKUP($A126,'NonXtal_SegEnds_Prot#'!$A:$AL,22,FALSE)+8,1)</f>
        <v>L</v>
      </c>
      <c r="Z126" s="102" t="str">
        <f>MID(VLOOKUP($A126,Seqs!$A:$B,2,FALSE),VLOOKUP($A126,'NonXtal_SegEnds_Prot#'!$A:$AL,22,FALSE)+9,1)</f>
        <v>P</v>
      </c>
      <c r="AA126" s="102" t="str">
        <f>MID(VLOOKUP($A126,Seqs!$A:$B,2,FALSE),VLOOKUP($A126,'NonXtal_SegEnds_Prot#'!$A:$AL,22,FALSE)+10,1)</f>
        <v>S</v>
      </c>
      <c r="AB126" s="71" t="str">
        <f>MID(VLOOKUP($A126,Seqs!$A:$B,2,FALSE),VLOOKUP($A126,'NonXtal_SegEnds_Prot#'!$A:$AL,28,FALSE)-4,1)</f>
        <v>M</v>
      </c>
      <c r="AC126" s="102" t="str">
        <f>MID(VLOOKUP($A126,Seqs!$A:$B,2,FALSE),VLOOKUP($A126,'NonXtal_SegEnds_Prot#'!$A:$AL,28,FALSE),1)</f>
        <v>P</v>
      </c>
    </row>
    <row r="127" spans="1:29" s="2" customFormat="1" x14ac:dyDescent="0.2">
      <c r="A127" s="2" t="s">
        <v>439</v>
      </c>
      <c r="B127" s="2" t="str">
        <f>LOWER(VLOOKUP(A127,Xtal_Templ!A:B,2,FALSE))</f>
        <v>hrh1_human</v>
      </c>
      <c r="C127" s="2" t="str">
        <f>VLOOKUP(A127,Classification!A:D,2,FALSE)</f>
        <v>A</v>
      </c>
      <c r="E127" s="2" t="s">
        <v>20</v>
      </c>
      <c r="P127" s="4" t="s">
        <v>51</v>
      </c>
      <c r="R127" s="71" t="str">
        <f>MID(VLOOKUP($A127,Seqs!$A:$B,2,FALSE),VLOOKUP($A127,'NonXtal_SegEnds_Prot#'!A:AL,10,FALSE),1)</f>
        <v>D</v>
      </c>
      <c r="S127" s="102" t="str">
        <f>MID(VLOOKUP($A127,Seqs!$A:$B,2,FALSE),VLOOKUP($A127,'NonXtal_SegEnds_Prot#'!A:AL,10,FALSE)+6,1)</f>
        <v>G</v>
      </c>
      <c r="T127" s="102" t="str">
        <f>MID(VLOOKUP($A127,Seqs!$A:$B,2,FALSE),VLOOKUP($A127,'NonXtal_SegEnds_Prot#'!A:AL,10,FALSE)+7,1)</f>
        <v>C</v>
      </c>
      <c r="U127" s="102" t="str">
        <f>MID(VLOOKUP($A127,Seqs!$A:$B,2,FALSE),VLOOKUP($A127,'NonXtal_SegEnds_Prot#'!A:AL,10,FALSE)+8,1)</f>
        <v>I</v>
      </c>
      <c r="V127" s="102" t="str">
        <f>MID(VLOOKUP($A127,Seqs!$A:$B,2,FALSE),VLOOKUP($A127,'NonXtal_SegEnds_Prot#'!A:AL,10,FALSE)+9,1)</f>
        <v>P</v>
      </c>
      <c r="W127" s="71" t="str">
        <f>MID(VLOOKUP($A127,Seqs!$A:$B,2,FALSE),VLOOKUP($A127,'NonXtal_SegEnds_Prot#'!$A:$AL,22,FALSE)+6,1)</f>
        <v>S</v>
      </c>
      <c r="X127" s="102" t="str">
        <f>MID(VLOOKUP($A127,Seqs!$A:$B,2,FALSE),VLOOKUP($A127,'NonXtal_SegEnds_Prot#'!$A:$AL,22,FALSE)+7,1)</f>
        <v>F</v>
      </c>
      <c r="Y127" s="102" t="str">
        <f>MID(VLOOKUP($A127,Seqs!$A:$B,2,FALSE),VLOOKUP($A127,'NonXtal_SegEnds_Prot#'!$A:$AL,22,FALSE)+8,1)</f>
        <v>L</v>
      </c>
      <c r="Z127" s="102" t="str">
        <f>MID(VLOOKUP($A127,Seqs!$A:$B,2,FALSE),VLOOKUP($A127,'NonXtal_SegEnds_Prot#'!$A:$AL,22,FALSE)+9,1)</f>
        <v>I</v>
      </c>
      <c r="AA127" s="102" t="str">
        <f>MID(VLOOKUP($A127,Seqs!$A:$B,2,FALSE),VLOOKUP($A127,'NonXtal_SegEnds_Prot#'!$A:$AL,22,FALSE)+10,1)</f>
        <v>P</v>
      </c>
      <c r="AB127" s="71" t="str">
        <f>MID(VLOOKUP($A127,Seqs!$A:$B,2,FALSE),VLOOKUP($A127,'NonXtal_SegEnds_Prot#'!$A:$AL,28,FALSE)-4,1)</f>
        <v>I</v>
      </c>
      <c r="AC127" s="102" t="str">
        <f>MID(VLOOKUP($A127,Seqs!$A:$B,2,FALSE),VLOOKUP($A127,'NonXtal_SegEnds_Prot#'!$A:$AL,28,FALSE),1)</f>
        <v>T</v>
      </c>
    </row>
    <row r="128" spans="1:29" s="2" customFormat="1" x14ac:dyDescent="0.2">
      <c r="A128" s="2" t="s">
        <v>440</v>
      </c>
      <c r="B128" s="2" t="str">
        <f>LOWER(VLOOKUP(A128,Xtal_Templ!A:B,2,FALSE))</f>
        <v>agtr1_human</v>
      </c>
      <c r="C128" s="2" t="str">
        <f>VLOOKUP(A128,Classification!A:D,2,FALSE)</f>
        <v>A</v>
      </c>
      <c r="N128" s="2" t="s">
        <v>43</v>
      </c>
      <c r="P128" s="4" t="s">
        <v>51</v>
      </c>
      <c r="R128" s="71" t="str">
        <f>MID(VLOOKUP($A128,Seqs!$A:$B,2,FALSE),VLOOKUP($A128,'NonXtal_SegEnds_Prot#'!A:AL,10,FALSE),1)</f>
        <v>D</v>
      </c>
      <c r="S128" s="102" t="str">
        <f>MID(VLOOKUP($A128,Seqs!$A:$B,2,FALSE),VLOOKUP($A128,'NonXtal_SegEnds_Prot#'!A:AL,10,FALSE)+6,1)</f>
        <v>T</v>
      </c>
      <c r="T128" s="102" t="str">
        <f>MID(VLOOKUP($A128,Seqs!$A:$B,2,FALSE),VLOOKUP($A128,'NonXtal_SegEnds_Prot#'!A:AL,10,FALSE)+7,1)</f>
        <v>L</v>
      </c>
      <c r="U128" s="102" t="str">
        <f>MID(VLOOKUP($A128,Seqs!$A:$B,2,FALSE),VLOOKUP($A128,'NonXtal_SegEnds_Prot#'!A:AL,10,FALSE)+8,1)</f>
        <v>P</v>
      </c>
      <c r="V128" s="102" t="str">
        <f>MID(VLOOKUP($A128,Seqs!$A:$B,2,FALSE),VLOOKUP($A128,'NonXtal_SegEnds_Prot#'!A:AL,10,FALSE)+9,1)</f>
        <v>L</v>
      </c>
      <c r="W128" s="71" t="str">
        <f>MID(VLOOKUP($A128,Seqs!$A:$B,2,FALSE),VLOOKUP($A128,'NonXtal_SegEnds_Prot#'!$A:$AL,22,FALSE)+6,1)</f>
        <v>A</v>
      </c>
      <c r="X128" s="102" t="str">
        <f>MID(VLOOKUP($A128,Seqs!$A:$B,2,FALSE),VLOOKUP($A128,'NonXtal_SegEnds_Prot#'!$A:$AL,22,FALSE)+7,1)</f>
        <v>G</v>
      </c>
      <c r="Y128" s="102" t="str">
        <f>MID(VLOOKUP($A128,Seqs!$A:$B,2,FALSE),VLOOKUP($A128,'NonXtal_SegEnds_Prot#'!$A:$AL,22,FALSE)+8,1)</f>
        <v>L</v>
      </c>
      <c r="Z128" s="102" t="str">
        <f>MID(VLOOKUP($A128,Seqs!$A:$B,2,FALSE),VLOOKUP($A128,'NonXtal_SegEnds_Prot#'!$A:$AL,22,FALSE)+9,1)</f>
        <v>P</v>
      </c>
      <c r="AA128" s="102" t="str">
        <f>MID(VLOOKUP($A128,Seqs!$A:$B,2,FALSE),VLOOKUP($A128,'NonXtal_SegEnds_Prot#'!$A:$AL,22,FALSE)+10,1)</f>
        <v>S</v>
      </c>
      <c r="AB128" s="71" t="str">
        <f>MID(VLOOKUP($A128,Seqs!$A:$B,2,FALSE),VLOOKUP($A128,'NonXtal_SegEnds_Prot#'!$A:$AL,28,FALSE)-4,1)</f>
        <v>T</v>
      </c>
      <c r="AC128" s="102" t="str">
        <f>MID(VLOOKUP($A128,Seqs!$A:$B,2,FALSE),VLOOKUP($A128,'NonXtal_SegEnds_Prot#'!$A:$AL,28,FALSE),1)</f>
        <v>P</v>
      </c>
    </row>
    <row r="129" spans="1:29" s="2" customFormat="1" x14ac:dyDescent="0.2">
      <c r="A129" s="2" t="s">
        <v>441</v>
      </c>
      <c r="B129" s="2" t="str">
        <f>LOWER(VLOOKUP(A129,Xtal_Templ!A:B,2,FALSE))</f>
        <v>ox2r_human</v>
      </c>
      <c r="C129" s="2" t="str">
        <f>VLOOKUP(A129,Classification!A:D,2,FALSE)</f>
        <v>A</v>
      </c>
      <c r="E129" s="2" t="s">
        <v>20</v>
      </c>
      <c r="P129" s="4" t="s">
        <v>51</v>
      </c>
      <c r="R129" s="71" t="str">
        <f>MID(VLOOKUP($A129,Seqs!$A:$B,2,FALSE),VLOOKUP($A129,'NonXtal_SegEnds_Prot#'!A:AL,10,FALSE),1)</f>
        <v>N</v>
      </c>
      <c r="S129" s="102" t="str">
        <f>MID(VLOOKUP($A129,Seqs!$A:$B,2,FALSE),VLOOKUP($A129,'NonXtal_SegEnds_Prot#'!A:AL,10,FALSE)+6,1)</f>
        <v>V</v>
      </c>
      <c r="T129" s="102" t="str">
        <f>MID(VLOOKUP($A129,Seqs!$A:$B,2,FALSE),VLOOKUP($A129,'NonXtal_SegEnds_Prot#'!A:AL,10,FALSE)+7,1)</f>
        <v>N</v>
      </c>
      <c r="U129" s="102" t="str">
        <f>MID(VLOOKUP($A129,Seqs!$A:$B,2,FALSE),VLOOKUP($A129,'NonXtal_SegEnds_Prot#'!A:AL,10,FALSE)+8,1)</f>
        <v>M</v>
      </c>
      <c r="V129" s="102" t="str">
        <f>MID(VLOOKUP($A129,Seqs!$A:$B,2,FALSE),VLOOKUP($A129,'NonXtal_SegEnds_Prot#'!A:AL,10,FALSE)+9,1)</f>
        <v>P</v>
      </c>
      <c r="W129" s="71" t="str">
        <f>MID(VLOOKUP($A129,Seqs!$A:$B,2,FALSE),VLOOKUP($A129,'NonXtal_SegEnds_Prot#'!$A:$AL,22,FALSE)+6,1)</f>
        <v>F</v>
      </c>
      <c r="X129" s="102" t="str">
        <f>MID(VLOOKUP($A129,Seqs!$A:$B,2,FALSE),VLOOKUP($A129,'NonXtal_SegEnds_Prot#'!$A:$AL,22,FALSE)+7,1)</f>
        <v>P</v>
      </c>
      <c r="Y129" s="102" t="str">
        <f>MID(VLOOKUP($A129,Seqs!$A:$B,2,FALSE),VLOOKUP($A129,'NonXtal_SegEnds_Prot#'!$A:$AL,22,FALSE)+8,1)</f>
        <v>A</v>
      </c>
      <c r="Z129" s="102" t="str">
        <f>MID(VLOOKUP($A129,Seqs!$A:$B,2,FALSE),VLOOKUP($A129,'NonXtal_SegEnds_Prot#'!$A:$AL,22,FALSE)+9,1)</f>
        <v>A</v>
      </c>
      <c r="AA129" s="102" t="str">
        <f>MID(VLOOKUP($A129,Seqs!$A:$B,2,FALSE),VLOOKUP($A129,'NonXtal_SegEnds_Prot#'!$A:$AL,22,FALSE)+10,1)</f>
        <v>A</v>
      </c>
      <c r="AB129" s="71" t="str">
        <f>MID(VLOOKUP($A129,Seqs!$A:$B,2,FALSE),VLOOKUP($A129,'NonXtal_SegEnds_Prot#'!$A:$AL,28,FALSE)-4,1)</f>
        <v>S</v>
      </c>
      <c r="AC129" s="102" t="str">
        <f>MID(VLOOKUP($A129,Seqs!$A:$B,2,FALSE),VLOOKUP($A129,'NonXtal_SegEnds_Prot#'!$A:$AL,28,FALSE),1)</f>
        <v>S</v>
      </c>
    </row>
    <row r="130" spans="1:29" s="2" customFormat="1" x14ac:dyDescent="0.2">
      <c r="A130" s="2" t="s">
        <v>442</v>
      </c>
      <c r="B130" s="2" t="str">
        <f>LOWER(VLOOKUP(A130,Xtal_Templ!A:B,2,FALSE))</f>
        <v>5ht2b_human</v>
      </c>
      <c r="C130" s="2" t="str">
        <f>VLOOKUP(A130,Classification!A:D,2,FALSE)</f>
        <v>A</v>
      </c>
      <c r="E130" s="2" t="s">
        <v>20</v>
      </c>
      <c r="P130" s="4" t="s">
        <v>51</v>
      </c>
      <c r="R130" s="71" t="str">
        <f>MID(VLOOKUP($A130,Seqs!$A:$B,2,FALSE),VLOOKUP($A130,'NonXtal_SegEnds_Prot#'!A:AL,10,FALSE),1)</f>
        <v>D</v>
      </c>
      <c r="S130" s="102" t="str">
        <f>MID(VLOOKUP($A130,Seqs!$A:$B,2,FALSE),VLOOKUP($A130,'NonXtal_SegEnds_Prot#'!A:AL,10,FALSE)+6,1)</f>
        <v>A</v>
      </c>
      <c r="T130" s="102" t="str">
        <f>MID(VLOOKUP($A130,Seqs!$A:$B,2,FALSE),VLOOKUP($A130,'NonXtal_SegEnds_Prot#'!A:AL,10,FALSE)+7,1)</f>
        <v>C</v>
      </c>
      <c r="U130" s="102" t="str">
        <f>MID(VLOOKUP($A130,Seqs!$A:$B,2,FALSE),VLOOKUP($A130,'NonXtal_SegEnds_Prot#'!A:AL,10,FALSE)+8,1)</f>
        <v>L</v>
      </c>
      <c r="V130" s="102" t="str">
        <f>MID(VLOOKUP($A130,Seqs!$A:$B,2,FALSE),VLOOKUP($A130,'NonXtal_SegEnds_Prot#'!A:AL,10,FALSE)+9,1)</f>
        <v>P</v>
      </c>
      <c r="W130" s="71" t="str">
        <f>MID(VLOOKUP($A130,Seqs!$A:$B,2,FALSE),VLOOKUP($A130,'NonXtal_SegEnds_Prot#'!$A:$AL,22,FALSE)+6,1)</f>
        <v>A</v>
      </c>
      <c r="X130" s="102" t="str">
        <f>MID(VLOOKUP($A130,Seqs!$A:$B,2,FALSE),VLOOKUP($A130,'NonXtal_SegEnds_Prot#'!$A:$AL,22,FALSE)+7,1)</f>
        <v>A</v>
      </c>
      <c r="Y130" s="102" t="str">
        <f>MID(VLOOKUP($A130,Seqs!$A:$B,2,FALSE),VLOOKUP($A130,'NonXtal_SegEnds_Prot#'!$A:$AL,22,FALSE)+8,1)</f>
        <v>F</v>
      </c>
      <c r="Z130" s="102" t="str">
        <f>MID(VLOOKUP($A130,Seqs!$A:$B,2,FALSE),VLOOKUP($A130,'NonXtal_SegEnds_Prot#'!$A:$AL,22,FALSE)+9,1)</f>
        <v>P</v>
      </c>
      <c r="AA130" s="102" t="str">
        <f>MID(VLOOKUP($A130,Seqs!$A:$B,2,FALSE),VLOOKUP($A130,'NonXtal_SegEnds_Prot#'!$A:$AL,22,FALSE)+10,1)</f>
        <v>P</v>
      </c>
      <c r="AB130" s="71" t="str">
        <f>MID(VLOOKUP($A130,Seqs!$A:$B,2,FALSE),VLOOKUP($A130,'NonXtal_SegEnds_Prot#'!$A:$AL,28,FALSE)-4,1)</f>
        <v>G</v>
      </c>
      <c r="AC130" s="102" t="str">
        <f>MID(VLOOKUP($A130,Seqs!$A:$B,2,FALSE),VLOOKUP($A130,'NonXtal_SegEnds_Prot#'!$A:$AL,28,FALSE),1)</f>
        <v>L</v>
      </c>
    </row>
    <row r="131" spans="1:29" s="2" customFormat="1" x14ac:dyDescent="0.2">
      <c r="A131" s="2" t="s">
        <v>443</v>
      </c>
      <c r="B131" s="2" t="str">
        <f>LOWER(VLOOKUP(A131,Xtal_Templ!A:B,2,FALSE))</f>
        <v>lpar1_human</v>
      </c>
      <c r="C131" s="2" t="str">
        <f>VLOOKUP(A131,Classification!A:D,2,FALSE)</f>
        <v>A</v>
      </c>
      <c r="P131" s="4" t="s">
        <v>51</v>
      </c>
      <c r="R131" s="71" t="str">
        <f>MID(VLOOKUP($A131,Seqs!$A:$B,2,FALSE),VLOOKUP($A131,'NonXtal_SegEnds_Prot#'!A:AL,10,FALSE),1)</f>
        <v>D</v>
      </c>
      <c r="S131" s="102" t="str">
        <f>MID(VLOOKUP($A131,Seqs!$A:$B,2,FALSE),VLOOKUP($A131,'NonXtal_SegEnds_Prot#'!A:AL,10,FALSE)+6,1)</f>
        <v>G</v>
      </c>
      <c r="T131" s="102" t="str">
        <f>MID(VLOOKUP($A131,Seqs!$A:$B,2,FALSE),VLOOKUP($A131,'NonXtal_SegEnds_Prot#'!A:AL,10,FALSE)+7,1)</f>
        <v>L</v>
      </c>
      <c r="U131" s="102" t="str">
        <f>MID(VLOOKUP($A131,Seqs!$A:$B,2,FALSE),VLOOKUP($A131,'NonXtal_SegEnds_Prot#'!A:AL,10,FALSE)+8,1)</f>
        <v>V</v>
      </c>
      <c r="V131" s="102" t="str">
        <f>MID(VLOOKUP($A131,Seqs!$A:$B,2,FALSE),VLOOKUP($A131,'NonXtal_SegEnds_Prot#'!A:AL,10,FALSE)+9,1)</f>
        <v>L</v>
      </c>
      <c r="W131" s="71" t="str">
        <f>MID(VLOOKUP($A131,Seqs!$A:$B,2,FALSE),VLOOKUP($A131,'NonXtal_SegEnds_Prot#'!$A:$AL,22,FALSE)+6,1)</f>
        <v>L</v>
      </c>
      <c r="X131" s="102" t="str">
        <f>MID(VLOOKUP($A131,Seqs!$A:$B,2,FALSE),VLOOKUP($A131,'NonXtal_SegEnds_Prot#'!$A:$AL,22,FALSE)+7,1)</f>
        <v>G</v>
      </c>
      <c r="Y131" s="102" t="str">
        <f>MID(VLOOKUP($A131,Seqs!$A:$B,2,FALSE),VLOOKUP($A131,'NonXtal_SegEnds_Prot#'!$A:$AL,22,FALSE)+8,1)</f>
        <v>L</v>
      </c>
      <c r="Z131" s="102" t="str">
        <f>MID(VLOOKUP($A131,Seqs!$A:$B,2,FALSE),VLOOKUP($A131,'NonXtal_SegEnds_Prot#'!$A:$AL,22,FALSE)+9,1)</f>
        <v>L</v>
      </c>
      <c r="AA131" s="102" t="str">
        <f>MID(VLOOKUP($A131,Seqs!$A:$B,2,FALSE),VLOOKUP($A131,'NonXtal_SegEnds_Prot#'!$A:$AL,22,FALSE)+10,1)</f>
        <v>P</v>
      </c>
      <c r="AB131" s="71" t="str">
        <f>MID(VLOOKUP($A131,Seqs!$A:$B,2,FALSE),VLOOKUP($A131,'NonXtal_SegEnds_Prot#'!$A:$AL,28,FALSE)-4,1)</f>
        <v>A</v>
      </c>
      <c r="AC131" s="102" t="str">
        <f>MID(VLOOKUP($A131,Seqs!$A:$B,2,FALSE),VLOOKUP($A131,'NonXtal_SegEnds_Prot#'!$A:$AL,28,FALSE),1)</f>
        <v>V</v>
      </c>
    </row>
    <row r="132" spans="1:29" s="2" customFormat="1" x14ac:dyDescent="0.2">
      <c r="A132" s="2" t="s">
        <v>444</v>
      </c>
      <c r="B132" s="2" t="str">
        <f>LOWER(VLOOKUP(A132,Xtal_Templ!A:B,2,FALSE))</f>
        <v>p2ry1_human</v>
      </c>
      <c r="C132" s="2" t="str">
        <f>VLOOKUP(A132,Classification!A:D,2,FALSE)</f>
        <v>A</v>
      </c>
      <c r="K132" s="2" t="s">
        <v>59</v>
      </c>
      <c r="N132" s="2" t="s">
        <v>43</v>
      </c>
      <c r="P132" s="4" t="s">
        <v>51</v>
      </c>
      <c r="R132" s="71" t="str">
        <f>MID(VLOOKUP($A132,Seqs!$A:$B,2,FALSE),VLOOKUP($A132,'NonXtal_SegEnds_Prot#'!A:AL,10,FALSE),1)</f>
        <v>D</v>
      </c>
      <c r="S132" s="102" t="str">
        <f>MID(VLOOKUP($A132,Seqs!$A:$B,2,FALSE),VLOOKUP($A132,'NonXtal_SegEnds_Prot#'!A:AL,10,FALSE)+6,1)</f>
        <v>C</v>
      </c>
      <c r="T132" s="102" t="str">
        <f>MID(VLOOKUP($A132,Seqs!$A:$B,2,FALSE),VLOOKUP($A132,'NonXtal_SegEnds_Prot#'!A:AL,10,FALSE)+7,1)</f>
        <v>L</v>
      </c>
      <c r="U132" s="102" t="str">
        <f>MID(VLOOKUP($A132,Seqs!$A:$B,2,FALSE),VLOOKUP($A132,'NonXtal_SegEnds_Prot#'!A:AL,10,FALSE)+8,1)</f>
        <v>P</v>
      </c>
      <c r="V132" s="102" t="str">
        <f>MID(VLOOKUP($A132,Seqs!$A:$B,2,FALSE),VLOOKUP($A132,'NonXtal_SegEnds_Prot#'!A:AL,10,FALSE)+9,1)</f>
        <v>F</v>
      </c>
      <c r="W132" s="71" t="str">
        <f>MID(VLOOKUP($A132,Seqs!$A:$B,2,FALSE),VLOOKUP($A132,'NonXtal_SegEnds_Prot#'!$A:$AL,22,FALSE)+6,1)</f>
        <v>L</v>
      </c>
      <c r="X132" s="102" t="str">
        <f>MID(VLOOKUP($A132,Seqs!$A:$B,2,FALSE),VLOOKUP($A132,'NonXtal_SegEnds_Prot#'!$A:$AL,22,FALSE)+7,1)</f>
        <v>T</v>
      </c>
      <c r="Y132" s="102" t="str">
        <f>MID(VLOOKUP($A132,Seqs!$A:$B,2,FALSE),VLOOKUP($A132,'NonXtal_SegEnds_Prot#'!$A:$AL,22,FALSE)+8,1)</f>
        <v>C</v>
      </c>
      <c r="Z132" s="102" t="str">
        <f>MID(VLOOKUP($A132,Seqs!$A:$B,2,FALSE),VLOOKUP($A132,'NonXtal_SegEnds_Prot#'!$A:$AL,22,FALSE)+9,1)</f>
        <v>P</v>
      </c>
      <c r="AA132" s="102" t="str">
        <f>MID(VLOOKUP($A132,Seqs!$A:$B,2,FALSE),VLOOKUP($A132,'NonXtal_SegEnds_Prot#'!$A:$AL,22,FALSE)+10,1)</f>
        <v>G</v>
      </c>
      <c r="AB132" s="71" t="str">
        <f>MID(VLOOKUP($A132,Seqs!$A:$B,2,FALSE),VLOOKUP($A132,'NonXtal_SegEnds_Prot#'!$A:$AL,28,FALSE)-4,1)</f>
        <v>Q</v>
      </c>
      <c r="AC132" s="102" t="str">
        <f>MID(VLOOKUP($A132,Seqs!$A:$B,2,FALSE),VLOOKUP($A132,'NonXtal_SegEnds_Prot#'!$A:$AL,28,FALSE),1)</f>
        <v>P</v>
      </c>
    </row>
    <row r="133" spans="1:29" s="2" customFormat="1" x14ac:dyDescent="0.2">
      <c r="A133" s="2" t="s">
        <v>445</v>
      </c>
      <c r="B133" s="2" t="str">
        <f>LOWER(VLOOKUP(A133,Xtal_Templ!A:B,2,FALSE))</f>
        <v>oprk_human</v>
      </c>
      <c r="C133" s="2" t="str">
        <f>VLOOKUP(A133,Classification!A:D,2,FALSE)</f>
        <v>A</v>
      </c>
      <c r="N133" s="2" t="s">
        <v>43</v>
      </c>
      <c r="P133" s="4" t="s">
        <v>51</v>
      </c>
      <c r="R133" s="71" t="str">
        <f>MID(VLOOKUP($A133,Seqs!$A:$B,2,FALSE),VLOOKUP($A133,'NonXtal_SegEnds_Prot#'!A:AL,10,FALSE),1)</f>
        <v>D</v>
      </c>
      <c r="S133" s="102" t="str">
        <f>MID(VLOOKUP($A133,Seqs!$A:$B,2,FALSE),VLOOKUP($A133,'NonXtal_SegEnds_Prot#'!A:AL,10,FALSE)+6,1)</f>
        <v>S</v>
      </c>
      <c r="T133" s="102" t="str">
        <f>MID(VLOOKUP($A133,Seqs!$A:$B,2,FALSE),VLOOKUP($A133,'NonXtal_SegEnds_Prot#'!A:AL,10,FALSE)+7,1)</f>
        <v>L</v>
      </c>
      <c r="U133" s="102" t="str">
        <f>MID(VLOOKUP($A133,Seqs!$A:$B,2,FALSE),VLOOKUP($A133,'NonXtal_SegEnds_Prot#'!A:AL,10,FALSE)+8,1)</f>
        <v>P</v>
      </c>
      <c r="V133" s="102" t="str">
        <f>MID(VLOOKUP($A133,Seqs!$A:$B,2,FALSE),VLOOKUP($A133,'NonXtal_SegEnds_Prot#'!A:AL,10,FALSE)+9,1)</f>
        <v>I</v>
      </c>
      <c r="W133" s="71" t="str">
        <f>MID(VLOOKUP($A133,Seqs!$A:$B,2,FALSE),VLOOKUP($A133,'NonXtal_SegEnds_Prot#'!$A:$AL,22,FALSE)+6,1)</f>
        <v>L</v>
      </c>
      <c r="X133" s="102" t="str">
        <f>MID(VLOOKUP($A133,Seqs!$A:$B,2,FALSE),VLOOKUP($A133,'NonXtal_SegEnds_Prot#'!$A:$AL,22,FALSE)+7,1)</f>
        <v>C</v>
      </c>
      <c r="Y133" s="102" t="str">
        <f>MID(VLOOKUP($A133,Seqs!$A:$B,2,FALSE),VLOOKUP($A133,'NonXtal_SegEnds_Prot#'!$A:$AL,22,FALSE)+8,1)</f>
        <v>S</v>
      </c>
      <c r="Z133" s="102" t="str">
        <f>MID(VLOOKUP($A133,Seqs!$A:$B,2,FALSE),VLOOKUP($A133,'NonXtal_SegEnds_Prot#'!$A:$AL,22,FALSE)+9,1)</f>
        <v>A</v>
      </c>
      <c r="AA133" s="102" t="str">
        <f>MID(VLOOKUP($A133,Seqs!$A:$B,2,FALSE),VLOOKUP($A133,'NonXtal_SegEnds_Prot#'!$A:$AL,22,FALSE)+10,1)</f>
        <v>H</v>
      </c>
      <c r="AB133" s="71" t="str">
        <f>MID(VLOOKUP($A133,Seqs!$A:$B,2,FALSE),VLOOKUP($A133,'NonXtal_SegEnds_Prot#'!$A:$AL,28,FALSE)-4,1)</f>
        <v>G</v>
      </c>
      <c r="AC133" s="102" t="str">
        <f>MID(VLOOKUP($A133,Seqs!$A:$B,2,FALSE),VLOOKUP($A133,'NonXtal_SegEnds_Prot#'!$A:$AL,28,FALSE),1)</f>
        <v>P</v>
      </c>
    </row>
    <row r="134" spans="1:29" s="2" customFormat="1" x14ac:dyDescent="0.2">
      <c r="A134" s="2" t="s">
        <v>446</v>
      </c>
      <c r="B134" s="2" t="str">
        <f>LOWER(VLOOKUP(A134,Xtal_Templ!A:B,2,FALSE))</f>
        <v>agtr1_human</v>
      </c>
      <c r="C134" s="2" t="str">
        <f>VLOOKUP(A134,Classification!A:D,2,FALSE)</f>
        <v>A</v>
      </c>
      <c r="K134" s="2" t="s">
        <v>59</v>
      </c>
      <c r="N134" s="2" t="s">
        <v>43</v>
      </c>
      <c r="P134" s="4" t="s">
        <v>51</v>
      </c>
      <c r="R134" s="71" t="str">
        <f>MID(VLOOKUP($A134,Seqs!$A:$B,2,FALSE),VLOOKUP($A134,'NonXtal_SegEnds_Prot#'!A:AL,10,FALSE),1)</f>
        <v>Y</v>
      </c>
      <c r="S134" s="102" t="str">
        <f>MID(VLOOKUP($A134,Seqs!$A:$B,2,FALSE),VLOOKUP($A134,'NonXtal_SegEnds_Prot#'!A:AL,10,FALSE)+6,1)</f>
        <v>I</v>
      </c>
      <c r="T134" s="102" t="str">
        <f>MID(VLOOKUP($A134,Seqs!$A:$B,2,FALSE),VLOOKUP($A134,'NonXtal_SegEnds_Prot#'!A:AL,10,FALSE)+7,1)</f>
        <v>L</v>
      </c>
      <c r="U134" s="102" t="str">
        <f>MID(VLOOKUP($A134,Seqs!$A:$B,2,FALSE),VLOOKUP($A134,'NonXtal_SegEnds_Prot#'!A:AL,10,FALSE)+8,1)</f>
        <v>P</v>
      </c>
      <c r="V134" s="102" t="str">
        <f>MID(VLOOKUP($A134,Seqs!$A:$B,2,FALSE),VLOOKUP($A134,'NonXtal_SegEnds_Prot#'!A:AL,10,FALSE)+9,1)</f>
        <v>F</v>
      </c>
      <c r="W134" s="71" t="str">
        <f>MID(VLOOKUP($A134,Seqs!$A:$B,2,FALSE),VLOOKUP($A134,'NonXtal_SegEnds_Prot#'!$A:$AL,22,FALSE)+6,1)</f>
        <v>L</v>
      </c>
      <c r="X134" s="102" t="str">
        <f>MID(VLOOKUP($A134,Seqs!$A:$B,2,FALSE),VLOOKUP($A134,'NonXtal_SegEnds_Prot#'!$A:$AL,22,FALSE)+7,1)</f>
        <v>S</v>
      </c>
      <c r="Y134" s="102" t="str">
        <f>MID(VLOOKUP($A134,Seqs!$A:$B,2,FALSE),VLOOKUP($A134,'NonXtal_SegEnds_Prot#'!$A:$AL,22,FALSE)+8,1)</f>
        <v>I</v>
      </c>
      <c r="Z134" s="102" t="str">
        <f>MID(VLOOKUP($A134,Seqs!$A:$B,2,FALSE),VLOOKUP($A134,'NonXtal_SegEnds_Prot#'!$A:$AL,22,FALSE)+9,1)</f>
        <v>P</v>
      </c>
      <c r="AA134" s="102" t="str">
        <f>MID(VLOOKUP($A134,Seqs!$A:$B,2,FALSE),VLOOKUP($A134,'NonXtal_SegEnds_Prot#'!$A:$AL,22,FALSE)+10,1)</f>
        <v>Y</v>
      </c>
      <c r="AB134" s="71" t="str">
        <f>MID(VLOOKUP($A134,Seqs!$A:$B,2,FALSE),VLOOKUP($A134,'NonXtal_SegEnds_Prot#'!$A:$AL,28,FALSE)-4,1)</f>
        <v>G</v>
      </c>
      <c r="AC134" s="102" t="str">
        <f>MID(VLOOKUP($A134,Seqs!$A:$B,2,FALSE),VLOOKUP($A134,'NonXtal_SegEnds_Prot#'!$A:$AL,28,FALSE),1)</f>
        <v>P</v>
      </c>
    </row>
    <row r="135" spans="1:29" s="2" customFormat="1" x14ac:dyDescent="0.2">
      <c r="A135" s="2" t="s">
        <v>447</v>
      </c>
      <c r="B135" s="2" t="str">
        <f>LOWER(VLOOKUP(A135,Xtal_Templ!A:B,2,FALSE))</f>
        <v>p2y12_human</v>
      </c>
      <c r="C135" s="2" t="str">
        <f>VLOOKUP(A135,Classification!A:D,2,FALSE)</f>
        <v>A</v>
      </c>
      <c r="P135" s="4" t="s">
        <v>51</v>
      </c>
      <c r="R135" s="71" t="str">
        <f>MID(VLOOKUP($A135,Seqs!$A:$B,2,FALSE),VLOOKUP($A135,'NonXtal_SegEnds_Prot#'!A:AL,10,FALSE),1)</f>
        <v>D</v>
      </c>
      <c r="S135" s="102" t="str">
        <f>MID(VLOOKUP($A135,Seqs!$A:$B,2,FALSE),VLOOKUP($A135,'NonXtal_SegEnds_Prot#'!A:AL,10,FALSE)+6,1)</f>
        <v>C</v>
      </c>
      <c r="T135" s="102" t="str">
        <f>MID(VLOOKUP($A135,Seqs!$A:$B,2,FALSE),VLOOKUP($A135,'NonXtal_SegEnds_Prot#'!A:AL,10,FALSE)+7,1)</f>
        <v>L</v>
      </c>
      <c r="U135" s="102" t="str">
        <f>MID(VLOOKUP($A135,Seqs!$A:$B,2,FALSE),VLOOKUP($A135,'NonXtal_SegEnds_Prot#'!A:AL,10,FALSE)+8,1)</f>
        <v>P</v>
      </c>
      <c r="V135" s="102" t="str">
        <f>MID(VLOOKUP($A135,Seqs!$A:$B,2,FALSE),VLOOKUP($A135,'NonXtal_SegEnds_Prot#'!A:AL,10,FALSE)+9,1)</f>
        <v>F</v>
      </c>
      <c r="W135" s="71" t="str">
        <f>MID(VLOOKUP($A135,Seqs!$A:$B,2,FALSE),VLOOKUP($A135,'NonXtal_SegEnds_Prot#'!$A:$AL,22,FALSE)+6,1)</f>
        <v>G</v>
      </c>
      <c r="X135" s="102" t="str">
        <f>MID(VLOOKUP($A135,Seqs!$A:$B,2,FALSE),VLOOKUP($A135,'NonXtal_SegEnds_Prot#'!$A:$AL,22,FALSE)+7,1)</f>
        <v>F</v>
      </c>
      <c r="Y135" s="102" t="str">
        <f>MID(VLOOKUP($A135,Seqs!$A:$B,2,FALSE),VLOOKUP($A135,'NonXtal_SegEnds_Prot#'!$A:$AL,22,FALSE)+8,1)</f>
        <v>L</v>
      </c>
      <c r="Z135" s="102" t="str">
        <f>MID(VLOOKUP($A135,Seqs!$A:$B,2,FALSE),VLOOKUP($A135,'NonXtal_SegEnds_Prot#'!$A:$AL,22,FALSE)+9,1)</f>
        <v>T</v>
      </c>
      <c r="AA135" s="102" t="str">
        <f>MID(VLOOKUP($A135,Seqs!$A:$B,2,FALSE),VLOOKUP($A135,'NonXtal_SegEnds_Prot#'!$A:$AL,22,FALSE)+10,1)</f>
        <v>M</v>
      </c>
      <c r="AB135" s="71" t="str">
        <f>MID(VLOOKUP($A135,Seqs!$A:$B,2,FALSE),VLOOKUP($A135,'NonXtal_SegEnds_Prot#'!$A:$AL,28,FALSE)-4,1)</f>
        <v>M</v>
      </c>
      <c r="AC135" s="102" t="str">
        <f>MID(VLOOKUP($A135,Seqs!$A:$B,2,FALSE),VLOOKUP($A135,'NonXtal_SegEnds_Prot#'!$A:$AL,28,FALSE),1)</f>
        <v>I</v>
      </c>
    </row>
    <row r="136" spans="1:29" s="2" customFormat="1" x14ac:dyDescent="0.2">
      <c r="A136" s="2" t="s">
        <v>448</v>
      </c>
      <c r="B136" s="2" t="str">
        <f>LOWER(VLOOKUP(A136,Xtal_Templ!A:B,2,FALSE))</f>
        <v>par1_human</v>
      </c>
      <c r="C136" s="2" t="str">
        <f>VLOOKUP(A136,Classification!A:D,2,FALSE)</f>
        <v>A</v>
      </c>
      <c r="N136" s="2" t="s">
        <v>43</v>
      </c>
      <c r="P136" s="4" t="s">
        <v>51</v>
      </c>
      <c r="R136" s="71" t="str">
        <f>MID(VLOOKUP($A136,Seqs!$A:$B,2,FALSE),VLOOKUP($A136,'NonXtal_SegEnds_Prot#'!A:AL,10,FALSE),1)</f>
        <v>D</v>
      </c>
      <c r="S136" s="102" t="str">
        <f>MID(VLOOKUP($A136,Seqs!$A:$B,2,FALSE),VLOOKUP($A136,'NonXtal_SegEnds_Prot#'!A:AL,10,FALSE)+6,1)</f>
        <v>T</v>
      </c>
      <c r="T136" s="102" t="str">
        <f>MID(VLOOKUP($A136,Seqs!$A:$B,2,FALSE),VLOOKUP($A136,'NonXtal_SegEnds_Prot#'!A:AL,10,FALSE)+7,1)</f>
        <v>L</v>
      </c>
      <c r="U136" s="102" t="str">
        <f>MID(VLOOKUP($A136,Seqs!$A:$B,2,FALSE),VLOOKUP($A136,'NonXtal_SegEnds_Prot#'!A:AL,10,FALSE)+8,1)</f>
        <v>P</v>
      </c>
      <c r="V136" s="102" t="str">
        <f>MID(VLOOKUP($A136,Seqs!$A:$B,2,FALSE),VLOOKUP($A136,'NonXtal_SegEnds_Prot#'!A:AL,10,FALSE)+9,1)</f>
        <v>F</v>
      </c>
      <c r="W136" s="71" t="str">
        <f>MID(VLOOKUP($A136,Seqs!$A:$B,2,FALSE),VLOOKUP($A136,'NonXtal_SegEnds_Prot#'!$A:$AL,22,FALSE)+6,1)</f>
        <v>S</v>
      </c>
      <c r="X136" s="102" t="str">
        <f>MID(VLOOKUP($A136,Seqs!$A:$B,2,FALSE),VLOOKUP($A136,'NonXtal_SegEnds_Prot#'!$A:$AL,22,FALSE)+7,1)</f>
        <v>L</v>
      </c>
      <c r="Y136" s="102" t="str">
        <f>MID(VLOOKUP($A136,Seqs!$A:$B,2,FALSE),VLOOKUP($A136,'NonXtal_SegEnds_Prot#'!$A:$AL,22,FALSE)+8,1)</f>
        <v>V</v>
      </c>
      <c r="Z136" s="102" t="str">
        <f>MID(VLOOKUP($A136,Seqs!$A:$B,2,FALSE),VLOOKUP($A136,'NonXtal_SegEnds_Prot#'!$A:$AL,22,FALSE)+9,1)</f>
        <v>A</v>
      </c>
      <c r="AA136" s="102" t="str">
        <f>MID(VLOOKUP($A136,Seqs!$A:$B,2,FALSE),VLOOKUP($A136,'NonXtal_SegEnds_Prot#'!$A:$AL,22,FALSE)+10,1)</f>
        <v>R</v>
      </c>
      <c r="AB136" s="71" t="str">
        <f>MID(VLOOKUP($A136,Seqs!$A:$B,2,FALSE),VLOOKUP($A136,'NonXtal_SegEnds_Prot#'!$A:$AL,28,FALSE)-4,1)</f>
        <v>G</v>
      </c>
      <c r="AC136" s="102" t="str">
        <f>MID(VLOOKUP($A136,Seqs!$A:$B,2,FALSE),VLOOKUP($A136,'NonXtal_SegEnds_Prot#'!$A:$AL,28,FALSE),1)</f>
        <v>P</v>
      </c>
    </row>
    <row r="137" spans="1:29" s="2" customFormat="1" x14ac:dyDescent="0.2">
      <c r="A137" s="2" t="s">
        <v>449</v>
      </c>
      <c r="B137" s="2" t="str">
        <f>LOWER(VLOOKUP(A137,Xtal_Templ!A:B,2,FALSE))</f>
        <v>ednrb_human</v>
      </c>
      <c r="C137" s="2" t="str">
        <f>VLOOKUP(A137,Classification!A:D,2,FALSE)</f>
        <v>A</v>
      </c>
      <c r="E137" s="2" t="s">
        <v>20</v>
      </c>
      <c r="K137" s="2" t="s">
        <v>59</v>
      </c>
      <c r="N137" s="2" t="s">
        <v>43</v>
      </c>
      <c r="P137" s="4" t="s">
        <v>51</v>
      </c>
      <c r="R137" s="71" t="str">
        <f>MID(VLOOKUP($A137,Seqs!$A:$B,2,FALSE),VLOOKUP($A137,'NonXtal_SegEnds_Prot#'!A:AL,10,FALSE),1)</f>
        <v>D</v>
      </c>
      <c r="S137" s="102" t="str">
        <f>MID(VLOOKUP($A137,Seqs!$A:$B,2,FALSE),VLOOKUP($A137,'NonXtal_SegEnds_Prot#'!A:AL,10,FALSE)+6,1)</f>
        <v>F</v>
      </c>
      <c r="T137" s="102" t="str">
        <f>MID(VLOOKUP($A137,Seqs!$A:$B,2,FALSE),VLOOKUP($A137,'NonXtal_SegEnds_Prot#'!A:AL,10,FALSE)+7,1)</f>
        <v>C</v>
      </c>
      <c r="U137" s="102" t="str">
        <f>MID(VLOOKUP($A137,Seqs!$A:$B,2,FALSE),VLOOKUP($A137,'NonXtal_SegEnds_Prot#'!A:AL,10,FALSE)+8,1)</f>
        <v>L</v>
      </c>
      <c r="V137" s="102" t="str">
        <f>MID(VLOOKUP($A137,Seqs!$A:$B,2,FALSE),VLOOKUP($A137,'NonXtal_SegEnds_Prot#'!A:AL,10,FALSE)+9,1)</f>
        <v>P</v>
      </c>
      <c r="W137" s="71" t="str">
        <f>MID(VLOOKUP($A137,Seqs!$A:$B,2,FALSE),VLOOKUP($A137,'NonXtal_SegEnds_Prot#'!$A:$AL,22,FALSE)+6,1)</f>
        <v>L</v>
      </c>
      <c r="X137" s="102" t="str">
        <f>MID(VLOOKUP($A137,Seqs!$A:$B,2,FALSE),VLOOKUP($A137,'NonXtal_SegEnds_Prot#'!$A:$AL,22,FALSE)+7,1)</f>
        <v>A</v>
      </c>
      <c r="Y137" s="102" t="str">
        <f>MID(VLOOKUP($A137,Seqs!$A:$B,2,FALSE),VLOOKUP($A137,'NonXtal_SegEnds_Prot#'!$A:$AL,22,FALSE)+8,1)</f>
        <v>L</v>
      </c>
      <c r="Z137" s="102" t="str">
        <f>MID(VLOOKUP($A137,Seqs!$A:$B,2,FALSE),VLOOKUP($A137,'NonXtal_SegEnds_Prot#'!$A:$AL,22,FALSE)+9,1)</f>
        <v>P</v>
      </c>
      <c r="AA137" s="102" t="str">
        <f>MID(VLOOKUP($A137,Seqs!$A:$B,2,FALSE),VLOOKUP($A137,'NonXtal_SegEnds_Prot#'!$A:$AL,22,FALSE)+10,1)</f>
        <v>E</v>
      </c>
      <c r="AB137" s="71" t="str">
        <f>MID(VLOOKUP($A137,Seqs!$A:$B,2,FALSE),VLOOKUP($A137,'NonXtal_SegEnds_Prot#'!$A:$AL,28,FALSE)-4,1)</f>
        <v>Y</v>
      </c>
      <c r="AC137" s="102" t="str">
        <f>MID(VLOOKUP($A137,Seqs!$A:$B,2,FALSE),VLOOKUP($A137,'NonXtal_SegEnds_Prot#'!$A:$AL,28,FALSE),1)</f>
        <v>P</v>
      </c>
    </row>
    <row r="138" spans="1:29" s="2" customFormat="1" x14ac:dyDescent="0.2">
      <c r="A138" s="2" t="s">
        <v>450</v>
      </c>
      <c r="B138" s="2" t="str">
        <f>LOWER(VLOOKUP(A138,Xtal_Templ!A:B,2,FALSE))</f>
        <v>ntr1_rat</v>
      </c>
      <c r="C138" s="2" t="str">
        <f>VLOOKUP(A138,Classification!A:D,2,FALSE)</f>
        <v>A</v>
      </c>
      <c r="E138" s="2" t="s">
        <v>20</v>
      </c>
      <c r="K138" s="2" t="s">
        <v>59</v>
      </c>
      <c r="P138" s="4" t="s">
        <v>51</v>
      </c>
      <c r="R138" s="71" t="str">
        <f>MID(VLOOKUP($A138,Seqs!$A:$B,2,FALSE),VLOOKUP($A138,'NonXtal_SegEnds_Prot#'!A:AL,10,FALSE),1)</f>
        <v>D</v>
      </c>
      <c r="S138" s="102" t="str">
        <f>MID(VLOOKUP($A138,Seqs!$A:$B,2,FALSE),VLOOKUP($A138,'NonXtal_SegEnds_Prot#'!A:AL,10,FALSE)+6,1)</f>
        <v>I</v>
      </c>
      <c r="T138" s="102" t="str">
        <f>MID(VLOOKUP($A138,Seqs!$A:$B,2,FALSE),VLOOKUP($A138,'NonXtal_SegEnds_Prot#'!A:AL,10,FALSE)+7,1)</f>
        <v>G</v>
      </c>
      <c r="U138" s="102" t="str">
        <f>MID(VLOOKUP($A138,Seqs!$A:$B,2,FALSE),VLOOKUP($A138,'NonXtal_SegEnds_Prot#'!A:AL,10,FALSE)+8,1)</f>
        <v>M</v>
      </c>
      <c r="V138" s="102" t="str">
        <f>MID(VLOOKUP($A138,Seqs!$A:$B,2,FALSE),VLOOKUP($A138,'NonXtal_SegEnds_Prot#'!A:AL,10,FALSE)+9,1)</f>
        <v>P</v>
      </c>
      <c r="W138" s="71" t="str">
        <f>MID(VLOOKUP($A138,Seqs!$A:$B,2,FALSE),VLOOKUP($A138,'NonXtal_SegEnds_Prot#'!$A:$AL,22,FALSE)+6,1)</f>
        <v>V</v>
      </c>
      <c r="X138" s="102" t="str">
        <f>MID(VLOOKUP($A138,Seqs!$A:$B,2,FALSE),VLOOKUP($A138,'NonXtal_SegEnds_Prot#'!$A:$AL,22,FALSE)+7,1)</f>
        <v>A</v>
      </c>
      <c r="Y138" s="102" t="str">
        <f>MID(VLOOKUP($A138,Seqs!$A:$B,2,FALSE),VLOOKUP($A138,'NonXtal_SegEnds_Prot#'!$A:$AL,22,FALSE)+8,1)</f>
        <v>L</v>
      </c>
      <c r="Z138" s="102" t="str">
        <f>MID(VLOOKUP($A138,Seqs!$A:$B,2,FALSE),VLOOKUP($A138,'NonXtal_SegEnds_Prot#'!$A:$AL,22,FALSE)+9,1)</f>
        <v>P</v>
      </c>
      <c r="AA138" s="102" t="str">
        <f>MID(VLOOKUP($A138,Seqs!$A:$B,2,FALSE),VLOOKUP($A138,'NonXtal_SegEnds_Prot#'!$A:$AL,22,FALSE)+10,1)</f>
        <v>L</v>
      </c>
      <c r="AB138" s="71" t="str">
        <f>MID(VLOOKUP($A138,Seqs!$A:$B,2,FALSE),VLOOKUP($A138,'NonXtal_SegEnds_Prot#'!$A:$AL,28,FALSE)-4,1)</f>
        <v>A</v>
      </c>
      <c r="AC138" s="102" t="str">
        <f>MID(VLOOKUP($A138,Seqs!$A:$B,2,FALSE),VLOOKUP($A138,'NonXtal_SegEnds_Prot#'!$A:$AL,28,FALSE),1)</f>
        <v>Y</v>
      </c>
    </row>
    <row r="139" spans="1:29" s="2" customFormat="1" x14ac:dyDescent="0.2">
      <c r="A139" s="2" t="s">
        <v>451</v>
      </c>
      <c r="B139" s="2" t="str">
        <f>LOWER(VLOOKUP(A139,Xtal_Templ!A:B,2,FALSE))</f>
        <v>p2ry1_human</v>
      </c>
      <c r="C139" s="2" t="str">
        <f>VLOOKUP(A139,Classification!A:D,2,FALSE)</f>
        <v>A</v>
      </c>
      <c r="N139" s="2" t="s">
        <v>43</v>
      </c>
      <c r="P139" s="4" t="s">
        <v>51</v>
      </c>
      <c r="R139" s="71" t="str">
        <f>MID(VLOOKUP($A139,Seqs!$A:$B,2,FALSE),VLOOKUP($A139,'NonXtal_SegEnds_Prot#'!A:AL,10,FALSE),1)</f>
        <v>D</v>
      </c>
      <c r="S139" s="102" t="str">
        <f>MID(VLOOKUP($A139,Seqs!$A:$B,2,FALSE),VLOOKUP($A139,'NonXtal_SegEnds_Prot#'!A:AL,10,FALSE)+6,1)</f>
        <v>T</v>
      </c>
      <c r="T139" s="102" t="str">
        <f>MID(VLOOKUP($A139,Seqs!$A:$B,2,FALSE),VLOOKUP($A139,'NonXtal_SegEnds_Prot#'!A:AL,10,FALSE)+7,1)</f>
        <v>L</v>
      </c>
      <c r="U139" s="102" t="str">
        <f>MID(VLOOKUP($A139,Seqs!$A:$B,2,FALSE),VLOOKUP($A139,'NonXtal_SegEnds_Prot#'!A:AL,10,FALSE)+8,1)</f>
        <v>P</v>
      </c>
      <c r="V139" s="102" t="str">
        <f>MID(VLOOKUP($A139,Seqs!$A:$B,2,FALSE),VLOOKUP($A139,'NonXtal_SegEnds_Prot#'!A:AL,10,FALSE)+9,1)</f>
        <v>L</v>
      </c>
      <c r="W139" s="71" t="str">
        <f>MID(VLOOKUP($A139,Seqs!$A:$B,2,FALSE),VLOOKUP($A139,'NonXtal_SegEnds_Prot#'!$A:$AL,22,FALSE)+6,1)</f>
        <v>A</v>
      </c>
      <c r="X139" s="102" t="str">
        <f>MID(VLOOKUP($A139,Seqs!$A:$B,2,FALSE),VLOOKUP($A139,'NonXtal_SegEnds_Prot#'!$A:$AL,22,FALSE)+7,1)</f>
        <v>N</v>
      </c>
      <c r="Y139" s="102" t="str">
        <f>MID(VLOOKUP($A139,Seqs!$A:$B,2,FALSE),VLOOKUP($A139,'NonXtal_SegEnds_Prot#'!$A:$AL,22,FALSE)+8,1)</f>
        <v>S</v>
      </c>
      <c r="Z139" s="102" t="str">
        <f>MID(VLOOKUP($A139,Seqs!$A:$B,2,FALSE),VLOOKUP($A139,'NonXtal_SegEnds_Prot#'!$A:$AL,22,FALSE)+9,1)</f>
        <v>A</v>
      </c>
      <c r="AA139" s="102" t="str">
        <f>MID(VLOOKUP($A139,Seqs!$A:$B,2,FALSE),VLOOKUP($A139,'NonXtal_SegEnds_Prot#'!$A:$AL,22,FALSE)+10,1)</f>
        <v>P</v>
      </c>
      <c r="AB139" s="71" t="str">
        <f>MID(VLOOKUP($A139,Seqs!$A:$B,2,FALSE),VLOOKUP($A139,'NonXtal_SegEnds_Prot#'!$A:$AL,28,FALSE)-4,1)</f>
        <v>G</v>
      </c>
      <c r="AC139" s="102" t="str">
        <f>MID(VLOOKUP($A139,Seqs!$A:$B,2,FALSE),VLOOKUP($A139,'NonXtal_SegEnds_Prot#'!$A:$AL,28,FALSE),1)</f>
        <v>P</v>
      </c>
    </row>
    <row r="140" spans="1:29" s="2" customFormat="1" x14ac:dyDescent="0.2">
      <c r="A140" s="2" t="s">
        <v>452</v>
      </c>
      <c r="B140" s="2" t="str">
        <f>LOWER(VLOOKUP(A140,Xtal_Templ!A:B,2,FALSE))</f>
        <v>par1_human</v>
      </c>
      <c r="C140" s="2" t="str">
        <f>VLOOKUP(A140,Classification!A:D,2,FALSE)</f>
        <v>A</v>
      </c>
      <c r="N140" s="2" t="s">
        <v>43</v>
      </c>
      <c r="O140" s="2" t="s">
        <v>1554</v>
      </c>
      <c r="P140" s="4" t="s">
        <v>51</v>
      </c>
      <c r="R140" s="71" t="str">
        <f>MID(VLOOKUP($A140,Seqs!$A:$B,2,FALSE),VLOOKUP($A140,'NonXtal_SegEnds_Prot#'!A:AL,10,FALSE),1)</f>
        <v>D</v>
      </c>
      <c r="S140" s="102" t="str">
        <f>MID(VLOOKUP($A140,Seqs!$A:$B,2,FALSE),VLOOKUP($A140,'NonXtal_SegEnds_Prot#'!A:AL,10,FALSE)+6,1)</f>
        <v>F</v>
      </c>
      <c r="T140" s="102" t="str">
        <f>MID(VLOOKUP($A140,Seqs!$A:$B,2,FALSE),VLOOKUP($A140,'NonXtal_SegEnds_Prot#'!A:AL,10,FALSE)+7,1)</f>
        <v>L</v>
      </c>
      <c r="U140" s="102" t="str">
        <f>MID(VLOOKUP($A140,Seqs!$A:$B,2,FALSE),VLOOKUP($A140,'NonXtal_SegEnds_Prot#'!A:AL,10,FALSE)+8,1)</f>
        <v>P</v>
      </c>
      <c r="V140" s="102" t="str">
        <f>MID(VLOOKUP($A140,Seqs!$A:$B,2,FALSE),VLOOKUP($A140,'NonXtal_SegEnds_Prot#'!A:AL,10,FALSE)+9,1)</f>
        <v>F</v>
      </c>
      <c r="W140" s="71" t="str">
        <f>MID(VLOOKUP($A140,Seqs!$A:$B,2,FALSE),VLOOKUP($A140,'NonXtal_SegEnds_Prot#'!$A:$AL,22,FALSE)+6,1)</f>
        <v>H</v>
      </c>
      <c r="X140" s="102" t="str">
        <f>MID(VLOOKUP($A140,Seqs!$A:$B,2,FALSE),VLOOKUP($A140,'NonXtal_SegEnds_Prot#'!$A:$AL,22,FALSE)+7,1)</f>
        <v>C</v>
      </c>
      <c r="Y140" s="102" t="str">
        <f>MID(VLOOKUP($A140,Seqs!$A:$B,2,FALSE),VLOOKUP($A140,'NonXtal_SegEnds_Prot#'!$A:$AL,22,FALSE)+8,1)</f>
        <v>S</v>
      </c>
      <c r="Z140" s="102" t="str">
        <f>MID(VLOOKUP($A140,Seqs!$A:$B,2,FALSE),VLOOKUP($A140,'NonXtal_SegEnds_Prot#'!$A:$AL,22,FALSE)+9,1)</f>
        <v>V</v>
      </c>
      <c r="AA140" s="102" t="str">
        <f>MID(VLOOKUP($A140,Seqs!$A:$B,2,FALSE),VLOOKUP($A140,'NonXtal_SegEnds_Prot#'!$A:$AL,22,FALSE)+10,1)</f>
        <v>V</v>
      </c>
      <c r="AB140" s="71" t="str">
        <f>MID(VLOOKUP($A140,Seqs!$A:$B,2,FALSE),VLOOKUP($A140,'NonXtal_SegEnds_Prot#'!$A:$AL,28,FALSE)-4,1)</f>
        <v>L</v>
      </c>
      <c r="AC140" s="102" t="str">
        <f>MID(VLOOKUP($A140,Seqs!$A:$B,2,FALSE),VLOOKUP($A140,'NonXtal_SegEnds_Prot#'!$A:$AL,28,FALSE),1)</f>
        <v>P</v>
      </c>
    </row>
    <row r="141" spans="1:29" s="2" customFormat="1" x14ac:dyDescent="0.2">
      <c r="A141" s="2" t="s">
        <v>453</v>
      </c>
      <c r="B141" s="2" t="str">
        <f>LOWER(VLOOKUP(A141,Xtal_Templ!A:B,2,FALSE))</f>
        <v>adrb1_melga</v>
      </c>
      <c r="C141" s="2" t="str">
        <f>VLOOKUP(A141,Classification!A:D,2,FALSE)</f>
        <v>A</v>
      </c>
      <c r="E141" s="2" t="s">
        <v>20</v>
      </c>
      <c r="K141" s="2" t="s">
        <v>59</v>
      </c>
      <c r="N141" s="2" t="s">
        <v>43</v>
      </c>
      <c r="P141" s="4" t="s">
        <v>51</v>
      </c>
      <c r="R141" s="71" t="str">
        <f>MID(VLOOKUP($A141,Seqs!$A:$B,2,FALSE),VLOOKUP($A141,'NonXtal_SegEnds_Prot#'!A:AL,10,FALSE),1)</f>
        <v>D</v>
      </c>
      <c r="S141" s="102" t="str">
        <f>MID(VLOOKUP($A141,Seqs!$A:$B,2,FALSE),VLOOKUP($A141,'NonXtal_SegEnds_Prot#'!A:AL,10,FALSE)+6,1)</f>
        <v>C</v>
      </c>
      <c r="T141" s="102" t="str">
        <f>MID(VLOOKUP($A141,Seqs!$A:$B,2,FALSE),VLOOKUP($A141,'NonXtal_SegEnds_Prot#'!A:AL,10,FALSE)+7,1)</f>
        <v>C</v>
      </c>
      <c r="U141" s="102" t="str">
        <f>MID(VLOOKUP($A141,Seqs!$A:$B,2,FALSE),VLOOKUP($A141,'NonXtal_SegEnds_Prot#'!A:AL,10,FALSE)+8,1)</f>
        <v>M</v>
      </c>
      <c r="V141" s="102" t="str">
        <f>MID(VLOOKUP($A141,Seqs!$A:$B,2,FALSE),VLOOKUP($A141,'NonXtal_SegEnds_Prot#'!A:AL,10,FALSE)+9,1)</f>
        <v>P</v>
      </c>
      <c r="W141" s="71" t="str">
        <f>MID(VLOOKUP($A141,Seqs!$A:$B,2,FALSE),VLOOKUP($A141,'NonXtal_SegEnds_Prot#'!$A:$AL,22,FALSE)+6,1)</f>
        <v>I</v>
      </c>
      <c r="X141" s="102" t="str">
        <f>MID(VLOOKUP($A141,Seqs!$A:$B,2,FALSE),VLOOKUP($A141,'NonXtal_SegEnds_Prot#'!$A:$AL,22,FALSE)+7,1)</f>
        <v>A</v>
      </c>
      <c r="Y141" s="102" t="str">
        <f>MID(VLOOKUP($A141,Seqs!$A:$B,2,FALSE),VLOOKUP($A141,'NonXtal_SegEnds_Prot#'!$A:$AL,22,FALSE)+8,1)</f>
        <v>G</v>
      </c>
      <c r="Z141" s="102" t="str">
        <f>MID(VLOOKUP($A141,Seqs!$A:$B,2,FALSE),VLOOKUP($A141,'NonXtal_SegEnds_Prot#'!$A:$AL,22,FALSE)+9,1)</f>
        <v>P</v>
      </c>
      <c r="AA141" s="102" t="str">
        <f>MID(VLOOKUP($A141,Seqs!$A:$B,2,FALSE),VLOOKUP($A141,'NonXtal_SegEnds_Prot#'!$A:$AL,22,FALSE)+10,1)</f>
        <v>S</v>
      </c>
      <c r="AB141" s="71" t="str">
        <f>MID(VLOOKUP($A141,Seqs!$A:$B,2,FALSE),VLOOKUP($A141,'NonXtal_SegEnds_Prot#'!$A:$AL,28,FALSE)-4,1)</f>
        <v>V</v>
      </c>
      <c r="AC141" s="102" t="str">
        <f>MID(VLOOKUP($A141,Seqs!$A:$B,2,FALSE),VLOOKUP($A141,'NonXtal_SegEnds_Prot#'!$A:$AL,28,FALSE),1)</f>
        <v>P</v>
      </c>
    </row>
    <row r="142" spans="1:29" s="2" customFormat="1" x14ac:dyDescent="0.2">
      <c r="A142" s="2" t="s">
        <v>454</v>
      </c>
      <c r="B142" s="2" t="str">
        <f>LOWER(VLOOKUP(A142,Xtal_Templ!A:B,2,FALSE))</f>
        <v>ox2r_human</v>
      </c>
      <c r="C142" s="2" t="str">
        <f>VLOOKUP(A142,Classification!A:D,2,FALSE)</f>
        <v>A</v>
      </c>
      <c r="K142" s="2" t="s">
        <v>59</v>
      </c>
      <c r="N142" s="2" t="s">
        <v>43</v>
      </c>
      <c r="P142" s="4" t="s">
        <v>51</v>
      </c>
      <c r="R142" s="71" t="str">
        <f>MID(VLOOKUP($A142,Seqs!$A:$B,2,FALSE),VLOOKUP($A142,'NonXtal_SegEnds_Prot#'!A:AL,10,FALSE),1)</f>
        <v>D</v>
      </c>
      <c r="S142" s="102" t="str">
        <f>MID(VLOOKUP($A142,Seqs!$A:$B,2,FALSE),VLOOKUP($A142,'NonXtal_SegEnds_Prot#'!A:AL,10,FALSE)+6,1)</f>
        <v>S</v>
      </c>
      <c r="T142" s="102" t="str">
        <f>MID(VLOOKUP($A142,Seqs!$A:$B,2,FALSE),VLOOKUP($A142,'NonXtal_SegEnds_Prot#'!A:AL,10,FALSE)+7,1)</f>
        <v>C</v>
      </c>
      <c r="U142" s="102" t="str">
        <f>MID(VLOOKUP($A142,Seqs!$A:$B,2,FALSE),VLOOKUP($A142,'NonXtal_SegEnds_Prot#'!A:AL,10,FALSE)+8,1)</f>
        <v>L</v>
      </c>
      <c r="V142" s="102" t="str">
        <f>MID(VLOOKUP($A142,Seqs!$A:$B,2,FALSE),VLOOKUP($A142,'NonXtal_SegEnds_Prot#'!A:AL,10,FALSE)+9,1)</f>
        <v>V</v>
      </c>
      <c r="W142" s="71" t="str">
        <f>MID(VLOOKUP($A142,Seqs!$A:$B,2,FALSE),VLOOKUP($A142,'NonXtal_SegEnds_Prot#'!$A:$AL,22,FALSE)+6,1)</f>
        <v>I</v>
      </c>
      <c r="X142" s="102" t="str">
        <f>MID(VLOOKUP($A142,Seqs!$A:$B,2,FALSE),VLOOKUP($A142,'NonXtal_SegEnds_Prot#'!$A:$AL,22,FALSE)+7,1)</f>
        <v>F</v>
      </c>
      <c r="Y142" s="102" t="str">
        <f>MID(VLOOKUP($A142,Seqs!$A:$B,2,FALSE),VLOOKUP($A142,'NonXtal_SegEnds_Prot#'!$A:$AL,22,FALSE)+8,1)</f>
        <v>L</v>
      </c>
      <c r="Z142" s="102" t="str">
        <f>MID(VLOOKUP($A142,Seqs!$A:$B,2,FALSE),VLOOKUP($A142,'NonXtal_SegEnds_Prot#'!$A:$AL,22,FALSE)+9,1)</f>
        <v>P</v>
      </c>
      <c r="AA142" s="102" t="str">
        <f>MID(VLOOKUP($A142,Seqs!$A:$B,2,FALSE),VLOOKUP($A142,'NonXtal_SegEnds_Prot#'!$A:$AL,22,FALSE)+10,1)</f>
        <v>S</v>
      </c>
      <c r="AB142" s="71" t="str">
        <f>MID(VLOOKUP($A142,Seqs!$A:$B,2,FALSE),VLOOKUP($A142,'NonXtal_SegEnds_Prot#'!$A:$AL,28,FALSE)-4,1)</f>
        <v>L</v>
      </c>
      <c r="AC142" s="102" t="str">
        <f>MID(VLOOKUP($A142,Seqs!$A:$B,2,FALSE),VLOOKUP($A142,'NonXtal_SegEnds_Prot#'!$A:$AL,28,FALSE),1)</f>
        <v>P</v>
      </c>
    </row>
    <row r="143" spans="1:29" s="2" customFormat="1" x14ac:dyDescent="0.2">
      <c r="A143" s="2" t="s">
        <v>455</v>
      </c>
      <c r="B143" s="2" t="str">
        <f>LOWER(VLOOKUP(A143,Xtal_Templ!A:B,2,FALSE))</f>
        <v>par1_human</v>
      </c>
      <c r="C143" s="2" t="str">
        <f>VLOOKUP(A143,Classification!A:D,2,FALSE)</f>
        <v>A</v>
      </c>
      <c r="K143" s="2" t="s">
        <v>59</v>
      </c>
      <c r="N143" s="2" t="s">
        <v>43</v>
      </c>
      <c r="P143" s="4" t="s">
        <v>51</v>
      </c>
      <c r="R143" s="71" t="str">
        <f>MID(VLOOKUP($A143,Seqs!$A:$B,2,FALSE),VLOOKUP($A143,'NonXtal_SegEnds_Prot#'!A:AL,10,FALSE),1)</f>
        <v>D</v>
      </c>
      <c r="S143" s="102" t="str">
        <f>MID(VLOOKUP($A143,Seqs!$A:$B,2,FALSE),VLOOKUP($A143,'NonXtal_SegEnds_Prot#'!A:AL,10,FALSE)+6,1)</f>
        <v>S</v>
      </c>
      <c r="T143" s="102" t="str">
        <f>MID(VLOOKUP($A143,Seqs!$A:$B,2,FALSE),VLOOKUP($A143,'NonXtal_SegEnds_Prot#'!A:AL,10,FALSE)+7,1)</f>
        <v>L</v>
      </c>
      <c r="U143" s="102" t="str">
        <f>MID(VLOOKUP($A143,Seqs!$A:$B,2,FALSE),VLOOKUP($A143,'NonXtal_SegEnds_Prot#'!A:AL,10,FALSE)+8,1)</f>
        <v>P</v>
      </c>
      <c r="V143" s="102" t="str">
        <f>MID(VLOOKUP($A143,Seqs!$A:$B,2,FALSE),VLOOKUP($A143,'NonXtal_SegEnds_Prot#'!A:AL,10,FALSE)+9,1)</f>
        <v>F</v>
      </c>
      <c r="W143" s="71" t="str">
        <f>MID(VLOOKUP($A143,Seqs!$A:$B,2,FALSE),VLOOKUP($A143,'NonXtal_SegEnds_Prot#'!$A:$AL,22,FALSE)+6,1)</f>
        <v>G</v>
      </c>
      <c r="X143" s="102" t="str">
        <f>MID(VLOOKUP($A143,Seqs!$A:$B,2,FALSE),VLOOKUP($A143,'NonXtal_SegEnds_Prot#'!$A:$AL,22,FALSE)+7,1)</f>
        <v>S</v>
      </c>
      <c r="Y143" s="102" t="str">
        <f>MID(VLOOKUP($A143,Seqs!$A:$B,2,FALSE),VLOOKUP($A143,'NonXtal_SegEnds_Prot#'!$A:$AL,22,FALSE)+8,1)</f>
        <v>I</v>
      </c>
      <c r="Z143" s="102" t="str">
        <f>MID(VLOOKUP($A143,Seqs!$A:$B,2,FALSE),VLOOKUP($A143,'NonXtal_SegEnds_Prot#'!$A:$AL,22,FALSE)+9,1)</f>
        <v>P</v>
      </c>
      <c r="AA143" s="102" t="str">
        <f>MID(VLOOKUP($A143,Seqs!$A:$B,2,FALSE),VLOOKUP($A143,'NonXtal_SegEnds_Prot#'!$A:$AL,22,FALSE)+10,1)</f>
        <v>I</v>
      </c>
      <c r="AB143" s="71" t="str">
        <f>MID(VLOOKUP($A143,Seqs!$A:$B,2,FALSE),VLOOKUP($A143,'NonXtal_SegEnds_Prot#'!$A:$AL,28,FALSE)-4,1)</f>
        <v>G</v>
      </c>
      <c r="AC143" s="102" t="str">
        <f>MID(VLOOKUP($A143,Seqs!$A:$B,2,FALSE),VLOOKUP($A143,'NonXtal_SegEnds_Prot#'!$A:$AL,28,FALSE),1)</f>
        <v>P</v>
      </c>
    </row>
    <row r="144" spans="1:29" s="2" customFormat="1" x14ac:dyDescent="0.2">
      <c r="A144" s="2" t="s">
        <v>456</v>
      </c>
      <c r="B144" s="2" t="str">
        <f>LOWER(VLOOKUP(A144,Xtal_Templ!A:B,2,FALSE))</f>
        <v>s1pr1_human</v>
      </c>
      <c r="C144" s="2" t="str">
        <f>VLOOKUP(A144,Classification!A:D,2,FALSE)</f>
        <v>A</v>
      </c>
      <c r="P144" s="4" t="s">
        <v>51</v>
      </c>
      <c r="R144" s="71" t="str">
        <f>MID(VLOOKUP($A144,Seqs!$A:$B,2,FALSE),VLOOKUP($A144,'NonXtal_SegEnds_Prot#'!A:AL,10,FALSE),1)</f>
        <v>D</v>
      </c>
      <c r="S144" s="102" t="str">
        <f>MID(VLOOKUP($A144,Seqs!$A:$B,2,FALSE),VLOOKUP($A144,'NonXtal_SegEnds_Prot#'!A:AL,10,FALSE)+6,1)</f>
        <v>G</v>
      </c>
      <c r="T144" s="102" t="str">
        <f>MID(VLOOKUP($A144,Seqs!$A:$B,2,FALSE),VLOOKUP($A144,'NonXtal_SegEnds_Prot#'!A:AL,10,FALSE)+7,1)</f>
        <v>L</v>
      </c>
      <c r="U144" s="102" t="str">
        <f>MID(VLOOKUP($A144,Seqs!$A:$B,2,FALSE),VLOOKUP($A144,'NonXtal_SegEnds_Prot#'!A:AL,10,FALSE)+8,1)</f>
        <v>I</v>
      </c>
      <c r="V144" s="102" t="str">
        <f>MID(VLOOKUP($A144,Seqs!$A:$B,2,FALSE),VLOOKUP($A144,'NonXtal_SegEnds_Prot#'!A:AL,10,FALSE)+9,1)</f>
        <v>L</v>
      </c>
      <c r="W144" s="71" t="str">
        <f>MID(VLOOKUP($A144,Seqs!$A:$B,2,FALSE),VLOOKUP($A144,'NonXtal_SegEnds_Prot#'!$A:$AL,22,FALSE)+6,1)</f>
        <v>L</v>
      </c>
      <c r="X144" s="102" t="str">
        <f>MID(VLOOKUP($A144,Seqs!$A:$B,2,FALSE),VLOOKUP($A144,'NonXtal_SegEnds_Prot#'!$A:$AL,22,FALSE)+7,1)</f>
        <v>G</v>
      </c>
      <c r="Y144" s="102" t="str">
        <f>MID(VLOOKUP($A144,Seqs!$A:$B,2,FALSE),VLOOKUP($A144,'NonXtal_SegEnds_Prot#'!$A:$AL,22,FALSE)+8,1)</f>
        <v>L</v>
      </c>
      <c r="Z144" s="102" t="str">
        <f>MID(VLOOKUP($A144,Seqs!$A:$B,2,FALSE),VLOOKUP($A144,'NonXtal_SegEnds_Prot#'!$A:$AL,22,FALSE)+9,1)</f>
        <v>L</v>
      </c>
      <c r="AA144" s="102" t="str">
        <f>MID(VLOOKUP($A144,Seqs!$A:$B,2,FALSE),VLOOKUP($A144,'NonXtal_SegEnds_Prot#'!$A:$AL,22,FALSE)+10,1)</f>
        <v>P</v>
      </c>
      <c r="AB144" s="71" t="str">
        <f>MID(VLOOKUP($A144,Seqs!$A:$B,2,FALSE),VLOOKUP($A144,'NonXtal_SegEnds_Prot#'!$A:$AL,28,FALSE)-4,1)</f>
        <v>A</v>
      </c>
      <c r="AC144" s="102" t="str">
        <f>MID(VLOOKUP($A144,Seqs!$A:$B,2,FALSE),VLOOKUP($A144,'NonXtal_SegEnds_Prot#'!$A:$AL,28,FALSE),1)</f>
        <v>V</v>
      </c>
    </row>
    <row r="145" spans="1:29" s="2" customFormat="1" x14ac:dyDescent="0.2">
      <c r="A145" s="2" t="s">
        <v>457</v>
      </c>
      <c r="B145" s="2" t="str">
        <f>LOWER(VLOOKUP(A145,Xtal_Templ!A:B,2,FALSE))</f>
        <v>drd3_human</v>
      </c>
      <c r="C145" s="2" t="str">
        <f>VLOOKUP(A145,Classification!A:D,2,FALSE)</f>
        <v>A</v>
      </c>
      <c r="E145" s="2" t="s">
        <v>20</v>
      </c>
      <c r="N145" s="2" t="s">
        <v>43</v>
      </c>
      <c r="P145" s="4" t="s">
        <v>51</v>
      </c>
      <c r="R145" s="71" t="str">
        <f>MID(VLOOKUP($A145,Seqs!$A:$B,2,FALSE),VLOOKUP($A145,'NonXtal_SegEnds_Prot#'!A:AL,10,FALSE),1)</f>
        <v>D</v>
      </c>
      <c r="S145" s="102" t="str">
        <f>MID(VLOOKUP($A145,Seqs!$A:$B,2,FALSE),VLOOKUP($A145,'NonXtal_SegEnds_Prot#'!A:AL,10,FALSE)+6,1)</f>
        <v>T</v>
      </c>
      <c r="T145" s="102" t="str">
        <f>MID(VLOOKUP($A145,Seqs!$A:$B,2,FALSE),VLOOKUP($A145,'NonXtal_SegEnds_Prot#'!A:AL,10,FALSE)+7,1)</f>
        <v>L</v>
      </c>
      <c r="U145" s="102" t="str">
        <f>MID(VLOOKUP($A145,Seqs!$A:$B,2,FALSE),VLOOKUP($A145,'NonXtal_SegEnds_Prot#'!A:AL,10,FALSE)+8,1)</f>
        <v>M</v>
      </c>
      <c r="V145" s="102" t="str">
        <f>MID(VLOOKUP($A145,Seqs!$A:$B,2,FALSE),VLOOKUP($A145,'NonXtal_SegEnds_Prot#'!A:AL,10,FALSE)+9,1)</f>
        <v>P</v>
      </c>
      <c r="W145" s="71" t="str">
        <f>MID(VLOOKUP($A145,Seqs!$A:$B,2,FALSE),VLOOKUP($A145,'NonXtal_SegEnds_Prot#'!$A:$AL,22,FALSE)+6,1)</f>
        <v>M</v>
      </c>
      <c r="X145" s="102" t="str">
        <f>MID(VLOOKUP($A145,Seqs!$A:$B,2,FALSE),VLOOKUP($A145,'NonXtal_SegEnds_Prot#'!$A:$AL,22,FALSE)+7,1)</f>
        <v>A</v>
      </c>
      <c r="Y145" s="102" t="str">
        <f>MID(VLOOKUP($A145,Seqs!$A:$B,2,FALSE),VLOOKUP($A145,'NonXtal_SegEnds_Prot#'!$A:$AL,22,FALSE)+8,1)</f>
        <v>S</v>
      </c>
      <c r="Z145" s="102" t="str">
        <f>MID(VLOOKUP($A145,Seqs!$A:$B,2,FALSE),VLOOKUP($A145,'NonXtal_SegEnds_Prot#'!$A:$AL,22,FALSE)+9,1)</f>
        <v>V</v>
      </c>
      <c r="AA145" s="102" t="str">
        <f>MID(VLOOKUP($A145,Seqs!$A:$B,2,FALSE),VLOOKUP($A145,'NonXtal_SegEnds_Prot#'!$A:$AL,22,FALSE)+10,1)</f>
        <v>P</v>
      </c>
      <c r="AB145" s="71" t="str">
        <f>MID(VLOOKUP($A145,Seqs!$A:$B,2,FALSE),VLOOKUP($A145,'NonXtal_SegEnds_Prot#'!$A:$AL,28,FALSE)-4,1)</f>
        <v>Y</v>
      </c>
      <c r="AC145" s="102" t="str">
        <f>MID(VLOOKUP($A145,Seqs!$A:$B,2,FALSE),VLOOKUP($A145,'NonXtal_SegEnds_Prot#'!$A:$AL,28,FALSE),1)</f>
        <v>P</v>
      </c>
    </row>
    <row r="146" spans="1:29" s="2" customFormat="1" x14ac:dyDescent="0.2">
      <c r="A146" s="2" t="s">
        <v>458</v>
      </c>
      <c r="B146" s="2" t="str">
        <f>LOWER(VLOOKUP(A146,Xtal_Templ!A:B,2,FALSE))</f>
        <v>drd3_human</v>
      </c>
      <c r="C146" s="2" t="str">
        <f>VLOOKUP(A146,Classification!A:D,2,FALSE)</f>
        <v>A</v>
      </c>
      <c r="E146" s="2" t="s">
        <v>20</v>
      </c>
      <c r="N146" s="2" t="s">
        <v>43</v>
      </c>
      <c r="P146" s="4" t="s">
        <v>51</v>
      </c>
      <c r="R146" s="71" t="str">
        <f>MID(VLOOKUP($A146,Seqs!$A:$B,2,FALSE),VLOOKUP($A146,'NonXtal_SegEnds_Prot#'!A:AL,10,FALSE),1)</f>
        <v>D</v>
      </c>
      <c r="S146" s="102" t="str">
        <f>MID(VLOOKUP($A146,Seqs!$A:$B,2,FALSE),VLOOKUP($A146,'NonXtal_SegEnds_Prot#'!A:AL,10,FALSE)+6,1)</f>
        <v>S</v>
      </c>
      <c r="T146" s="102" t="str">
        <f>MID(VLOOKUP($A146,Seqs!$A:$B,2,FALSE),VLOOKUP($A146,'NonXtal_SegEnds_Prot#'!A:AL,10,FALSE)+7,1)</f>
        <v>I</v>
      </c>
      <c r="U146" s="102" t="str">
        <f>MID(VLOOKUP($A146,Seqs!$A:$B,2,FALSE),VLOOKUP($A146,'NonXtal_SegEnds_Prot#'!A:AL,10,FALSE)+8,1)</f>
        <v>M</v>
      </c>
      <c r="V146" s="102" t="str">
        <f>MID(VLOOKUP($A146,Seqs!$A:$B,2,FALSE),VLOOKUP($A146,'NonXtal_SegEnds_Prot#'!A:AL,10,FALSE)+9,1)</f>
        <v>P</v>
      </c>
      <c r="W146" s="71" t="str">
        <f>MID(VLOOKUP($A146,Seqs!$A:$B,2,FALSE),VLOOKUP($A146,'NonXtal_SegEnds_Prot#'!$A:$AL,22,FALSE)+6,1)</f>
        <v>L</v>
      </c>
      <c r="X146" s="102" t="str">
        <f>MID(VLOOKUP($A146,Seqs!$A:$B,2,FALSE),VLOOKUP($A146,'NonXtal_SegEnds_Prot#'!$A:$AL,22,FALSE)+7,1)</f>
        <v>G</v>
      </c>
      <c r="Y146" s="102" t="str">
        <f>MID(VLOOKUP($A146,Seqs!$A:$B,2,FALSE),VLOOKUP($A146,'NonXtal_SegEnds_Prot#'!$A:$AL,22,FALSE)+8,1)</f>
        <v>A</v>
      </c>
      <c r="Z146" s="102" t="str">
        <f>MID(VLOOKUP($A146,Seqs!$A:$B,2,FALSE),VLOOKUP($A146,'NonXtal_SegEnds_Prot#'!$A:$AL,22,FALSE)+9,1)</f>
        <v>L</v>
      </c>
      <c r="AA146" s="102" t="str">
        <f>MID(VLOOKUP($A146,Seqs!$A:$B,2,FALSE),VLOOKUP($A146,'NonXtal_SegEnds_Prot#'!$A:$AL,22,FALSE)+10,1)</f>
        <v>S</v>
      </c>
      <c r="AB146" s="71" t="str">
        <f>MID(VLOOKUP($A146,Seqs!$A:$B,2,FALSE),VLOOKUP($A146,'NonXtal_SegEnds_Prot#'!$A:$AL,28,FALSE)-4,1)</f>
        <v>A</v>
      </c>
      <c r="AC146" s="102" t="str">
        <f>MID(VLOOKUP($A146,Seqs!$A:$B,2,FALSE),VLOOKUP($A146,'NonXtal_SegEnds_Prot#'!$A:$AL,28,FALSE),1)</f>
        <v>P</v>
      </c>
    </row>
    <row r="147" spans="1:29" s="2" customFormat="1" x14ac:dyDescent="0.2">
      <c r="A147" s="2" t="s">
        <v>459</v>
      </c>
      <c r="B147" s="2" t="str">
        <f>LOWER(VLOOKUP(A147,Xtal_Templ!A:B,2,FALSE))</f>
        <v>5ht1b_human</v>
      </c>
      <c r="C147" s="2" t="str">
        <f>VLOOKUP(A147,Classification!A:D,2,FALSE)</f>
        <v>A</v>
      </c>
      <c r="E147" s="2" t="s">
        <v>20</v>
      </c>
      <c r="K147" s="2" t="s">
        <v>59</v>
      </c>
      <c r="N147" s="2" t="s">
        <v>43</v>
      </c>
      <c r="P147" s="4" t="s">
        <v>51</v>
      </c>
      <c r="R147" s="71" t="str">
        <f>MID(VLOOKUP($A147,Seqs!$A:$B,2,FALSE),VLOOKUP($A147,'NonXtal_SegEnds_Prot#'!A:AL,10,FALSE),1)</f>
        <v>D</v>
      </c>
      <c r="S147" s="102" t="str">
        <f>MID(VLOOKUP($A147,Seqs!$A:$B,2,FALSE),VLOOKUP($A147,'NonXtal_SegEnds_Prot#'!A:AL,10,FALSE)+6,1)</f>
        <v>L</v>
      </c>
      <c r="T147" s="102" t="str">
        <f>MID(VLOOKUP($A147,Seqs!$A:$B,2,FALSE),VLOOKUP($A147,'NonXtal_SegEnds_Prot#'!A:AL,10,FALSE)+7,1)</f>
        <v>N</v>
      </c>
      <c r="U147" s="102" t="str">
        <f>MID(VLOOKUP($A147,Seqs!$A:$B,2,FALSE),VLOOKUP($A147,'NonXtal_SegEnds_Prot#'!A:AL,10,FALSE)+8,1)</f>
        <v>M</v>
      </c>
      <c r="V147" s="102" t="str">
        <f>MID(VLOOKUP($A147,Seqs!$A:$B,2,FALSE),VLOOKUP($A147,'NonXtal_SegEnds_Prot#'!A:AL,10,FALSE)+9,1)</f>
        <v>P</v>
      </c>
      <c r="W147" s="71" t="str">
        <f>MID(VLOOKUP($A147,Seqs!$A:$B,2,FALSE),VLOOKUP($A147,'NonXtal_SegEnds_Prot#'!$A:$AL,22,FALSE)+6,1)</f>
        <v>V</v>
      </c>
      <c r="X147" s="102" t="str">
        <f>MID(VLOOKUP($A147,Seqs!$A:$B,2,FALSE),VLOOKUP($A147,'NonXtal_SegEnds_Prot#'!$A:$AL,22,FALSE)+7,1)</f>
        <v>A</v>
      </c>
      <c r="Y147" s="102" t="str">
        <f>MID(VLOOKUP($A147,Seqs!$A:$B,2,FALSE),VLOOKUP($A147,'NonXtal_SegEnds_Prot#'!$A:$AL,22,FALSE)+8,1)</f>
        <v>F</v>
      </c>
      <c r="Z147" s="102" t="str">
        <f>MID(VLOOKUP($A147,Seqs!$A:$B,2,FALSE),VLOOKUP($A147,'NonXtal_SegEnds_Prot#'!$A:$AL,22,FALSE)+9,1)</f>
        <v>P</v>
      </c>
      <c r="AA147" s="102" t="str">
        <f>MID(VLOOKUP($A147,Seqs!$A:$B,2,FALSE),VLOOKUP($A147,'NonXtal_SegEnds_Prot#'!$A:$AL,22,FALSE)+10,1)</f>
        <v>L</v>
      </c>
      <c r="AB147" s="71" t="str">
        <f>MID(VLOOKUP($A147,Seqs!$A:$B,2,FALSE),VLOOKUP($A147,'NonXtal_SegEnds_Prot#'!$A:$AL,28,FALSE)-4,1)</f>
        <v>S</v>
      </c>
      <c r="AC147" s="102" t="str">
        <f>MID(VLOOKUP($A147,Seqs!$A:$B,2,FALSE),VLOOKUP($A147,'NonXtal_SegEnds_Prot#'!$A:$AL,28,FALSE),1)</f>
        <v>P</v>
      </c>
    </row>
    <row r="148" spans="1:29" s="2" customFormat="1" x14ac:dyDescent="0.2">
      <c r="A148" s="2" t="s">
        <v>460</v>
      </c>
      <c r="B148" s="2" t="str">
        <f>LOWER(VLOOKUP(A148,Xtal_Templ!A:B,2,FALSE))</f>
        <v>drd3_human</v>
      </c>
      <c r="C148" s="2" t="str">
        <f>VLOOKUP(A148,Classification!A:D,2,FALSE)</f>
        <v>A</v>
      </c>
      <c r="E148" s="2" t="s">
        <v>20</v>
      </c>
      <c r="P148" s="4" t="s">
        <v>51</v>
      </c>
      <c r="R148" s="71" t="str">
        <f>MID(VLOOKUP($A148,Seqs!$A:$B,2,FALSE),VLOOKUP($A148,'NonXtal_SegEnds_Prot#'!A:AL,10,FALSE),1)</f>
        <v>D</v>
      </c>
      <c r="S148" s="102" t="str">
        <f>MID(VLOOKUP($A148,Seqs!$A:$B,2,FALSE),VLOOKUP($A148,'NonXtal_SegEnds_Prot#'!A:AL,10,FALSE)+6,1)</f>
        <v>V</v>
      </c>
      <c r="T148" s="102" t="str">
        <f>MID(VLOOKUP($A148,Seqs!$A:$B,2,FALSE),VLOOKUP($A148,'NonXtal_SegEnds_Prot#'!A:AL,10,FALSE)+7,1)</f>
        <v>T</v>
      </c>
      <c r="U148" s="102" t="str">
        <f>MID(VLOOKUP($A148,Seqs!$A:$B,2,FALSE),VLOOKUP($A148,'NonXtal_SegEnds_Prot#'!A:AL,10,FALSE)+8,1)</f>
        <v>A</v>
      </c>
      <c r="V148" s="102" t="str">
        <f>MID(VLOOKUP($A148,Seqs!$A:$B,2,FALSE),VLOOKUP($A148,'NonXtal_SegEnds_Prot#'!A:AL,10,FALSE)+9,1)</f>
        <v>P</v>
      </c>
      <c r="W148" s="71" t="str">
        <f>MID(VLOOKUP($A148,Seqs!$A:$B,2,FALSE),VLOOKUP($A148,'NonXtal_SegEnds_Prot#'!$A:$AL,22,FALSE)+6,1)</f>
        <v>L</v>
      </c>
      <c r="X148" s="102" t="str">
        <f>MID(VLOOKUP($A148,Seqs!$A:$B,2,FALSE),VLOOKUP($A148,'NonXtal_SegEnds_Prot#'!$A:$AL,22,FALSE)+7,1)</f>
        <v>A</v>
      </c>
      <c r="Y148" s="102" t="str">
        <f>MID(VLOOKUP($A148,Seqs!$A:$B,2,FALSE),VLOOKUP($A148,'NonXtal_SegEnds_Prot#'!$A:$AL,22,FALSE)+8,1)</f>
        <v>T</v>
      </c>
      <c r="Z148" s="102" t="str">
        <f>MID(VLOOKUP($A148,Seqs!$A:$B,2,FALSE),VLOOKUP($A148,'NonXtal_SegEnds_Prot#'!$A:$AL,22,FALSE)+9,1)</f>
        <v>L</v>
      </c>
      <c r="AA148" s="102" t="str">
        <f>MID(VLOOKUP($A148,Seqs!$A:$B,2,FALSE),VLOOKUP($A148,'NonXtal_SegEnds_Prot#'!$A:$AL,22,FALSE)+10,1)</f>
        <v>A</v>
      </c>
      <c r="AB148" s="71" t="str">
        <f>MID(VLOOKUP($A148,Seqs!$A:$B,2,FALSE),VLOOKUP($A148,'NonXtal_SegEnds_Prot#'!$A:$AL,28,FALSE)-4,1)</f>
        <v>D</v>
      </c>
      <c r="AC148" s="102" t="str">
        <f>MID(VLOOKUP($A148,Seqs!$A:$B,2,FALSE),VLOOKUP($A148,'NonXtal_SegEnds_Prot#'!$A:$AL,28,FALSE),1)</f>
        <v>C</v>
      </c>
    </row>
    <row r="149" spans="1:29" s="2" customFormat="1" x14ac:dyDescent="0.2">
      <c r="A149" s="2" t="s">
        <v>461</v>
      </c>
      <c r="B149" s="2" t="str">
        <f>LOWER(VLOOKUP(A149,Xtal_Templ!A:B,2,FALSE))</f>
        <v>ox1r_human</v>
      </c>
      <c r="C149" s="2" t="str">
        <f>VLOOKUP(A149,Classification!A:D,2,FALSE)</f>
        <v>A</v>
      </c>
      <c r="E149" s="2" t="s">
        <v>20</v>
      </c>
      <c r="N149" s="2" t="s">
        <v>43</v>
      </c>
      <c r="P149" s="4" t="s">
        <v>51</v>
      </c>
      <c r="R149" s="71" t="str">
        <f>MID(VLOOKUP($A149,Seqs!$A:$B,2,FALSE),VLOOKUP($A149,'NonXtal_SegEnds_Prot#'!A:AL,10,FALSE),1)</f>
        <v>H</v>
      </c>
      <c r="S149" s="102" t="str">
        <f>MID(VLOOKUP($A149,Seqs!$A:$B,2,FALSE),VLOOKUP($A149,'NonXtal_SegEnds_Prot#'!A:AL,10,FALSE)+6,1)</f>
        <v>L</v>
      </c>
      <c r="T149" s="102" t="str">
        <f>MID(VLOOKUP($A149,Seqs!$A:$B,2,FALSE),VLOOKUP($A149,'NonXtal_SegEnds_Prot#'!A:AL,10,FALSE)+7,1)</f>
        <v>D</v>
      </c>
      <c r="U149" s="102" t="str">
        <f>MID(VLOOKUP($A149,Seqs!$A:$B,2,FALSE),VLOOKUP($A149,'NonXtal_SegEnds_Prot#'!A:AL,10,FALSE)+8,1)</f>
        <v>M</v>
      </c>
      <c r="V149" s="102" t="str">
        <f>MID(VLOOKUP($A149,Seqs!$A:$B,2,FALSE),VLOOKUP($A149,'NonXtal_SegEnds_Prot#'!A:AL,10,FALSE)+9,1)</f>
        <v>P</v>
      </c>
      <c r="W149" s="71" t="str">
        <f>MID(VLOOKUP($A149,Seqs!$A:$B,2,FALSE),VLOOKUP($A149,'NonXtal_SegEnds_Prot#'!$A:$AL,22,FALSE)+6,1)</f>
        <v>F</v>
      </c>
      <c r="X149" s="102" t="str">
        <f>MID(VLOOKUP($A149,Seqs!$A:$B,2,FALSE),VLOOKUP($A149,'NonXtal_SegEnds_Prot#'!$A:$AL,22,FALSE)+7,1)</f>
        <v>S</v>
      </c>
      <c r="Y149" s="102" t="str">
        <f>MID(VLOOKUP($A149,Seqs!$A:$B,2,FALSE),VLOOKUP($A149,'NonXtal_SegEnds_Prot#'!$A:$AL,22,FALSE)+8,1)</f>
        <v>G</v>
      </c>
      <c r="Z149" s="102" t="str">
        <f>MID(VLOOKUP($A149,Seqs!$A:$B,2,FALSE),VLOOKUP($A149,'NonXtal_SegEnds_Prot#'!$A:$AL,22,FALSE)+9,1)</f>
        <v>A</v>
      </c>
      <c r="AA149" s="102" t="str">
        <f>MID(VLOOKUP($A149,Seqs!$A:$B,2,FALSE),VLOOKUP($A149,'NonXtal_SegEnds_Prot#'!$A:$AL,22,FALSE)+10,1)</f>
        <v>A</v>
      </c>
      <c r="AB149" s="71" t="str">
        <f>MID(VLOOKUP($A149,Seqs!$A:$B,2,FALSE),VLOOKUP($A149,'NonXtal_SegEnds_Prot#'!$A:$AL,28,FALSE)-4,1)</f>
        <v>G</v>
      </c>
      <c r="AC149" s="102" t="str">
        <f>MID(VLOOKUP($A149,Seqs!$A:$B,2,FALSE),VLOOKUP($A149,'NonXtal_SegEnds_Prot#'!$A:$AL,28,FALSE),1)</f>
        <v>P</v>
      </c>
    </row>
    <row r="150" spans="1:29" s="2" customFormat="1" x14ac:dyDescent="0.2">
      <c r="A150" s="2" t="s">
        <v>462</v>
      </c>
      <c r="B150" s="2" t="str">
        <f>LOWER(VLOOKUP(A150,Xtal_Templ!A:B,2,FALSE))</f>
        <v>oprd_mouse</v>
      </c>
      <c r="C150" s="2" t="str">
        <f>VLOOKUP(A150,Classification!A:D,2,FALSE)</f>
        <v>A</v>
      </c>
      <c r="K150" s="2" t="s">
        <v>59</v>
      </c>
      <c r="P150" s="4" t="s">
        <v>51</v>
      </c>
      <c r="R150" s="71" t="str">
        <f>MID(VLOOKUP($A150,Seqs!$A:$B,2,FALSE),VLOOKUP($A150,'NonXtal_SegEnds_Prot#'!A:AL,10,FALSE),1)</f>
        <v>N</v>
      </c>
      <c r="S150" s="102" t="str">
        <f>MID(VLOOKUP($A150,Seqs!$A:$B,2,FALSE),VLOOKUP($A150,'NonXtal_SegEnds_Prot#'!A:AL,10,FALSE)+6,1)</f>
        <v>A</v>
      </c>
      <c r="T150" s="102" t="str">
        <f>MID(VLOOKUP($A150,Seqs!$A:$B,2,FALSE),VLOOKUP($A150,'NonXtal_SegEnds_Prot#'!A:AL,10,FALSE)+7,1)</f>
        <v>M</v>
      </c>
      <c r="U150" s="102" t="str">
        <f>MID(VLOOKUP($A150,Seqs!$A:$B,2,FALSE),VLOOKUP($A150,'NonXtal_SegEnds_Prot#'!A:AL,10,FALSE)+8,1)</f>
        <v>P</v>
      </c>
      <c r="V150" s="102" t="str">
        <f>MID(VLOOKUP($A150,Seqs!$A:$B,2,FALSE),VLOOKUP($A150,'NonXtal_SegEnds_Prot#'!A:AL,10,FALSE)+9,1)</f>
        <v>F</v>
      </c>
      <c r="W150" s="71" t="str">
        <f>MID(VLOOKUP($A150,Seqs!$A:$B,2,FALSE),VLOOKUP($A150,'NonXtal_SegEnds_Prot#'!$A:$AL,22,FALSE)+6,1)</f>
        <v>I</v>
      </c>
      <c r="X150" s="102" t="str">
        <f>MID(VLOOKUP($A150,Seqs!$A:$B,2,FALSE),VLOOKUP($A150,'NonXtal_SegEnds_Prot#'!$A:$AL,22,FALSE)+7,1)</f>
        <v>I</v>
      </c>
      <c r="Y150" s="102" t="str">
        <f>MID(VLOOKUP($A150,Seqs!$A:$B,2,FALSE),VLOOKUP($A150,'NonXtal_SegEnds_Prot#'!$A:$AL,22,FALSE)+8,1)</f>
        <v>I</v>
      </c>
      <c r="Z150" s="102" t="str">
        <f>MID(VLOOKUP($A150,Seqs!$A:$B,2,FALSE),VLOOKUP($A150,'NonXtal_SegEnds_Prot#'!$A:$AL,22,FALSE)+9,1)</f>
        <v>P</v>
      </c>
      <c r="AA150" s="102" t="str">
        <f>MID(VLOOKUP($A150,Seqs!$A:$B,2,FALSE),VLOOKUP($A150,'NonXtal_SegEnds_Prot#'!$A:$AL,22,FALSE)+10,1)</f>
        <v>V</v>
      </c>
      <c r="AB150" s="71" t="str">
        <f>MID(VLOOKUP($A150,Seqs!$A:$B,2,FALSE),VLOOKUP($A150,'NonXtal_SegEnds_Prot#'!$A:$AL,28,FALSE)-4,1)</f>
        <v>F</v>
      </c>
      <c r="AC150" s="102" t="str">
        <f>MID(VLOOKUP($A150,Seqs!$A:$B,2,FALSE),VLOOKUP($A150,'NonXtal_SegEnds_Prot#'!$A:$AL,28,FALSE),1)</f>
        <v>S</v>
      </c>
    </row>
    <row r="151" spans="1:29" s="2" customFormat="1" x14ac:dyDescent="0.2">
      <c r="A151" s="2" t="s">
        <v>463</v>
      </c>
      <c r="B151" s="2" t="str">
        <f>LOWER(VLOOKUP(A151,Xtal_Templ!A:B,2,FALSE))</f>
        <v>ox2r_human</v>
      </c>
      <c r="C151" s="2" t="str">
        <f>VLOOKUP(A151,Classification!A:D,2,FALSE)</f>
        <v>A</v>
      </c>
      <c r="E151" s="2" t="s">
        <v>20</v>
      </c>
      <c r="K151" s="2" t="s">
        <v>59</v>
      </c>
      <c r="N151" s="2" t="s">
        <v>43</v>
      </c>
      <c r="P151" s="4" t="s">
        <v>51</v>
      </c>
      <c r="R151" s="71" t="str">
        <f>MID(VLOOKUP($A151,Seqs!$A:$B,2,FALSE),VLOOKUP($A151,'NonXtal_SegEnds_Prot#'!A:AL,10,FALSE),1)</f>
        <v>D</v>
      </c>
      <c r="S151" s="102" t="str">
        <f>MID(VLOOKUP($A151,Seqs!$A:$B,2,FALSE),VLOOKUP($A151,'NonXtal_SegEnds_Prot#'!A:AL,10,FALSE)+6,1)</f>
        <v>L</v>
      </c>
      <c r="T151" s="102" t="str">
        <f>MID(VLOOKUP($A151,Seqs!$A:$B,2,FALSE),VLOOKUP($A151,'NonXtal_SegEnds_Prot#'!A:AL,10,FALSE)+7,1)</f>
        <v>N</v>
      </c>
      <c r="U151" s="102" t="str">
        <f>MID(VLOOKUP($A151,Seqs!$A:$B,2,FALSE),VLOOKUP($A151,'NonXtal_SegEnds_Prot#'!A:AL,10,FALSE)+8,1)</f>
        <v>T</v>
      </c>
      <c r="V151" s="102" t="str">
        <f>MID(VLOOKUP($A151,Seqs!$A:$B,2,FALSE),VLOOKUP($A151,'NonXtal_SegEnds_Prot#'!A:AL,10,FALSE)+9,1)</f>
        <v>P</v>
      </c>
      <c r="W151" s="71" t="str">
        <f>MID(VLOOKUP($A151,Seqs!$A:$B,2,FALSE),VLOOKUP($A151,'NonXtal_SegEnds_Prot#'!$A:$AL,22,FALSE)+6,1)</f>
        <v>F</v>
      </c>
      <c r="X151" s="102" t="str">
        <f>MID(VLOOKUP($A151,Seqs!$A:$B,2,FALSE),VLOOKUP($A151,'NonXtal_SegEnds_Prot#'!$A:$AL,22,FALSE)+7,1)</f>
        <v>S</v>
      </c>
      <c r="Y151" s="102" t="str">
        <f>MID(VLOOKUP($A151,Seqs!$A:$B,2,FALSE),VLOOKUP($A151,'NonXtal_SegEnds_Prot#'!$A:$AL,22,FALSE)+8,1)</f>
        <v>L</v>
      </c>
      <c r="Z151" s="102" t="str">
        <f>MID(VLOOKUP($A151,Seqs!$A:$B,2,FALSE),VLOOKUP($A151,'NonXtal_SegEnds_Prot#'!$A:$AL,22,FALSE)+9,1)</f>
        <v>P</v>
      </c>
      <c r="AA151" s="102" t="str">
        <f>MID(VLOOKUP($A151,Seqs!$A:$B,2,FALSE),VLOOKUP($A151,'NonXtal_SegEnds_Prot#'!$A:$AL,22,FALSE)+10,1)</f>
        <v>H</v>
      </c>
      <c r="AB151" s="71" t="str">
        <f>MID(VLOOKUP($A151,Seqs!$A:$B,2,FALSE),VLOOKUP($A151,'NonXtal_SegEnds_Prot#'!$A:$AL,28,FALSE)-4,1)</f>
        <v>L</v>
      </c>
      <c r="AC151" s="102" t="str">
        <f>MID(VLOOKUP($A151,Seqs!$A:$B,2,FALSE),VLOOKUP($A151,'NonXtal_SegEnds_Prot#'!$A:$AL,28,FALSE),1)</f>
        <v>P</v>
      </c>
    </row>
    <row r="152" spans="1:29" s="2" customFormat="1" x14ac:dyDescent="0.2">
      <c r="A152" s="2" t="s">
        <v>464</v>
      </c>
      <c r="B152" s="2" t="str">
        <f>LOWER(VLOOKUP(A152,Xtal_Templ!A:B,2,FALSE))</f>
        <v>ox1r_human</v>
      </c>
      <c r="C152" s="2" t="str">
        <f>VLOOKUP(A152,Classification!A:D,2,FALSE)</f>
        <v>A</v>
      </c>
      <c r="E152" s="2" t="s">
        <v>20</v>
      </c>
      <c r="K152" s="2" t="s">
        <v>59</v>
      </c>
      <c r="N152" s="2" t="s">
        <v>43</v>
      </c>
      <c r="P152" s="4" t="s">
        <v>51</v>
      </c>
      <c r="R152" s="71" t="str">
        <f>MID(VLOOKUP($A152,Seqs!$A:$B,2,FALSE),VLOOKUP($A152,'NonXtal_SegEnds_Prot#'!A:AL,10,FALSE),1)</f>
        <v>D</v>
      </c>
      <c r="S152" s="102" t="str">
        <f>MID(VLOOKUP($A152,Seqs!$A:$B,2,FALSE),VLOOKUP($A152,'NonXtal_SegEnds_Prot#'!A:AL,10,FALSE)+6,1)</f>
        <v>L</v>
      </c>
      <c r="T152" s="102" t="str">
        <f>MID(VLOOKUP($A152,Seqs!$A:$B,2,FALSE),VLOOKUP($A152,'NonXtal_SegEnds_Prot#'!A:AL,10,FALSE)+7,1)</f>
        <v>L</v>
      </c>
      <c r="U152" s="102" t="str">
        <f>MID(VLOOKUP($A152,Seqs!$A:$B,2,FALSE),VLOOKUP($A152,'NonXtal_SegEnds_Prot#'!A:AL,10,FALSE)+8,1)</f>
        <v>Q</v>
      </c>
      <c r="V152" s="102" t="str">
        <f>MID(VLOOKUP($A152,Seqs!$A:$B,2,FALSE),VLOOKUP($A152,'NonXtal_SegEnds_Prot#'!A:AL,10,FALSE)+9,1)</f>
        <v>P</v>
      </c>
      <c r="W152" s="71" t="str">
        <f>MID(VLOOKUP($A152,Seqs!$A:$B,2,FALSE),VLOOKUP($A152,'NonXtal_SegEnds_Prot#'!$A:$AL,22,FALSE)+6,1)</f>
        <v>S</v>
      </c>
      <c r="X152" s="102" t="str">
        <f>MID(VLOOKUP($A152,Seqs!$A:$B,2,FALSE),VLOOKUP($A152,'NonXtal_SegEnds_Prot#'!$A:$AL,22,FALSE)+7,1)</f>
        <v>F</v>
      </c>
      <c r="Y152" s="102" t="str">
        <f>MID(VLOOKUP($A152,Seqs!$A:$B,2,FALSE),VLOOKUP($A152,'NonXtal_SegEnds_Prot#'!$A:$AL,22,FALSE)+8,1)</f>
        <v>A</v>
      </c>
      <c r="Z152" s="102" t="str">
        <f>MID(VLOOKUP($A152,Seqs!$A:$B,2,FALSE),VLOOKUP($A152,'NonXtal_SegEnds_Prot#'!$A:$AL,22,FALSE)+9,1)</f>
        <v>P</v>
      </c>
      <c r="AA152" s="102" t="str">
        <f>MID(VLOOKUP($A152,Seqs!$A:$B,2,FALSE),VLOOKUP($A152,'NonXtal_SegEnds_Prot#'!$A:$AL,22,FALSE)+10,1)</f>
        <v>L</v>
      </c>
      <c r="AB152" s="71" t="str">
        <f>MID(VLOOKUP($A152,Seqs!$A:$B,2,FALSE),VLOOKUP($A152,'NonXtal_SegEnds_Prot#'!$A:$AL,28,FALSE)-4,1)</f>
        <v>D</v>
      </c>
      <c r="AC152" s="102" t="str">
        <f>MID(VLOOKUP($A152,Seqs!$A:$B,2,FALSE),VLOOKUP($A152,'NonXtal_SegEnds_Prot#'!$A:$AL,28,FALSE),1)</f>
        <v>P</v>
      </c>
    </row>
    <row r="153" spans="1:29" s="2" customFormat="1" x14ac:dyDescent="0.2">
      <c r="A153" s="2" t="s">
        <v>465</v>
      </c>
      <c r="B153" s="2" t="str">
        <f>LOWER(VLOOKUP(A153,Xtal_Templ!A:B,2,FALSE))</f>
        <v>5ht2b_human</v>
      </c>
      <c r="C153" s="2" t="str">
        <f>VLOOKUP(A153,Classification!A:D,2,FALSE)</f>
        <v>A</v>
      </c>
      <c r="E153" s="2" t="s">
        <v>20</v>
      </c>
      <c r="N153" s="2" t="s">
        <v>43</v>
      </c>
      <c r="P153" s="4" t="s">
        <v>51</v>
      </c>
      <c r="R153" s="71" t="str">
        <f>MID(VLOOKUP($A153,Seqs!$A:$B,2,FALSE),VLOOKUP($A153,'NonXtal_SegEnds_Prot#'!A:AL,10,FALSE),1)</f>
        <v>D</v>
      </c>
      <c r="S153" s="102" t="str">
        <f>MID(VLOOKUP($A153,Seqs!$A:$B,2,FALSE),VLOOKUP($A153,'NonXtal_SegEnds_Prot#'!A:AL,10,FALSE)+6,1)</f>
        <v>I</v>
      </c>
      <c r="T153" s="102" t="str">
        <f>MID(VLOOKUP($A153,Seqs!$A:$B,2,FALSE),VLOOKUP($A153,'NonXtal_SegEnds_Prot#'!A:AL,10,FALSE)+7,1)</f>
        <v>C</v>
      </c>
      <c r="U153" s="102" t="str">
        <f>MID(VLOOKUP($A153,Seqs!$A:$B,2,FALSE),VLOOKUP($A153,'NonXtal_SegEnds_Prot#'!A:AL,10,FALSE)+8,1)</f>
        <v>F</v>
      </c>
      <c r="V153" s="102" t="str">
        <f>MID(VLOOKUP($A153,Seqs!$A:$B,2,FALSE),VLOOKUP($A153,'NonXtal_SegEnds_Prot#'!A:AL,10,FALSE)+9,1)</f>
        <v>P</v>
      </c>
      <c r="W153" s="71" t="str">
        <f>MID(VLOOKUP($A153,Seqs!$A:$B,2,FALSE),VLOOKUP($A153,'NonXtal_SegEnds_Prot#'!$A:$AL,22,FALSE)+6,1)</f>
        <v>M</v>
      </c>
      <c r="X153" s="102" t="str">
        <f>MID(VLOOKUP($A153,Seqs!$A:$B,2,FALSE),VLOOKUP($A153,'NonXtal_SegEnds_Prot#'!$A:$AL,22,FALSE)+7,1)</f>
        <v>A</v>
      </c>
      <c r="Y153" s="102" t="str">
        <f>MID(VLOOKUP($A153,Seqs!$A:$B,2,FALSE),VLOOKUP($A153,'NonXtal_SegEnds_Prot#'!$A:$AL,22,FALSE)+8,1)</f>
        <v>F</v>
      </c>
      <c r="Z153" s="102" t="str">
        <f>MID(VLOOKUP($A153,Seqs!$A:$B,2,FALSE),VLOOKUP($A153,'NonXtal_SegEnds_Prot#'!$A:$AL,22,FALSE)+9,1)</f>
        <v>P</v>
      </c>
      <c r="AA153" s="102" t="str">
        <f>MID(VLOOKUP($A153,Seqs!$A:$B,2,FALSE),VLOOKUP($A153,'NonXtal_SegEnds_Prot#'!$A:$AL,22,FALSE)+10,1)</f>
        <v>P</v>
      </c>
      <c r="AB153" s="71" t="str">
        <f>MID(VLOOKUP($A153,Seqs!$A:$B,2,FALSE),VLOOKUP($A153,'NonXtal_SegEnds_Prot#'!$A:$AL,28,FALSE)-4,1)</f>
        <v>T</v>
      </c>
      <c r="AC153" s="102" t="str">
        <f>MID(VLOOKUP($A153,Seqs!$A:$B,2,FALSE),VLOOKUP($A153,'NonXtal_SegEnds_Prot#'!$A:$AL,28,FALSE),1)</f>
        <v>P</v>
      </c>
    </row>
    <row r="154" spans="1:29" s="2" customFormat="1" x14ac:dyDescent="0.2">
      <c r="A154" s="2" t="s">
        <v>466</v>
      </c>
      <c r="B154" s="2" t="str">
        <f>LOWER(VLOOKUP(A154,Xtal_Templ!A:B,2,FALSE))</f>
        <v>p2y12_human</v>
      </c>
      <c r="C154" s="2" t="str">
        <f>VLOOKUP(A154,Classification!A:D,2,FALSE)</f>
        <v>A</v>
      </c>
      <c r="K154" s="2" t="s">
        <v>59</v>
      </c>
      <c r="P154" s="4" t="s">
        <v>51</v>
      </c>
      <c r="R154" s="71" t="str">
        <f>MID(VLOOKUP($A154,Seqs!$A:$B,2,FALSE),VLOOKUP($A154,'NonXtal_SegEnds_Prot#'!A:AL,10,FALSE),1)</f>
        <v>D</v>
      </c>
      <c r="S154" s="102" t="str">
        <f>MID(VLOOKUP($A154,Seqs!$A:$B,2,FALSE),VLOOKUP($A154,'NonXtal_SegEnds_Prot#'!A:AL,10,FALSE)+6,1)</f>
        <v>T</v>
      </c>
      <c r="T154" s="102" t="str">
        <f>MID(VLOOKUP($A154,Seqs!$A:$B,2,FALSE),VLOOKUP($A154,'NonXtal_SegEnds_Prot#'!A:AL,10,FALSE)+7,1)</f>
        <v>F</v>
      </c>
      <c r="U154" s="102" t="str">
        <f>MID(VLOOKUP($A154,Seqs!$A:$B,2,FALSE),VLOOKUP($A154,'NonXtal_SegEnds_Prot#'!A:AL,10,FALSE)+8,1)</f>
        <v>P</v>
      </c>
      <c r="V154" s="102" t="str">
        <f>MID(VLOOKUP($A154,Seqs!$A:$B,2,FALSE),VLOOKUP($A154,'NonXtal_SegEnds_Prot#'!A:AL,10,FALSE)+9,1)</f>
        <v>F</v>
      </c>
      <c r="W154" s="71" t="str">
        <f>MID(VLOOKUP($A154,Seqs!$A:$B,2,FALSE),VLOOKUP($A154,'NonXtal_SegEnds_Prot#'!$A:$AL,22,FALSE)+6,1)</f>
        <v>L</v>
      </c>
      <c r="X154" s="102" t="str">
        <f>MID(VLOOKUP($A154,Seqs!$A:$B,2,FALSE),VLOOKUP($A154,'NonXtal_SegEnds_Prot#'!$A:$AL,22,FALSE)+7,1)</f>
        <v>S</v>
      </c>
      <c r="Y154" s="102" t="str">
        <f>MID(VLOOKUP($A154,Seqs!$A:$B,2,FALSE),VLOOKUP($A154,'NonXtal_SegEnds_Prot#'!$A:$AL,22,FALSE)+8,1)</f>
        <v>L</v>
      </c>
      <c r="Z154" s="102" t="str">
        <f>MID(VLOOKUP($A154,Seqs!$A:$B,2,FALSE),VLOOKUP($A154,'NonXtal_SegEnds_Prot#'!$A:$AL,22,FALSE)+9,1)</f>
        <v>P</v>
      </c>
      <c r="AA154" s="102" t="str">
        <f>MID(VLOOKUP($A154,Seqs!$A:$B,2,FALSE),VLOOKUP($A154,'NonXtal_SegEnds_Prot#'!$A:$AL,22,FALSE)+10,1)</f>
        <v>N</v>
      </c>
      <c r="AB154" s="71" t="str">
        <f>MID(VLOOKUP($A154,Seqs!$A:$B,2,FALSE),VLOOKUP($A154,'NonXtal_SegEnds_Prot#'!$A:$AL,28,FALSE)-4,1)</f>
        <v>L</v>
      </c>
      <c r="AC154" s="102" t="str">
        <f>MID(VLOOKUP($A154,Seqs!$A:$B,2,FALSE),VLOOKUP($A154,'NonXtal_SegEnds_Prot#'!$A:$AL,28,FALSE),1)</f>
        <v>V</v>
      </c>
    </row>
    <row r="155" spans="1:29" s="2" customFormat="1" x14ac:dyDescent="0.2">
      <c r="A155" s="2" t="s">
        <v>467</v>
      </c>
      <c r="B155" s="2" t="str">
        <f>LOWER(VLOOKUP(A155,Xtal_Templ!A:B,2,FALSE))</f>
        <v>drd3_human</v>
      </c>
      <c r="C155" s="2" t="str">
        <f>VLOOKUP(A155,Classification!A:D,2,FALSE)</f>
        <v>A</v>
      </c>
      <c r="E155" s="2" t="s">
        <v>20</v>
      </c>
      <c r="N155" s="2" t="s">
        <v>43</v>
      </c>
      <c r="P155" s="4" t="s">
        <v>51</v>
      </c>
      <c r="R155" s="71" t="str">
        <f>MID(VLOOKUP($A155,Seqs!$A:$B,2,FALSE),VLOOKUP($A155,'NonXtal_SegEnds_Prot#'!A:AL,10,FALSE),1)</f>
        <v>D</v>
      </c>
      <c r="S155" s="102" t="str">
        <f>MID(VLOOKUP($A155,Seqs!$A:$B,2,FALSE),VLOOKUP($A155,'NonXtal_SegEnds_Prot#'!A:AL,10,FALSE)+6,1)</f>
        <v>L</v>
      </c>
      <c r="T155" s="102" t="str">
        <f>MID(VLOOKUP($A155,Seqs!$A:$B,2,FALSE),VLOOKUP($A155,'NonXtal_SegEnds_Prot#'!A:AL,10,FALSE)+7,1)</f>
        <v>W</v>
      </c>
      <c r="U155" s="102" t="str">
        <f>MID(VLOOKUP($A155,Seqs!$A:$B,2,FALSE),VLOOKUP($A155,'NonXtal_SegEnds_Prot#'!A:AL,10,FALSE)+8,1)</f>
        <v>M</v>
      </c>
      <c r="V155" s="102" t="str">
        <f>MID(VLOOKUP($A155,Seqs!$A:$B,2,FALSE),VLOOKUP($A155,'NonXtal_SegEnds_Prot#'!A:AL,10,FALSE)+9,1)</f>
        <v>P</v>
      </c>
      <c r="W155" s="71" t="str">
        <f>MID(VLOOKUP($A155,Seqs!$A:$B,2,FALSE),VLOOKUP($A155,'NonXtal_SegEnds_Prot#'!$A:$AL,22,FALSE)+6,1)</f>
        <v>L</v>
      </c>
      <c r="X155" s="102" t="str">
        <f>MID(VLOOKUP($A155,Seqs!$A:$B,2,FALSE),VLOOKUP($A155,'NonXtal_SegEnds_Prot#'!$A:$AL,22,FALSE)+7,1)</f>
        <v>V</v>
      </c>
      <c r="Y155" s="102" t="str">
        <f>MID(VLOOKUP($A155,Seqs!$A:$B,2,FALSE),VLOOKUP($A155,'NonXtal_SegEnds_Prot#'!$A:$AL,22,FALSE)+8,1)</f>
        <v>L</v>
      </c>
      <c r="Z155" s="102" t="str">
        <f>MID(VLOOKUP($A155,Seqs!$A:$B,2,FALSE),VLOOKUP($A155,'NonXtal_SegEnds_Prot#'!$A:$AL,22,FALSE)+9,1)</f>
        <v>L</v>
      </c>
      <c r="AA155" s="102" t="str">
        <f>MID(VLOOKUP($A155,Seqs!$A:$B,2,FALSE),VLOOKUP($A155,'NonXtal_SegEnds_Prot#'!$A:$AL,22,FALSE)+10,1)</f>
        <v>L</v>
      </c>
      <c r="AB155" s="71" t="str">
        <f>MID(VLOOKUP($A155,Seqs!$A:$B,2,FALSE),VLOOKUP($A155,'NonXtal_SegEnds_Prot#'!$A:$AL,28,FALSE)-4,1)</f>
        <v>L</v>
      </c>
      <c r="AC155" s="102" t="str">
        <f>MID(VLOOKUP($A155,Seqs!$A:$B,2,FALSE),VLOOKUP($A155,'NonXtal_SegEnds_Prot#'!$A:$AL,28,FALSE),1)</f>
        <v>P</v>
      </c>
    </row>
    <row r="156" spans="1:29" s="2" customFormat="1" x14ac:dyDescent="0.2">
      <c r="A156" s="2" t="s">
        <v>468</v>
      </c>
      <c r="B156" s="2" t="str">
        <f>LOWER(VLOOKUP(A156,Xtal_Templ!A:B,2,FALSE))</f>
        <v>ednrb_human</v>
      </c>
      <c r="C156" s="2" t="str">
        <f>VLOOKUP(A156,Classification!A:D,2,FALSE)</f>
        <v>A</v>
      </c>
      <c r="E156" s="2" t="s">
        <v>20</v>
      </c>
      <c r="K156" s="2" t="s">
        <v>59</v>
      </c>
      <c r="P156" s="4" t="s">
        <v>51</v>
      </c>
      <c r="R156" s="71" t="str">
        <f>MID(VLOOKUP($A156,Seqs!$A:$B,2,FALSE),VLOOKUP($A156,'NonXtal_SegEnds_Prot#'!A:AL,10,FALSE),1)</f>
        <v>D</v>
      </c>
      <c r="S156" s="102" t="str">
        <f>MID(VLOOKUP($A156,Seqs!$A:$B,2,FALSE),VLOOKUP($A156,'NonXtal_SegEnds_Prot#'!A:AL,10,FALSE)+6,1)</f>
        <v>T</v>
      </c>
      <c r="T156" s="102" t="str">
        <f>MID(VLOOKUP($A156,Seqs!$A:$B,2,FALSE),VLOOKUP($A156,'NonXtal_SegEnds_Prot#'!A:AL,10,FALSE)+7,1)</f>
        <v>C</v>
      </c>
      <c r="U156" s="102" t="str">
        <f>MID(VLOOKUP($A156,Seqs!$A:$B,2,FALSE),VLOOKUP($A156,'NonXtal_SegEnds_Prot#'!A:AL,10,FALSE)+8,1)</f>
        <v>A</v>
      </c>
      <c r="V156" s="102" t="str">
        <f>MID(VLOOKUP($A156,Seqs!$A:$B,2,FALSE),VLOOKUP($A156,'NonXtal_SegEnds_Prot#'!A:AL,10,FALSE)+9,1)</f>
        <v>P</v>
      </c>
      <c r="W156" s="71" t="str">
        <f>MID(VLOOKUP($A156,Seqs!$A:$B,2,FALSE),VLOOKUP($A156,'NonXtal_SegEnds_Prot#'!$A:$AL,22,FALSE)+6,1)</f>
        <v>L</v>
      </c>
      <c r="X156" s="102" t="str">
        <f>MID(VLOOKUP($A156,Seqs!$A:$B,2,FALSE),VLOOKUP($A156,'NonXtal_SegEnds_Prot#'!$A:$AL,22,FALSE)+7,1)</f>
        <v>A</v>
      </c>
      <c r="Y156" s="102" t="str">
        <f>MID(VLOOKUP($A156,Seqs!$A:$B,2,FALSE),VLOOKUP($A156,'NonXtal_SegEnds_Prot#'!$A:$AL,22,FALSE)+8,1)</f>
        <v>I</v>
      </c>
      <c r="Z156" s="102" t="str">
        <f>MID(VLOOKUP($A156,Seqs!$A:$B,2,FALSE),VLOOKUP($A156,'NonXtal_SegEnds_Prot#'!$A:$AL,22,FALSE)+9,1)</f>
        <v>P</v>
      </c>
      <c r="AA156" s="102" t="str">
        <f>MID(VLOOKUP($A156,Seqs!$A:$B,2,FALSE),VLOOKUP($A156,'NonXtal_SegEnds_Prot#'!$A:$AL,22,FALSE)+10,1)</f>
        <v>E</v>
      </c>
      <c r="AB156" s="71" t="str">
        <f>MID(VLOOKUP($A156,Seqs!$A:$B,2,FALSE),VLOOKUP($A156,'NonXtal_SegEnds_Prot#'!$A:$AL,28,FALSE)-4,1)</f>
        <v>F</v>
      </c>
      <c r="AC156" s="102" t="str">
        <f>MID(VLOOKUP($A156,Seqs!$A:$B,2,FALSE),VLOOKUP($A156,'NonXtal_SegEnds_Prot#'!$A:$AL,28,FALSE),1)</f>
        <v>P</v>
      </c>
    </row>
    <row r="157" spans="1:29" s="2" customFormat="1" x14ac:dyDescent="0.2">
      <c r="A157" s="2" t="s">
        <v>469</v>
      </c>
      <c r="B157" s="2" t="str">
        <f>LOWER(VLOOKUP(A157,Xtal_Templ!A:B,2,FALSE))</f>
        <v>p2ry1_human</v>
      </c>
      <c r="C157" s="2" t="str">
        <f>VLOOKUP(A157,Classification!A:D,2,FALSE)</f>
        <v>A</v>
      </c>
      <c r="N157" s="2" t="s">
        <v>43</v>
      </c>
      <c r="P157" s="4" t="s">
        <v>51</v>
      </c>
      <c r="R157" s="71" t="str">
        <f>MID(VLOOKUP($A157,Seqs!$A:$B,2,FALSE),VLOOKUP($A157,'NonXtal_SegEnds_Prot#'!A:AL,10,FALSE),1)</f>
        <v>D</v>
      </c>
      <c r="S157" s="102" t="str">
        <f>MID(VLOOKUP($A157,Seqs!$A:$B,2,FALSE),VLOOKUP($A157,'NonXtal_SegEnds_Prot#'!A:AL,10,FALSE)+6,1)</f>
        <v>C</v>
      </c>
      <c r="T157" s="102" t="str">
        <f>MID(VLOOKUP($A157,Seqs!$A:$B,2,FALSE),VLOOKUP($A157,'NonXtal_SegEnds_Prot#'!A:AL,10,FALSE)+7,1)</f>
        <v>L</v>
      </c>
      <c r="U157" s="102" t="str">
        <f>MID(VLOOKUP($A157,Seqs!$A:$B,2,FALSE),VLOOKUP($A157,'NonXtal_SegEnds_Prot#'!A:AL,10,FALSE)+8,1)</f>
        <v>P</v>
      </c>
      <c r="V157" s="102" t="str">
        <f>MID(VLOOKUP($A157,Seqs!$A:$B,2,FALSE),VLOOKUP($A157,'NonXtal_SegEnds_Prot#'!A:AL,10,FALSE)+9,1)</f>
        <v>F</v>
      </c>
      <c r="W157" s="71" t="str">
        <f>MID(VLOOKUP($A157,Seqs!$A:$B,2,FALSE),VLOOKUP($A157,'NonXtal_SegEnds_Prot#'!$A:$AL,22,FALSE)+6,1)</f>
        <v>G</v>
      </c>
      <c r="X157" s="102" t="str">
        <f>MID(VLOOKUP($A157,Seqs!$A:$B,2,FALSE),VLOOKUP($A157,'NonXtal_SegEnds_Prot#'!$A:$AL,22,FALSE)+7,1)</f>
        <v>T</v>
      </c>
      <c r="Y157" s="102" t="str">
        <f>MID(VLOOKUP($A157,Seqs!$A:$B,2,FALSE),VLOOKUP($A157,'NonXtal_SegEnds_Prot#'!$A:$AL,22,FALSE)+8,1)</f>
        <v>V</v>
      </c>
      <c r="Z157" s="102" t="str">
        <f>MID(VLOOKUP($A157,Seqs!$A:$B,2,FALSE),VLOOKUP($A157,'NonXtal_SegEnds_Prot#'!$A:$AL,22,FALSE)+9,1)</f>
        <v>Y</v>
      </c>
      <c r="AA157" s="102" t="str">
        <f>MID(VLOOKUP($A157,Seqs!$A:$B,2,FALSE),VLOOKUP($A157,'NonXtal_SegEnds_Prot#'!$A:$AL,22,FALSE)+10,1)</f>
        <v>L</v>
      </c>
      <c r="AB157" s="71" t="str">
        <f>MID(VLOOKUP($A157,Seqs!$A:$B,2,FALSE),VLOOKUP($A157,'NonXtal_SegEnds_Prot#'!$A:$AL,28,FALSE)-4,1)</f>
        <v>E</v>
      </c>
      <c r="AC157" s="102" t="str">
        <f>MID(VLOOKUP($A157,Seqs!$A:$B,2,FALSE),VLOOKUP($A157,'NonXtal_SegEnds_Prot#'!$A:$AL,28,FALSE),1)</f>
        <v>P</v>
      </c>
    </row>
    <row r="158" spans="1:29" s="2" customFormat="1" x14ac:dyDescent="0.2">
      <c r="A158" s="2" t="s">
        <v>470</v>
      </c>
      <c r="B158" s="2" t="str">
        <f>LOWER(VLOOKUP(A158,Xtal_Templ!A:B,2,FALSE))</f>
        <v>p2ry1_human</v>
      </c>
      <c r="C158" s="2" t="str">
        <f>VLOOKUP(A158,Classification!A:D,2,FALSE)</f>
        <v>A</v>
      </c>
      <c r="N158" s="2" t="s">
        <v>43</v>
      </c>
      <c r="P158" s="4" t="s">
        <v>51</v>
      </c>
      <c r="R158" s="71" t="str">
        <f>MID(VLOOKUP($A158,Seqs!$A:$B,2,FALSE),VLOOKUP($A158,'NonXtal_SegEnds_Prot#'!A:AL,10,FALSE),1)</f>
        <v>D</v>
      </c>
      <c r="S158" s="102" t="str">
        <f>MID(VLOOKUP($A158,Seqs!$A:$B,2,FALSE),VLOOKUP($A158,'NonXtal_SegEnds_Prot#'!A:AL,10,FALSE)+6,1)</f>
        <v>C</v>
      </c>
      <c r="T158" s="102" t="str">
        <f>MID(VLOOKUP($A158,Seqs!$A:$B,2,FALSE),VLOOKUP($A158,'NonXtal_SegEnds_Prot#'!A:AL,10,FALSE)+7,1)</f>
        <v>L</v>
      </c>
      <c r="U158" s="102" t="str">
        <f>MID(VLOOKUP($A158,Seqs!$A:$B,2,FALSE),VLOOKUP($A158,'NonXtal_SegEnds_Prot#'!A:AL,10,FALSE)+8,1)</f>
        <v>P</v>
      </c>
      <c r="V158" s="102" t="str">
        <f>MID(VLOOKUP($A158,Seqs!$A:$B,2,FALSE),VLOOKUP($A158,'NonXtal_SegEnds_Prot#'!A:AL,10,FALSE)+9,1)</f>
        <v>F</v>
      </c>
      <c r="W158" s="71" t="str">
        <f>MID(VLOOKUP($A158,Seqs!$A:$B,2,FALSE),VLOOKUP($A158,'NonXtal_SegEnds_Prot#'!$A:$AL,22,FALSE)+6,1)</f>
        <v>L</v>
      </c>
      <c r="X158" s="102" t="str">
        <f>MID(VLOOKUP($A158,Seqs!$A:$B,2,FALSE),VLOOKUP($A158,'NonXtal_SegEnds_Prot#'!$A:$AL,22,FALSE)+7,1)</f>
        <v>T</v>
      </c>
      <c r="Y158" s="102" t="str">
        <f>MID(VLOOKUP($A158,Seqs!$A:$B,2,FALSE),VLOOKUP($A158,'NonXtal_SegEnds_Prot#'!$A:$AL,22,FALSE)+8,1)</f>
        <v>V</v>
      </c>
      <c r="Z158" s="102" t="str">
        <f>MID(VLOOKUP($A158,Seqs!$A:$B,2,FALSE),VLOOKUP($A158,'NonXtal_SegEnds_Prot#'!$A:$AL,22,FALSE)+9,1)</f>
        <v>H</v>
      </c>
      <c r="AA158" s="102" t="str">
        <f>MID(VLOOKUP($A158,Seqs!$A:$B,2,FALSE),VLOOKUP($A158,'NonXtal_SegEnds_Prot#'!$A:$AL,22,FALSE)+10,1)</f>
        <v>L</v>
      </c>
      <c r="AB158" s="71" t="str">
        <f>MID(VLOOKUP($A158,Seqs!$A:$B,2,FALSE),VLOOKUP($A158,'NonXtal_SegEnds_Prot#'!$A:$AL,28,FALSE)-4,1)</f>
        <v>E</v>
      </c>
      <c r="AC158" s="102" t="str">
        <f>MID(VLOOKUP($A158,Seqs!$A:$B,2,FALSE),VLOOKUP($A158,'NonXtal_SegEnds_Prot#'!$A:$AL,28,FALSE),1)</f>
        <v>P</v>
      </c>
    </row>
    <row r="159" spans="1:29" s="2" customFormat="1" x14ac:dyDescent="0.2">
      <c r="A159" s="2" t="s">
        <v>471</v>
      </c>
      <c r="B159" s="2" t="str">
        <f>LOWER(VLOOKUP(A159,Xtal_Templ!A:B,2,FALSE))</f>
        <v>p2ry1_human</v>
      </c>
      <c r="C159" s="2" t="str">
        <f>VLOOKUP(A159,Classification!A:D,2,FALSE)</f>
        <v>A</v>
      </c>
      <c r="N159" s="2" t="s">
        <v>43</v>
      </c>
      <c r="P159" s="4" t="s">
        <v>51</v>
      </c>
      <c r="R159" s="71" t="str">
        <f>MID(VLOOKUP($A159,Seqs!$A:$B,2,FALSE),VLOOKUP($A159,'NonXtal_SegEnds_Prot#'!A:AL,10,FALSE),1)</f>
        <v>D</v>
      </c>
      <c r="S159" s="102" t="str">
        <f>MID(VLOOKUP($A159,Seqs!$A:$B,2,FALSE),VLOOKUP($A159,'NonXtal_SegEnds_Prot#'!A:AL,10,FALSE)+6,1)</f>
        <v>C</v>
      </c>
      <c r="T159" s="102" t="str">
        <f>MID(VLOOKUP($A159,Seqs!$A:$B,2,FALSE),VLOOKUP($A159,'NonXtal_SegEnds_Prot#'!A:AL,10,FALSE)+7,1)</f>
        <v>L</v>
      </c>
      <c r="U159" s="102" t="str">
        <f>MID(VLOOKUP($A159,Seqs!$A:$B,2,FALSE),VLOOKUP($A159,'NonXtal_SegEnds_Prot#'!A:AL,10,FALSE)+8,1)</f>
        <v>P</v>
      </c>
      <c r="V159" s="102" t="str">
        <f>MID(VLOOKUP($A159,Seqs!$A:$B,2,FALSE),VLOOKUP($A159,'NonXtal_SegEnds_Prot#'!A:AL,10,FALSE)+9,1)</f>
        <v>F</v>
      </c>
      <c r="W159" s="71" t="str">
        <f>MID(VLOOKUP($A159,Seqs!$A:$B,2,FALSE),VLOOKUP($A159,'NonXtal_SegEnds_Prot#'!$A:$AL,22,FALSE)+6,1)</f>
        <v>L</v>
      </c>
      <c r="X159" s="102" t="str">
        <f>MID(VLOOKUP($A159,Seqs!$A:$B,2,FALSE),VLOOKUP($A159,'NonXtal_SegEnds_Prot#'!$A:$AL,22,FALSE)+7,1)</f>
        <v>T</v>
      </c>
      <c r="Y159" s="102" t="str">
        <f>MID(VLOOKUP($A159,Seqs!$A:$B,2,FALSE),VLOOKUP($A159,'NonXtal_SegEnds_Prot#'!$A:$AL,22,FALSE)+8,1)</f>
        <v>V</v>
      </c>
      <c r="Z159" s="102" t="str">
        <f>MID(VLOOKUP($A159,Seqs!$A:$B,2,FALSE),VLOOKUP($A159,'NonXtal_SegEnds_Prot#'!$A:$AL,22,FALSE)+9,1)</f>
        <v>H</v>
      </c>
      <c r="AA159" s="102" t="str">
        <f>MID(VLOOKUP($A159,Seqs!$A:$B,2,FALSE),VLOOKUP($A159,'NonXtal_SegEnds_Prot#'!$A:$AL,22,FALSE)+10,1)</f>
        <v>L</v>
      </c>
      <c r="AB159" s="71" t="str">
        <f>MID(VLOOKUP($A159,Seqs!$A:$B,2,FALSE),VLOOKUP($A159,'NonXtal_SegEnds_Prot#'!$A:$AL,28,FALSE)-4,1)</f>
        <v>E</v>
      </c>
      <c r="AC159" s="102" t="str">
        <f>MID(VLOOKUP($A159,Seqs!$A:$B,2,FALSE),VLOOKUP($A159,'NonXtal_SegEnds_Prot#'!$A:$AL,28,FALSE),1)</f>
        <v>P</v>
      </c>
    </row>
    <row r="160" spans="1:29" s="2" customFormat="1" x14ac:dyDescent="0.2">
      <c r="A160" s="2" t="s">
        <v>472</v>
      </c>
      <c r="B160" s="2" t="str">
        <f>LOWER(VLOOKUP(A160,Xtal_Templ!A:B,2,FALSE))</f>
        <v>hrh1_human</v>
      </c>
      <c r="C160" s="2" t="str">
        <f>VLOOKUP(A160,Classification!A:D,2,FALSE)</f>
        <v>A</v>
      </c>
      <c r="E160" s="2" t="s">
        <v>20</v>
      </c>
      <c r="I160" s="2" t="s">
        <v>122</v>
      </c>
      <c r="N160" s="2" t="s">
        <v>43</v>
      </c>
      <c r="P160" s="4" t="s">
        <v>51</v>
      </c>
      <c r="R160" s="71" t="str">
        <f>MID(VLOOKUP($A160,Seqs!$A:$B,2,FALSE),VLOOKUP($A160,'NonXtal_SegEnds_Prot#'!A:AL,10,FALSE),1)</f>
        <v>D</v>
      </c>
      <c r="S160" s="102" t="str">
        <f>MID(VLOOKUP($A160,Seqs!$A:$B,2,FALSE),VLOOKUP($A160,'NonXtal_SegEnds_Prot#'!A:AL,10,FALSE)+6,1)</f>
        <v>V</v>
      </c>
      <c r="T160" s="102" t="str">
        <f>MID(VLOOKUP($A160,Seqs!$A:$B,2,FALSE),VLOOKUP($A160,'NonXtal_SegEnds_Prot#'!A:AL,10,FALSE)+7,1)</f>
        <v>V</v>
      </c>
      <c r="U160" s="102" t="str">
        <f>MID(VLOOKUP($A160,Seqs!$A:$B,2,FALSE),VLOOKUP($A160,'NonXtal_SegEnds_Prot#'!A:AL,10,FALSE)+8,1)</f>
        <v>M</v>
      </c>
      <c r="V160" s="102" t="str">
        <f>MID(VLOOKUP($A160,Seqs!$A:$B,2,FALSE),VLOOKUP($A160,'NonXtal_SegEnds_Prot#'!A:AL,10,FALSE)+9,1)</f>
        <v>P</v>
      </c>
      <c r="W160" s="71" t="str">
        <f>MID(VLOOKUP($A160,Seqs!$A:$B,2,FALSE),VLOOKUP($A160,'NonXtal_SegEnds_Prot#'!$A:$AL,22,FALSE)+6,1)</f>
        <v>W</v>
      </c>
      <c r="X160" s="102" t="str">
        <f>MID(VLOOKUP($A160,Seqs!$A:$B,2,FALSE),VLOOKUP($A160,'NonXtal_SegEnds_Prot#'!$A:$AL,22,FALSE)+7,1)</f>
        <v>V</v>
      </c>
      <c r="Y160" s="102" t="str">
        <f>MID(VLOOKUP($A160,Seqs!$A:$B,2,FALSE),VLOOKUP($A160,'NonXtal_SegEnds_Prot#'!$A:$AL,22,FALSE)+8,1)</f>
        <v>I</v>
      </c>
      <c r="Z160" s="102" t="str">
        <f>MID(VLOOKUP($A160,Seqs!$A:$B,2,FALSE),VLOOKUP($A160,'NonXtal_SegEnds_Prot#'!$A:$AL,22,FALSE)+9,1)</f>
        <v>P</v>
      </c>
      <c r="AA160" s="102" t="str">
        <f>MID(VLOOKUP($A160,Seqs!$A:$B,2,FALSE),VLOOKUP($A160,'NonXtal_SegEnds_Prot#'!$A:$AL,22,FALSE)+10,1)</f>
        <v>I</v>
      </c>
      <c r="AB160" s="71" t="str">
        <f>MID(VLOOKUP($A160,Seqs!$A:$B,2,FALSE),VLOOKUP($A160,'NonXtal_SegEnds_Prot#'!$A:$AL,28,FALSE)-4,1)</f>
        <v>N</v>
      </c>
      <c r="AC160" s="102" t="str">
        <f>MID(VLOOKUP($A160,Seqs!$A:$B,2,FALSE),VLOOKUP($A160,'NonXtal_SegEnds_Prot#'!$A:$AL,28,FALSE),1)</f>
        <v>P</v>
      </c>
    </row>
    <row r="161" spans="1:29" s="2" customFormat="1" x14ac:dyDescent="0.2">
      <c r="A161" s="2" t="s">
        <v>473</v>
      </c>
      <c r="B161" s="2" t="str">
        <f>LOWER(VLOOKUP(A161,Xtal_Templ!A:B,2,FALSE))</f>
        <v>adrb1_melga</v>
      </c>
      <c r="C161" s="2" t="str">
        <f>VLOOKUP(A161,Classification!A:D,2,FALSE)</f>
        <v>A</v>
      </c>
      <c r="E161" s="2" t="s">
        <v>20</v>
      </c>
      <c r="N161" s="2" t="s">
        <v>43</v>
      </c>
      <c r="P161" s="4" t="s">
        <v>51</v>
      </c>
      <c r="R161" s="71" t="str">
        <f>MID(VLOOKUP($A161,Seqs!$A:$B,2,FALSE),VLOOKUP($A161,'NonXtal_SegEnds_Prot#'!A:AL,10,FALSE),1)</f>
        <v>D</v>
      </c>
      <c r="S161" s="102" t="str">
        <f>MID(VLOOKUP($A161,Seqs!$A:$B,2,FALSE),VLOOKUP($A161,'NonXtal_SegEnds_Prot#'!A:AL,10,FALSE)+6,1)</f>
        <v>L</v>
      </c>
      <c r="T161" s="102" t="str">
        <f>MID(VLOOKUP($A161,Seqs!$A:$B,2,FALSE),VLOOKUP($A161,'NonXtal_SegEnds_Prot#'!A:AL,10,FALSE)+7,1)</f>
        <v>V</v>
      </c>
      <c r="U161" s="102" t="str">
        <f>MID(VLOOKUP($A161,Seqs!$A:$B,2,FALSE),VLOOKUP($A161,'NonXtal_SegEnds_Prot#'!A:AL,10,FALSE)+8,1)</f>
        <v>L</v>
      </c>
      <c r="V161" s="102" t="str">
        <f>MID(VLOOKUP($A161,Seqs!$A:$B,2,FALSE),VLOOKUP($A161,'NonXtal_SegEnds_Prot#'!A:AL,10,FALSE)+9,1)</f>
        <v>P</v>
      </c>
      <c r="W161" s="71" t="str">
        <f>MID(VLOOKUP($A161,Seqs!$A:$B,2,FALSE),VLOOKUP($A161,'NonXtal_SegEnds_Prot#'!$A:$AL,22,FALSE)+6,1)</f>
        <v>L</v>
      </c>
      <c r="X161" s="102" t="str">
        <f>MID(VLOOKUP($A161,Seqs!$A:$B,2,FALSE),VLOOKUP($A161,'NonXtal_SegEnds_Prot#'!$A:$AL,22,FALSE)+7,1)</f>
        <v>S</v>
      </c>
      <c r="Y161" s="102" t="str">
        <f>MID(VLOOKUP($A161,Seqs!$A:$B,2,FALSE),VLOOKUP($A161,'NonXtal_SegEnds_Prot#'!$A:$AL,22,FALSE)+8,1)</f>
        <v>F</v>
      </c>
      <c r="Z161" s="102" t="str">
        <f>MID(VLOOKUP($A161,Seqs!$A:$B,2,FALSE),VLOOKUP($A161,'NonXtal_SegEnds_Prot#'!$A:$AL,22,FALSE)+9,1)</f>
        <v>L</v>
      </c>
      <c r="AA161" s="102" t="str">
        <f>MID(VLOOKUP($A161,Seqs!$A:$B,2,FALSE),VLOOKUP($A161,'NonXtal_SegEnds_Prot#'!$A:$AL,22,FALSE)+10,1)</f>
        <v>S</v>
      </c>
      <c r="AB161" s="71" t="str">
        <f>MID(VLOOKUP($A161,Seqs!$A:$B,2,FALSE),VLOOKUP($A161,'NonXtal_SegEnds_Prot#'!$A:$AL,28,FALSE)-4,1)</f>
        <v>T</v>
      </c>
      <c r="AC161" s="102" t="str">
        <f>MID(VLOOKUP($A161,Seqs!$A:$B,2,FALSE),VLOOKUP($A161,'NonXtal_SegEnds_Prot#'!$A:$AL,28,FALSE),1)</f>
        <v>P</v>
      </c>
    </row>
    <row r="162" spans="1:29" s="2" customFormat="1" x14ac:dyDescent="0.2">
      <c r="A162" s="2" t="s">
        <v>474</v>
      </c>
      <c r="B162" s="2" t="str">
        <f>LOWER(VLOOKUP(A162,Xtal_Templ!A:B,2,FALSE))</f>
        <v>acm1_human</v>
      </c>
      <c r="C162" s="2" t="str">
        <f>VLOOKUP(A162,Classification!A:D,2,FALSE)</f>
        <v>A</v>
      </c>
      <c r="E162" s="2" t="s">
        <v>20</v>
      </c>
      <c r="K162" s="2" t="s">
        <v>59</v>
      </c>
      <c r="N162" s="2" t="s">
        <v>43</v>
      </c>
      <c r="P162" s="4" t="s">
        <v>51</v>
      </c>
      <c r="R162" s="71" t="str">
        <f>MID(VLOOKUP($A162,Seqs!$A:$B,2,FALSE),VLOOKUP($A162,'NonXtal_SegEnds_Prot#'!A:AL,10,FALSE),1)</f>
        <v>D</v>
      </c>
      <c r="S162" s="102" t="str">
        <f>MID(VLOOKUP($A162,Seqs!$A:$B,2,FALSE),VLOOKUP($A162,'NonXtal_SegEnds_Prot#'!A:AL,10,FALSE)+6,1)</f>
        <v>F</v>
      </c>
      <c r="T162" s="102" t="str">
        <f>MID(VLOOKUP($A162,Seqs!$A:$B,2,FALSE),VLOOKUP($A162,'NonXtal_SegEnds_Prot#'!A:AL,10,FALSE)+7,1)</f>
        <v>C</v>
      </c>
      <c r="U162" s="102" t="str">
        <f>MID(VLOOKUP($A162,Seqs!$A:$B,2,FALSE),VLOOKUP($A162,'NonXtal_SegEnds_Prot#'!A:AL,10,FALSE)+8,1)</f>
        <v>I</v>
      </c>
      <c r="V162" s="102" t="str">
        <f>MID(VLOOKUP($A162,Seqs!$A:$B,2,FALSE),VLOOKUP($A162,'NonXtal_SegEnds_Prot#'!A:AL,10,FALSE)+9,1)</f>
        <v>P</v>
      </c>
      <c r="W162" s="71" t="str">
        <f>MID(VLOOKUP($A162,Seqs!$A:$B,2,FALSE),VLOOKUP($A162,'NonXtal_SegEnds_Prot#'!$A:$AL,22,FALSE)+6,1)</f>
        <v>L</v>
      </c>
      <c r="X162" s="102" t="str">
        <f>MID(VLOOKUP($A162,Seqs!$A:$B,2,FALSE),VLOOKUP($A162,'NonXtal_SegEnds_Prot#'!$A:$AL,22,FALSE)+7,1)</f>
        <v>Y</v>
      </c>
      <c r="Y162" s="102" t="str">
        <f>MID(VLOOKUP($A162,Seqs!$A:$B,2,FALSE),VLOOKUP($A162,'NonXtal_SegEnds_Prot#'!$A:$AL,22,FALSE)+8,1)</f>
        <v>G</v>
      </c>
      <c r="Z162" s="102" t="str">
        <f>MID(VLOOKUP($A162,Seqs!$A:$B,2,FALSE),VLOOKUP($A162,'NonXtal_SegEnds_Prot#'!$A:$AL,22,FALSE)+9,1)</f>
        <v>P</v>
      </c>
      <c r="AA162" s="102" t="str">
        <f>MID(VLOOKUP($A162,Seqs!$A:$B,2,FALSE),VLOOKUP($A162,'NonXtal_SegEnds_Prot#'!$A:$AL,22,FALSE)+10,1)</f>
        <v>A</v>
      </c>
      <c r="AB162" s="71" t="str">
        <f>MID(VLOOKUP($A162,Seqs!$A:$B,2,FALSE),VLOOKUP($A162,'NonXtal_SegEnds_Prot#'!$A:$AL,28,FALSE)-4,1)</f>
        <v>E</v>
      </c>
      <c r="AC162" s="102" t="str">
        <f>MID(VLOOKUP($A162,Seqs!$A:$B,2,FALSE),VLOOKUP($A162,'NonXtal_SegEnds_Prot#'!$A:$AL,28,FALSE),1)</f>
        <v>P</v>
      </c>
    </row>
    <row r="163" spans="1:29" s="2" customFormat="1" x14ac:dyDescent="0.2">
      <c r="A163" s="2" t="s">
        <v>475</v>
      </c>
      <c r="B163" s="2" t="str">
        <f>LOWER(VLOOKUP(A163,Xtal_Templ!A:B,2,FALSE))</f>
        <v>acm3_rat</v>
      </c>
      <c r="C163" s="2" t="str">
        <f>VLOOKUP(A163,Classification!A:D,2,FALSE)</f>
        <v>A</v>
      </c>
      <c r="E163" s="2" t="s">
        <v>20</v>
      </c>
      <c r="K163" s="2" t="s">
        <v>59</v>
      </c>
      <c r="N163" s="2" t="s">
        <v>43</v>
      </c>
      <c r="P163" s="4" t="s">
        <v>51</v>
      </c>
      <c r="R163" s="71" t="str">
        <f>MID(VLOOKUP($A163,Seqs!$A:$B,2,FALSE),VLOOKUP($A163,'NonXtal_SegEnds_Prot#'!A:AL,10,FALSE),1)</f>
        <v>D</v>
      </c>
      <c r="S163" s="102" t="str">
        <f>MID(VLOOKUP($A163,Seqs!$A:$B,2,FALSE),VLOOKUP($A163,'NonXtal_SegEnds_Prot#'!A:AL,10,FALSE)+6,1)</f>
        <v>I</v>
      </c>
      <c r="T163" s="102" t="str">
        <f>MID(VLOOKUP($A163,Seqs!$A:$B,2,FALSE),VLOOKUP($A163,'NonXtal_SegEnds_Prot#'!A:AL,10,FALSE)+7,1)</f>
        <v>S</v>
      </c>
      <c r="U163" s="102" t="str">
        <f>MID(VLOOKUP($A163,Seqs!$A:$B,2,FALSE),VLOOKUP($A163,'NonXtal_SegEnds_Prot#'!A:AL,10,FALSE)+8,1)</f>
        <v>I</v>
      </c>
      <c r="V163" s="102" t="str">
        <f>MID(VLOOKUP($A163,Seqs!$A:$B,2,FALSE),VLOOKUP($A163,'NonXtal_SegEnds_Prot#'!A:AL,10,FALSE)+9,1)</f>
        <v>P</v>
      </c>
      <c r="W163" s="71" t="str">
        <f>MID(VLOOKUP($A163,Seqs!$A:$B,2,FALSE),VLOOKUP($A163,'NonXtal_SegEnds_Prot#'!$A:$AL,22,FALSE)+6,1)</f>
        <v>V</v>
      </c>
      <c r="X163" s="102" t="str">
        <f>MID(VLOOKUP($A163,Seqs!$A:$B,2,FALSE),VLOOKUP($A163,'NonXtal_SegEnds_Prot#'!$A:$AL,22,FALSE)+7,1)</f>
        <v>N</v>
      </c>
      <c r="Y163" s="102" t="str">
        <f>MID(VLOOKUP($A163,Seqs!$A:$B,2,FALSE),VLOOKUP($A163,'NonXtal_SegEnds_Prot#'!$A:$AL,22,FALSE)+8,1)</f>
        <v>G</v>
      </c>
      <c r="Z163" s="102" t="str">
        <f>MID(VLOOKUP($A163,Seqs!$A:$B,2,FALSE),VLOOKUP($A163,'NonXtal_SegEnds_Prot#'!$A:$AL,22,FALSE)+9,1)</f>
        <v>P</v>
      </c>
      <c r="AA163" s="102" t="str">
        <f>MID(VLOOKUP($A163,Seqs!$A:$B,2,FALSE),VLOOKUP($A163,'NonXtal_SegEnds_Prot#'!$A:$AL,22,FALSE)+10,1)</f>
        <v>M</v>
      </c>
      <c r="AB163" s="71" t="str">
        <f>MID(VLOOKUP($A163,Seqs!$A:$B,2,FALSE),VLOOKUP($A163,'NonXtal_SegEnds_Prot#'!$A:$AL,28,FALSE)-4,1)</f>
        <v>E</v>
      </c>
      <c r="AC163" s="102" t="str">
        <f>MID(VLOOKUP($A163,Seqs!$A:$B,2,FALSE),VLOOKUP($A163,'NonXtal_SegEnds_Prot#'!$A:$AL,28,FALSE),1)</f>
        <v>P</v>
      </c>
    </row>
    <row r="164" spans="1:29" s="2" customFormat="1" x14ac:dyDescent="0.2">
      <c r="A164" s="2" t="s">
        <v>476</v>
      </c>
      <c r="B164" s="2" t="str">
        <f>LOWER(VLOOKUP(A164,Xtal_Templ!A:B,2,FALSE))</f>
        <v>oprx_human</v>
      </c>
      <c r="C164" s="2" t="str">
        <f>VLOOKUP(A164,Classification!A:D,2,FALSE)</f>
        <v>A</v>
      </c>
      <c r="E164" s="2" t="s">
        <v>20</v>
      </c>
      <c r="K164" s="2" t="s">
        <v>59</v>
      </c>
      <c r="N164" s="2" t="s">
        <v>43</v>
      </c>
      <c r="P164" s="4" t="s">
        <v>51</v>
      </c>
      <c r="R164" s="71" t="str">
        <f>MID(VLOOKUP($A164,Seqs!$A:$B,2,FALSE),VLOOKUP($A164,'NonXtal_SegEnds_Prot#'!A:AL,10,FALSE),1)</f>
        <v>D</v>
      </c>
      <c r="S164" s="102" t="str">
        <f>MID(VLOOKUP($A164,Seqs!$A:$B,2,FALSE),VLOOKUP($A164,'NonXtal_SegEnds_Prot#'!A:AL,10,FALSE)+6,1)</f>
        <v>C</v>
      </c>
      <c r="T164" s="102" t="str">
        <f>MID(VLOOKUP($A164,Seqs!$A:$B,2,FALSE),VLOOKUP($A164,'NonXtal_SegEnds_Prot#'!A:AL,10,FALSE)+7,1)</f>
        <v>C</v>
      </c>
      <c r="U164" s="102" t="str">
        <f>MID(VLOOKUP($A164,Seqs!$A:$B,2,FALSE),VLOOKUP($A164,'NonXtal_SegEnds_Prot#'!A:AL,10,FALSE)+8,1)</f>
        <v>V</v>
      </c>
      <c r="V164" s="102" t="str">
        <f>MID(VLOOKUP($A164,Seqs!$A:$B,2,FALSE),VLOOKUP($A164,'NonXtal_SegEnds_Prot#'!A:AL,10,FALSE)+9,1)</f>
        <v>P</v>
      </c>
      <c r="W164" s="71" t="str">
        <f>MID(VLOOKUP($A164,Seqs!$A:$B,2,FALSE),VLOOKUP($A164,'NonXtal_SegEnds_Prot#'!$A:$AL,22,FALSE)+6,1)</f>
        <v>V</v>
      </c>
      <c r="X164" s="102" t="str">
        <f>MID(VLOOKUP($A164,Seqs!$A:$B,2,FALSE),VLOOKUP($A164,'NonXtal_SegEnds_Prot#'!$A:$AL,22,FALSE)+7,1)</f>
        <v>S</v>
      </c>
      <c r="Y164" s="102" t="str">
        <f>MID(VLOOKUP($A164,Seqs!$A:$B,2,FALSE),VLOOKUP($A164,'NonXtal_SegEnds_Prot#'!$A:$AL,22,FALSE)+8,1)</f>
        <v>A</v>
      </c>
      <c r="Z164" s="102" t="str">
        <f>MID(VLOOKUP($A164,Seqs!$A:$B,2,FALSE),VLOOKUP($A164,'NonXtal_SegEnds_Prot#'!$A:$AL,22,FALSE)+9,1)</f>
        <v>P</v>
      </c>
      <c r="AA164" s="102" t="str">
        <f>MID(VLOOKUP($A164,Seqs!$A:$B,2,FALSE),VLOOKUP($A164,'NonXtal_SegEnds_Prot#'!$A:$AL,22,FALSE)+10,1)</f>
        <v>V</v>
      </c>
      <c r="AB164" s="71" t="str">
        <f>MID(VLOOKUP($A164,Seqs!$A:$B,2,FALSE),VLOOKUP($A164,'NonXtal_SegEnds_Prot#'!$A:$AL,28,FALSE)-4,1)</f>
        <v>L</v>
      </c>
      <c r="AC164" s="102" t="str">
        <f>MID(VLOOKUP($A164,Seqs!$A:$B,2,FALSE),VLOOKUP($A164,'NonXtal_SegEnds_Prot#'!$A:$AL,28,FALSE),1)</f>
        <v>P</v>
      </c>
    </row>
    <row r="165" spans="1:29" s="2" customFormat="1" x14ac:dyDescent="0.2">
      <c r="A165" s="2" t="s">
        <v>477</v>
      </c>
      <c r="B165" s="2" t="str">
        <f>LOWER(VLOOKUP(A165,Xtal_Templ!A:B,2,FALSE))</f>
        <v>agtr1_human</v>
      </c>
      <c r="C165" s="2" t="str">
        <f>VLOOKUP(A165,Classification!A:D,2,FALSE)</f>
        <v>A</v>
      </c>
      <c r="P165" s="4" t="s">
        <v>51</v>
      </c>
      <c r="R165" s="71" t="str">
        <f>MID(VLOOKUP($A165,Seqs!$A:$B,2,FALSE),VLOOKUP($A165,'NonXtal_SegEnds_Prot#'!A:AL,10,FALSE),1)</f>
        <v>N</v>
      </c>
      <c r="S165" s="102" t="str">
        <f>MID(VLOOKUP($A165,Seqs!$A:$B,2,FALSE),VLOOKUP($A165,'NonXtal_SegEnds_Prot#'!A:AL,10,FALSE)+6,1)</f>
        <v>Y</v>
      </c>
      <c r="T165" s="102" t="str">
        <f>MID(VLOOKUP($A165,Seqs!$A:$B,2,FALSE),VLOOKUP($A165,'NonXtal_SegEnds_Prot#'!A:AL,10,FALSE)+7,1)</f>
        <v>T</v>
      </c>
      <c r="U165" s="102" t="str">
        <f>MID(VLOOKUP($A165,Seqs!$A:$B,2,FALSE),VLOOKUP($A165,'NonXtal_SegEnds_Prot#'!A:AL,10,FALSE)+8,1)</f>
        <v>G</v>
      </c>
      <c r="V165" s="102" t="str">
        <f>MID(VLOOKUP($A165,Seqs!$A:$B,2,FALSE),VLOOKUP($A165,'NonXtal_SegEnds_Prot#'!A:AL,10,FALSE)+9,1)</f>
        <v>I</v>
      </c>
      <c r="W165" s="71" t="str">
        <f>MID(VLOOKUP($A165,Seqs!$A:$B,2,FALSE),VLOOKUP($A165,'NonXtal_SegEnds_Prot#'!$A:$AL,22,FALSE)+6,1)</f>
        <v>A</v>
      </c>
      <c r="X165" s="102" t="str">
        <f>MID(VLOOKUP($A165,Seqs!$A:$B,2,FALSE),VLOOKUP($A165,'NonXtal_SegEnds_Prot#'!$A:$AL,22,FALSE)+7,1)</f>
        <v>G</v>
      </c>
      <c r="Y165" s="102" t="str">
        <f>MID(VLOOKUP($A165,Seqs!$A:$B,2,FALSE),VLOOKUP($A165,'NonXtal_SegEnds_Prot#'!$A:$AL,22,FALSE)+8,1)</f>
        <v>C</v>
      </c>
      <c r="Z165" s="102" t="str">
        <f>MID(VLOOKUP($A165,Seqs!$A:$B,2,FALSE),VLOOKUP($A165,'NonXtal_SegEnds_Prot#'!$A:$AL,22,FALSE)+9,1)</f>
        <v>F</v>
      </c>
      <c r="AA165" s="102" t="str">
        <f>MID(VLOOKUP($A165,Seqs!$A:$B,2,FALSE),VLOOKUP($A165,'NonXtal_SegEnds_Prot#'!$A:$AL,22,FALSE)+10,1)</f>
        <v>P</v>
      </c>
      <c r="AB165" s="71" t="str">
        <f>MID(VLOOKUP($A165,Seqs!$A:$B,2,FALSE),VLOOKUP($A165,'NonXtal_SegEnds_Prot#'!$A:$AL,28,FALSE)-4,1)</f>
        <v>L</v>
      </c>
      <c r="AC165" s="102" t="str">
        <f>MID(VLOOKUP($A165,Seqs!$A:$B,2,FALSE),VLOOKUP($A165,'NonXtal_SegEnds_Prot#'!$A:$AL,28,FALSE),1)</f>
        <v>A</v>
      </c>
    </row>
    <row r="166" spans="1:29" s="2" customFormat="1" x14ac:dyDescent="0.2">
      <c r="A166" s="2" t="s">
        <v>478</v>
      </c>
      <c r="B166" s="2" t="str">
        <f>LOWER(VLOOKUP(A166,Xtal_Templ!A:B,2,FALSE))</f>
        <v>aa2ar_human</v>
      </c>
      <c r="C166" s="2" t="str">
        <f>VLOOKUP(A166,Classification!A:D,2,FALSE)</f>
        <v>A</v>
      </c>
      <c r="P166" s="4" t="s">
        <v>51</v>
      </c>
      <c r="R166" s="71" t="str">
        <f>MID(VLOOKUP($A166,Seqs!$A:$B,2,FALSE),VLOOKUP($A166,'NonXtal_SegEnds_Prot#'!A:AL,10,FALSE),1)</f>
        <v>N</v>
      </c>
      <c r="S166" s="102" t="str">
        <f>MID(VLOOKUP($A166,Seqs!$A:$B,2,FALSE),VLOOKUP($A166,'NonXtal_SegEnds_Prot#'!A:AL,10,FALSE)+6,1)</f>
        <v>S</v>
      </c>
      <c r="T166" s="102" t="str">
        <f>MID(VLOOKUP($A166,Seqs!$A:$B,2,FALSE),VLOOKUP($A166,'NonXtal_SegEnds_Prot#'!A:AL,10,FALSE)+7,1)</f>
        <v>S</v>
      </c>
      <c r="U166" s="102" t="str">
        <f>MID(VLOOKUP($A166,Seqs!$A:$B,2,FALSE),VLOOKUP($A166,'NonXtal_SegEnds_Prot#'!A:AL,10,FALSE)+8,1)</f>
        <v>A</v>
      </c>
      <c r="V166" s="102" t="str">
        <f>MID(VLOOKUP($A166,Seqs!$A:$B,2,FALSE),VLOOKUP($A166,'NonXtal_SegEnds_Prot#'!A:AL,10,FALSE)+9,1)</f>
        <v>V</v>
      </c>
      <c r="W166" s="71" t="str">
        <f>MID(VLOOKUP($A166,Seqs!$A:$B,2,FALSE),VLOOKUP($A166,'NonXtal_SegEnds_Prot#'!$A:$AL,22,FALSE)+6,1)</f>
        <v>M</v>
      </c>
      <c r="X166" s="102" t="str">
        <f>MID(VLOOKUP($A166,Seqs!$A:$B,2,FALSE),VLOOKUP($A166,'NonXtal_SegEnds_Prot#'!$A:$AL,22,FALSE)+7,1)</f>
        <v>A</v>
      </c>
      <c r="Y166" s="102" t="str">
        <f>MID(VLOOKUP($A166,Seqs!$A:$B,2,FALSE),VLOOKUP($A166,'NonXtal_SegEnds_Prot#'!$A:$AL,22,FALSE)+8,1)</f>
        <v>A</v>
      </c>
      <c r="Z166" s="102" t="str">
        <f>MID(VLOOKUP($A166,Seqs!$A:$B,2,FALSE),VLOOKUP($A166,'NonXtal_SegEnds_Prot#'!$A:$AL,22,FALSE)+9,1)</f>
        <v>V</v>
      </c>
      <c r="AA166" s="102" t="str">
        <f>MID(VLOOKUP($A166,Seqs!$A:$B,2,FALSE),VLOOKUP($A166,'NonXtal_SegEnds_Prot#'!$A:$AL,22,FALSE)+10,1)</f>
        <v>P</v>
      </c>
      <c r="AB166" s="71" t="str">
        <f>MID(VLOOKUP($A166,Seqs!$A:$B,2,FALSE),VLOOKUP($A166,'NonXtal_SegEnds_Prot#'!$A:$AL,28,FALSE)-4,1)</f>
        <v>L</v>
      </c>
      <c r="AC166" s="102" t="str">
        <f>MID(VLOOKUP($A166,Seqs!$A:$B,2,FALSE),VLOOKUP($A166,'NonXtal_SegEnds_Prot#'!$A:$AL,28,FALSE),1)</f>
        <v>C</v>
      </c>
    </row>
    <row r="167" spans="1:29" s="2" customFormat="1" x14ac:dyDescent="0.2">
      <c r="A167" s="2" t="s">
        <v>479</v>
      </c>
      <c r="B167" s="2" t="str">
        <f>LOWER(VLOOKUP(A167,Xtal_Templ!A:B,2,FALSE))</f>
        <v>opsd_human</v>
      </c>
      <c r="C167" s="2" t="str">
        <f>VLOOKUP(A167,Classification!A:D,2,FALSE)</f>
        <v>A</v>
      </c>
      <c r="P167" s="4" t="s">
        <v>51</v>
      </c>
      <c r="R167" s="71" t="str">
        <f>MID(VLOOKUP($A167,Seqs!$A:$B,2,FALSE),VLOOKUP($A167,'NonXtal_SegEnds_Prot#'!A:AL,10,FALSE),1)</f>
        <v>N</v>
      </c>
      <c r="S167" s="102" t="str">
        <f>MID(VLOOKUP($A167,Seqs!$A:$B,2,FALSE),VLOOKUP($A167,'NonXtal_SegEnds_Prot#'!A:AL,10,FALSE)+6,1)</f>
        <v>S</v>
      </c>
      <c r="T167" s="102" t="str">
        <f>MID(VLOOKUP($A167,Seqs!$A:$B,2,FALSE),VLOOKUP($A167,'NonXtal_SegEnds_Prot#'!A:AL,10,FALSE)+7,1)</f>
        <v>C</v>
      </c>
      <c r="U167" s="102" t="str">
        <f>MID(VLOOKUP($A167,Seqs!$A:$B,2,FALSE),VLOOKUP($A167,'NonXtal_SegEnds_Prot#'!A:AL,10,FALSE)+8,1)</f>
        <v>G</v>
      </c>
      <c r="V167" s="102" t="str">
        <f>MID(VLOOKUP($A167,Seqs!$A:$B,2,FALSE),VLOOKUP($A167,'NonXtal_SegEnds_Prot#'!A:AL,10,FALSE)+9,1)</f>
        <v>L</v>
      </c>
      <c r="W167" s="71" t="str">
        <f>MID(VLOOKUP($A167,Seqs!$A:$B,2,FALSE),VLOOKUP($A167,'NonXtal_SegEnds_Prot#'!$A:$AL,22,FALSE)+6,1)</f>
        <v>A</v>
      </c>
      <c r="X167" s="102" t="str">
        <f>MID(VLOOKUP($A167,Seqs!$A:$B,2,FALSE),VLOOKUP($A167,'NonXtal_SegEnds_Prot#'!$A:$AL,22,FALSE)+7,1)</f>
        <v>A</v>
      </c>
      <c r="Y167" s="102" t="str">
        <f>MID(VLOOKUP($A167,Seqs!$A:$B,2,FALSE),VLOOKUP($A167,'NonXtal_SegEnds_Prot#'!$A:$AL,22,FALSE)+8,1)</f>
        <v>A</v>
      </c>
      <c r="Z167" s="102" t="str">
        <f>MID(VLOOKUP($A167,Seqs!$A:$B,2,FALSE),VLOOKUP($A167,'NonXtal_SegEnds_Prot#'!$A:$AL,22,FALSE)+9,1)</f>
        <v>L</v>
      </c>
      <c r="AA167" s="102" t="str">
        <f>MID(VLOOKUP($A167,Seqs!$A:$B,2,FALSE),VLOOKUP($A167,'NonXtal_SegEnds_Prot#'!$A:$AL,22,FALSE)+10,1)</f>
        <v>P</v>
      </c>
      <c r="AB167" s="71" t="str">
        <f>MID(VLOOKUP($A167,Seqs!$A:$B,2,FALSE),VLOOKUP($A167,'NonXtal_SegEnds_Prot#'!$A:$AL,28,FALSE)-4,1)</f>
        <v>M</v>
      </c>
      <c r="AC167" s="102" t="str">
        <f>MID(VLOOKUP($A167,Seqs!$A:$B,2,FALSE),VLOOKUP($A167,'NonXtal_SegEnds_Prot#'!$A:$AL,28,FALSE),1)</f>
        <v>C</v>
      </c>
    </row>
    <row r="168" spans="1:29" s="2" customFormat="1" x14ac:dyDescent="0.2">
      <c r="A168" s="2" t="s">
        <v>297</v>
      </c>
      <c r="B168" s="2" t="str">
        <f>LOWER(VLOOKUP(A168,Xtal_Templ!A:B,2,FALSE))</f>
        <v>lpar1_human</v>
      </c>
      <c r="C168" s="2" t="str">
        <f>VLOOKUP(A168,Classification!A:D,2,FALSE)</f>
        <v>A</v>
      </c>
      <c r="F168" s="2" t="s">
        <v>125</v>
      </c>
      <c r="P168" s="4" t="s">
        <v>51</v>
      </c>
      <c r="R168" s="71" t="str">
        <f>MID(VLOOKUP($A168,Seqs!$A:$B,2,FALSE),VLOOKUP($A168,'NonXtal_SegEnds_Prot#'!A:AL,10,FALSE),1)</f>
        <v>D</v>
      </c>
      <c r="S168" s="102" t="str">
        <f>MID(VLOOKUP($A168,Seqs!$A:$B,2,FALSE),VLOOKUP($A168,'NonXtal_SegEnds_Prot#'!A:AL,10,FALSE)+6,1)</f>
        <v>A</v>
      </c>
      <c r="T168" s="102" t="str">
        <f>MID(VLOOKUP($A168,Seqs!$A:$B,2,FALSE),VLOOKUP($A168,'NonXtal_SegEnds_Prot#'!A:AL,10,FALSE)+7,1)</f>
        <v>Y</v>
      </c>
      <c r="U168" s="102" t="str">
        <f>MID(VLOOKUP($A168,Seqs!$A:$B,2,FALSE),VLOOKUP($A168,'NonXtal_SegEnds_Prot#'!A:AL,10,FALSE)+8,1)</f>
        <v>F</v>
      </c>
      <c r="V168" s="102" t="str">
        <f>MID(VLOOKUP($A168,Seqs!$A:$B,2,FALSE),VLOOKUP($A168,'NonXtal_SegEnds_Prot#'!A:AL,10,FALSE)+9,1)</f>
        <v>Y</v>
      </c>
      <c r="W168" s="71" t="str">
        <f>MID(VLOOKUP($A168,Seqs!$A:$B,2,FALSE),VLOOKUP($A168,'NonXtal_SegEnds_Prot#'!$A:$AL,22,FALSE)+6,1)</f>
        <v>M</v>
      </c>
      <c r="X168" s="102" t="str">
        <f>MID(VLOOKUP($A168,Seqs!$A:$B,2,FALSE),VLOOKUP($A168,'NonXtal_SegEnds_Prot#'!$A:$AL,22,FALSE)+7,1)</f>
        <v>G</v>
      </c>
      <c r="Y168" s="102" t="str">
        <f>MID(VLOOKUP($A168,Seqs!$A:$B,2,FALSE),VLOOKUP($A168,'NonXtal_SegEnds_Prot#'!$A:$AL,22,FALSE)+8,1)</f>
        <v>A</v>
      </c>
      <c r="Z168" s="102" t="str">
        <f>MID(VLOOKUP($A168,Seqs!$A:$B,2,FALSE),VLOOKUP($A168,'NonXtal_SegEnds_Prot#'!$A:$AL,22,FALSE)+9,1)</f>
        <v>I</v>
      </c>
      <c r="AA168" s="102" t="str">
        <f>MID(VLOOKUP($A168,Seqs!$A:$B,2,FALSE),VLOOKUP($A168,'NonXtal_SegEnds_Prot#'!$A:$AL,22,FALSE)+10,1)</f>
        <v>P</v>
      </c>
      <c r="AB168" s="71" t="str">
        <f>MID(VLOOKUP($A168,Seqs!$A:$B,2,FALSE),VLOOKUP($A168,'NonXtal_SegEnds_Prot#'!$A:$AL,28,FALSE)-4,1)</f>
        <v>F</v>
      </c>
      <c r="AC168" s="102" t="str">
        <f>MID(VLOOKUP($A168,Seqs!$A:$B,2,FALSE),VLOOKUP($A168,'NonXtal_SegEnds_Prot#'!$A:$AL,28,FALSE),1)</f>
        <v>T</v>
      </c>
    </row>
    <row r="169" spans="1:29" s="2" customFormat="1" x14ac:dyDescent="0.2">
      <c r="A169" s="2" t="s">
        <v>480</v>
      </c>
      <c r="B169" s="2" t="str">
        <f>LOWER(VLOOKUP(A169,Xtal_Templ!A:B,2,FALSE))</f>
        <v>lpar1_human</v>
      </c>
      <c r="C169" s="2" t="str">
        <f>VLOOKUP(A169,Classification!A:D,2,FALSE)</f>
        <v>A</v>
      </c>
      <c r="F169" s="2" t="s">
        <v>125</v>
      </c>
      <c r="P169" s="4" t="s">
        <v>51</v>
      </c>
      <c r="R169" s="71" t="str">
        <f>MID(VLOOKUP($A169,Seqs!$A:$B,2,FALSE),VLOOKUP($A169,'NonXtal_SegEnds_Prot#'!A:AL,10,FALSE),1)</f>
        <v>D</v>
      </c>
      <c r="S169" s="102" t="str">
        <f>MID(VLOOKUP($A169,Seqs!$A:$B,2,FALSE),VLOOKUP($A169,'NonXtal_SegEnds_Prot#'!A:AL,10,FALSE)+6,1)</f>
        <v>A</v>
      </c>
      <c r="T169" s="102" t="str">
        <f>MID(VLOOKUP($A169,Seqs!$A:$B,2,FALSE),VLOOKUP($A169,'NonXtal_SegEnds_Prot#'!A:AL,10,FALSE)+7,1)</f>
        <v>Y</v>
      </c>
      <c r="U169" s="102" t="str">
        <f>MID(VLOOKUP($A169,Seqs!$A:$B,2,FALSE),VLOOKUP($A169,'NonXtal_SegEnds_Prot#'!A:AL,10,FALSE)+8,1)</f>
        <v>L</v>
      </c>
      <c r="V169" s="102" t="str">
        <f>MID(VLOOKUP($A169,Seqs!$A:$B,2,FALSE),VLOOKUP($A169,'NonXtal_SegEnds_Prot#'!A:AL,10,FALSE)+9,1)</f>
        <v>F</v>
      </c>
      <c r="W169" s="71" t="str">
        <f>MID(VLOOKUP($A169,Seqs!$A:$B,2,FALSE),VLOOKUP($A169,'NonXtal_SegEnds_Prot#'!$A:$AL,22,FALSE)+6,1)</f>
        <v>L</v>
      </c>
      <c r="X169" s="102" t="str">
        <f>MID(VLOOKUP($A169,Seqs!$A:$B,2,FALSE),VLOOKUP($A169,'NonXtal_SegEnds_Prot#'!$A:$AL,22,FALSE)+7,1)</f>
        <v>G</v>
      </c>
      <c r="Y169" s="102" t="str">
        <f>MID(VLOOKUP($A169,Seqs!$A:$B,2,FALSE),VLOOKUP($A169,'NonXtal_SegEnds_Prot#'!$A:$AL,22,FALSE)+8,1)</f>
        <v>L</v>
      </c>
      <c r="Z169" s="102" t="str">
        <f>MID(VLOOKUP($A169,Seqs!$A:$B,2,FALSE),VLOOKUP($A169,'NonXtal_SegEnds_Prot#'!$A:$AL,22,FALSE)+9,1)</f>
        <v>L</v>
      </c>
      <c r="AA169" s="102" t="str">
        <f>MID(VLOOKUP($A169,Seqs!$A:$B,2,FALSE),VLOOKUP($A169,'NonXtal_SegEnds_Prot#'!$A:$AL,22,FALSE)+10,1)</f>
        <v>P</v>
      </c>
      <c r="AB169" s="71" t="str">
        <f>MID(VLOOKUP($A169,Seqs!$A:$B,2,FALSE),VLOOKUP($A169,'NonXtal_SegEnds_Prot#'!$A:$AL,28,FALSE)-4,1)</f>
        <v>S</v>
      </c>
      <c r="AC169" s="102" t="str">
        <f>MID(VLOOKUP($A169,Seqs!$A:$B,2,FALSE),VLOOKUP($A169,'NonXtal_SegEnds_Prot#'!$A:$AL,28,FALSE),1)</f>
        <v>V</v>
      </c>
    </row>
    <row r="170" spans="1:29" s="2" customFormat="1" x14ac:dyDescent="0.2">
      <c r="A170" s="2" t="s">
        <v>481</v>
      </c>
      <c r="B170" s="2" t="str">
        <f>LOWER(VLOOKUP(A170,Xtal_Templ!A:B,2,FALSE))</f>
        <v>lpar1_human</v>
      </c>
      <c r="C170" s="2" t="str">
        <f>VLOOKUP(A170,Classification!A:D,2,FALSE)</f>
        <v>A</v>
      </c>
      <c r="F170" s="2" t="s">
        <v>125</v>
      </c>
      <c r="P170" s="4" t="s">
        <v>51</v>
      </c>
      <c r="R170" s="71" t="str">
        <f>MID(VLOOKUP($A170,Seqs!$A:$B,2,FALSE),VLOOKUP($A170,'NonXtal_SegEnds_Prot#'!A:AL,10,FALSE),1)</f>
        <v>D</v>
      </c>
      <c r="S170" s="102" t="str">
        <f>MID(VLOOKUP($A170,Seqs!$A:$B,2,FALSE),VLOOKUP($A170,'NonXtal_SegEnds_Prot#'!A:AL,10,FALSE)+6,1)</f>
        <v>A</v>
      </c>
      <c r="T170" s="102" t="str">
        <f>MID(VLOOKUP($A170,Seqs!$A:$B,2,FALSE),VLOOKUP($A170,'NonXtal_SegEnds_Prot#'!A:AL,10,FALSE)+7,1)</f>
        <v>Y</v>
      </c>
      <c r="U170" s="102" t="str">
        <f>MID(VLOOKUP($A170,Seqs!$A:$B,2,FALSE),VLOOKUP($A170,'NonXtal_SegEnds_Prot#'!A:AL,10,FALSE)+8,1)</f>
        <v>V</v>
      </c>
      <c r="V170" s="102" t="str">
        <f>MID(VLOOKUP($A170,Seqs!$A:$B,2,FALSE),VLOOKUP($A170,'NonXtal_SegEnds_Prot#'!A:AL,10,FALSE)+9,1)</f>
        <v>F</v>
      </c>
      <c r="W170" s="71" t="str">
        <f>MID(VLOOKUP($A170,Seqs!$A:$B,2,FALSE),VLOOKUP($A170,'NonXtal_SegEnds_Prot#'!$A:$AL,22,FALSE)+6,1)</f>
        <v>M</v>
      </c>
      <c r="X170" s="102" t="str">
        <f>MID(VLOOKUP($A170,Seqs!$A:$B,2,FALSE),VLOOKUP($A170,'NonXtal_SegEnds_Prot#'!$A:$AL,22,FALSE)+7,1)</f>
        <v>G</v>
      </c>
      <c r="Y170" s="102" t="str">
        <f>MID(VLOOKUP($A170,Seqs!$A:$B,2,FALSE),VLOOKUP($A170,'NonXtal_SegEnds_Prot#'!$A:$AL,22,FALSE)+8,1)</f>
        <v>A</v>
      </c>
      <c r="Z170" s="102" t="str">
        <f>MID(VLOOKUP($A170,Seqs!$A:$B,2,FALSE),VLOOKUP($A170,'NonXtal_SegEnds_Prot#'!$A:$AL,22,FALSE)+9,1)</f>
        <v>V</v>
      </c>
      <c r="AA170" s="102" t="str">
        <f>MID(VLOOKUP($A170,Seqs!$A:$B,2,FALSE),VLOOKUP($A170,'NonXtal_SegEnds_Prot#'!$A:$AL,22,FALSE)+10,1)</f>
        <v>P</v>
      </c>
      <c r="AB170" s="71" t="str">
        <f>MID(VLOOKUP($A170,Seqs!$A:$B,2,FALSE),VLOOKUP($A170,'NonXtal_SegEnds_Prot#'!$A:$AL,28,FALSE)-4,1)</f>
        <v>S</v>
      </c>
      <c r="AC170" s="102" t="str">
        <f>MID(VLOOKUP($A170,Seqs!$A:$B,2,FALSE),VLOOKUP($A170,'NonXtal_SegEnds_Prot#'!$A:$AL,28,FALSE),1)</f>
        <v>A</v>
      </c>
    </row>
    <row r="171" spans="1:29" s="2" customFormat="1" x14ac:dyDescent="0.2">
      <c r="A171" s="2" t="s">
        <v>482</v>
      </c>
      <c r="B171" s="2" t="str">
        <f>LOWER(VLOOKUP(A171,Xtal_Templ!A:B,2,FALSE))</f>
        <v>p2ry1_human</v>
      </c>
      <c r="C171" s="2" t="str">
        <f>VLOOKUP(A171,Classification!A:D,2,FALSE)</f>
        <v>A</v>
      </c>
      <c r="N171" s="2" t="s">
        <v>43</v>
      </c>
      <c r="P171" s="4" t="s">
        <v>51</v>
      </c>
      <c r="R171" s="71" t="str">
        <f>MID(VLOOKUP($A171,Seqs!$A:$B,2,FALSE),VLOOKUP($A171,'NonXtal_SegEnds_Prot#'!A:AL,10,FALSE),1)</f>
        <v>D</v>
      </c>
      <c r="S171" s="102" t="str">
        <f>MID(VLOOKUP($A171,Seqs!$A:$B,2,FALSE),VLOOKUP($A171,'NonXtal_SegEnds_Prot#'!A:AL,10,FALSE)+6,1)</f>
        <v>T</v>
      </c>
      <c r="T171" s="102" t="str">
        <f>MID(VLOOKUP($A171,Seqs!$A:$B,2,FALSE),VLOOKUP($A171,'NonXtal_SegEnds_Prot#'!A:AL,10,FALSE)+7,1)</f>
        <v>L</v>
      </c>
      <c r="U171" s="102" t="str">
        <f>MID(VLOOKUP($A171,Seqs!$A:$B,2,FALSE),VLOOKUP($A171,'NonXtal_SegEnds_Prot#'!A:AL,10,FALSE)+8,1)</f>
        <v>P</v>
      </c>
      <c r="V171" s="102" t="str">
        <f>MID(VLOOKUP($A171,Seqs!$A:$B,2,FALSE),VLOOKUP($A171,'NonXtal_SegEnds_Prot#'!A:AL,10,FALSE)+9,1)</f>
        <v>F</v>
      </c>
      <c r="W171" s="71" t="str">
        <f>MID(VLOOKUP($A171,Seqs!$A:$B,2,FALSE),VLOOKUP($A171,'NonXtal_SegEnds_Prot#'!$A:$AL,22,FALSE)+6,1)</f>
        <v>G</v>
      </c>
      <c r="X171" s="102" t="str">
        <f>MID(VLOOKUP($A171,Seqs!$A:$B,2,FALSE),VLOOKUP($A171,'NonXtal_SegEnds_Prot#'!$A:$AL,22,FALSE)+7,1)</f>
        <v>G</v>
      </c>
      <c r="Y171" s="102" t="str">
        <f>MID(VLOOKUP($A171,Seqs!$A:$B,2,FALSE),VLOOKUP($A171,'NonXtal_SegEnds_Prot#'!$A:$AL,22,FALSE)+8,1)</f>
        <v>I</v>
      </c>
      <c r="Z171" s="102" t="str">
        <f>MID(VLOOKUP($A171,Seqs!$A:$B,2,FALSE),VLOOKUP($A171,'NonXtal_SegEnds_Prot#'!$A:$AL,22,FALSE)+9,1)</f>
        <v>S</v>
      </c>
      <c r="AA171" s="102" t="str">
        <f>MID(VLOOKUP($A171,Seqs!$A:$B,2,FALSE),VLOOKUP($A171,'NonXtal_SegEnds_Prot#'!$A:$AL,22,FALSE)+10,1)</f>
        <v>A</v>
      </c>
      <c r="AB171" s="71" t="str">
        <f>MID(VLOOKUP($A171,Seqs!$A:$B,2,FALSE),VLOOKUP($A171,'NonXtal_SegEnds_Prot#'!$A:$AL,28,FALSE)-4,1)</f>
        <v>G</v>
      </c>
      <c r="AC171" s="102" t="str">
        <f>MID(VLOOKUP($A171,Seqs!$A:$B,2,FALSE),VLOOKUP($A171,'NonXtal_SegEnds_Prot#'!$A:$AL,28,FALSE),1)</f>
        <v>P</v>
      </c>
    </row>
    <row r="172" spans="1:29" s="2" customFormat="1" x14ac:dyDescent="0.2">
      <c r="A172" s="2" t="s">
        <v>483</v>
      </c>
      <c r="B172" s="2" t="str">
        <f>LOWER(VLOOKUP(A172,Xtal_Templ!A:B,2,FALSE))</f>
        <v>p2ry1_human</v>
      </c>
      <c r="C172" s="2" t="str">
        <f>VLOOKUP(A172,Classification!A:D,2,FALSE)</f>
        <v>A</v>
      </c>
      <c r="K172" s="2" t="s">
        <v>59</v>
      </c>
      <c r="N172" s="2" t="s">
        <v>43</v>
      </c>
      <c r="P172" s="4" t="s">
        <v>51</v>
      </c>
      <c r="R172" s="71" t="str">
        <f>MID(VLOOKUP($A172,Seqs!$A:$B,2,FALSE),VLOOKUP($A172,'NonXtal_SegEnds_Prot#'!A:AL,10,FALSE),1)</f>
        <v>D</v>
      </c>
      <c r="S172" s="102" t="str">
        <f>MID(VLOOKUP($A172,Seqs!$A:$B,2,FALSE),VLOOKUP($A172,'NonXtal_SegEnds_Prot#'!A:AL,10,FALSE)+6,1)</f>
        <v>S</v>
      </c>
      <c r="T172" s="102" t="str">
        <f>MID(VLOOKUP($A172,Seqs!$A:$B,2,FALSE),VLOOKUP($A172,'NonXtal_SegEnds_Prot#'!A:AL,10,FALSE)+7,1)</f>
        <v>L</v>
      </c>
      <c r="U172" s="102" t="str">
        <f>MID(VLOOKUP($A172,Seqs!$A:$B,2,FALSE),VLOOKUP($A172,'NonXtal_SegEnds_Prot#'!A:AL,10,FALSE)+8,1)</f>
        <v>P</v>
      </c>
      <c r="V172" s="102" t="str">
        <f>MID(VLOOKUP($A172,Seqs!$A:$B,2,FALSE),VLOOKUP($A172,'NonXtal_SegEnds_Prot#'!A:AL,10,FALSE)+9,1)</f>
        <v>V</v>
      </c>
      <c r="W172" s="71" t="str">
        <f>MID(VLOOKUP($A172,Seqs!$A:$B,2,FALSE),VLOOKUP($A172,'NonXtal_SegEnds_Prot#'!$A:$AL,22,FALSE)+6,1)</f>
        <v>F</v>
      </c>
      <c r="X172" s="102" t="str">
        <f>MID(VLOOKUP($A172,Seqs!$A:$B,2,FALSE),VLOOKUP($A172,'NonXtal_SegEnds_Prot#'!$A:$AL,22,FALSE)+7,1)</f>
        <v>A</v>
      </c>
      <c r="Y172" s="102" t="str">
        <f>MID(VLOOKUP($A172,Seqs!$A:$B,2,FALSE),VLOOKUP($A172,'NonXtal_SegEnds_Prot#'!$A:$AL,22,FALSE)+8,1)</f>
        <v>V</v>
      </c>
      <c r="Z172" s="102" t="str">
        <f>MID(VLOOKUP($A172,Seqs!$A:$B,2,FALSE),VLOOKUP($A172,'NonXtal_SegEnds_Prot#'!$A:$AL,22,FALSE)+9,1)</f>
        <v>P</v>
      </c>
      <c r="AA172" s="102" t="str">
        <f>MID(VLOOKUP($A172,Seqs!$A:$B,2,FALSE),VLOOKUP($A172,'NonXtal_SegEnds_Prot#'!$A:$AL,22,FALSE)+10,1)</f>
        <v>A</v>
      </c>
      <c r="AB172" s="71" t="str">
        <f>MID(VLOOKUP($A172,Seqs!$A:$B,2,FALSE),VLOOKUP($A172,'NonXtal_SegEnds_Prot#'!$A:$AL,28,FALSE)-4,1)</f>
        <v>G</v>
      </c>
      <c r="AC172" s="102" t="str">
        <f>MID(VLOOKUP($A172,Seqs!$A:$B,2,FALSE),VLOOKUP($A172,'NonXtal_SegEnds_Prot#'!$A:$AL,28,FALSE),1)</f>
        <v>P</v>
      </c>
    </row>
    <row r="173" spans="1:29" s="2" customFormat="1" x14ac:dyDescent="0.2">
      <c r="A173" s="2" t="s">
        <v>484</v>
      </c>
      <c r="B173" s="2" t="str">
        <f>LOWER(VLOOKUP(A173,Xtal_Templ!A:B,2,FALSE))</f>
        <v>p2ry1_human</v>
      </c>
      <c r="C173" s="2" t="str">
        <f>VLOOKUP(A173,Classification!A:D,2,FALSE)</f>
        <v>A</v>
      </c>
      <c r="K173" s="2" t="s">
        <v>59</v>
      </c>
      <c r="N173" s="2" t="s">
        <v>43</v>
      </c>
      <c r="P173" s="4" t="s">
        <v>51</v>
      </c>
      <c r="R173" s="71" t="str">
        <f>MID(VLOOKUP($A173,Seqs!$A:$B,2,FALSE),VLOOKUP($A173,'NonXtal_SegEnds_Prot#'!A:AL,10,FALSE),1)</f>
        <v>D</v>
      </c>
      <c r="S173" s="102" t="str">
        <f>MID(VLOOKUP($A173,Seqs!$A:$B,2,FALSE),VLOOKUP($A173,'NonXtal_SegEnds_Prot#'!A:AL,10,FALSE)+6,1)</f>
        <v>T</v>
      </c>
      <c r="T173" s="102" t="str">
        <f>MID(VLOOKUP($A173,Seqs!$A:$B,2,FALSE),VLOOKUP($A173,'NonXtal_SegEnds_Prot#'!A:AL,10,FALSE)+7,1)</f>
        <v>L</v>
      </c>
      <c r="U173" s="102" t="str">
        <f>MID(VLOOKUP($A173,Seqs!$A:$B,2,FALSE),VLOOKUP($A173,'NonXtal_SegEnds_Prot#'!A:AL,10,FALSE)+8,1)</f>
        <v>P</v>
      </c>
      <c r="V173" s="102" t="str">
        <f>MID(VLOOKUP($A173,Seqs!$A:$B,2,FALSE),VLOOKUP($A173,'NonXtal_SegEnds_Prot#'!A:AL,10,FALSE)+9,1)</f>
        <v>F</v>
      </c>
      <c r="W173" s="71" t="str">
        <f>MID(VLOOKUP($A173,Seqs!$A:$B,2,FALSE),VLOOKUP($A173,'NonXtal_SegEnds_Prot#'!$A:$AL,22,FALSE)+6,1)</f>
        <v>G</v>
      </c>
      <c r="X173" s="102" t="str">
        <f>MID(VLOOKUP($A173,Seqs!$A:$B,2,FALSE),VLOOKUP($A173,'NonXtal_SegEnds_Prot#'!$A:$AL,22,FALSE)+7,1)</f>
        <v>S</v>
      </c>
      <c r="Y173" s="102" t="str">
        <f>MID(VLOOKUP($A173,Seqs!$A:$B,2,FALSE),VLOOKUP($A173,'NonXtal_SegEnds_Prot#'!$A:$AL,22,FALSE)+8,1)</f>
        <v>A</v>
      </c>
      <c r="Z173" s="102" t="str">
        <f>MID(VLOOKUP($A173,Seqs!$A:$B,2,FALSE),VLOOKUP($A173,'NonXtal_SegEnds_Prot#'!$A:$AL,22,FALSE)+9,1)</f>
        <v>P</v>
      </c>
      <c r="AA173" s="102" t="str">
        <f>MID(VLOOKUP($A173,Seqs!$A:$B,2,FALSE),VLOOKUP($A173,'NonXtal_SegEnds_Prot#'!$A:$AL,22,FALSE)+10,1)</f>
        <v>A</v>
      </c>
      <c r="AB173" s="71" t="str">
        <f>MID(VLOOKUP($A173,Seqs!$A:$B,2,FALSE),VLOOKUP($A173,'NonXtal_SegEnds_Prot#'!$A:$AL,28,FALSE)-4,1)</f>
        <v>G</v>
      </c>
      <c r="AC173" s="102" t="str">
        <f>MID(VLOOKUP($A173,Seqs!$A:$B,2,FALSE),VLOOKUP($A173,'NonXtal_SegEnds_Prot#'!$A:$AL,28,FALSE),1)</f>
        <v>P</v>
      </c>
    </row>
    <row r="174" spans="1:29" s="2" customFormat="1" x14ac:dyDescent="0.2">
      <c r="A174" s="2" t="s">
        <v>485</v>
      </c>
      <c r="B174" s="2" t="str">
        <f>LOWER(VLOOKUP(A174,Xtal_Templ!A:B,2,FALSE))</f>
        <v>aa2ar_human</v>
      </c>
      <c r="C174" s="2" t="str">
        <f>VLOOKUP(A174,Classification!A:D,2,FALSE)</f>
        <v>A</v>
      </c>
      <c r="P174" s="4" t="s">
        <v>51</v>
      </c>
      <c r="R174" s="71" t="str">
        <f>MID(VLOOKUP($A174,Seqs!$A:$B,2,FALSE),VLOOKUP($A174,'NonXtal_SegEnds_Prot#'!A:AL,10,FALSE),1)</f>
        <v>D</v>
      </c>
      <c r="S174" s="102" t="str">
        <f>MID(VLOOKUP($A174,Seqs!$A:$B,2,FALSE),VLOOKUP($A174,'NonXtal_SegEnds_Prot#'!A:AL,10,FALSE)+6,1)</f>
        <v>Y</v>
      </c>
      <c r="T174" s="102" t="str">
        <f>MID(VLOOKUP($A174,Seqs!$A:$B,2,FALSE),VLOOKUP($A174,'NonXtal_SegEnds_Prot#'!A:AL,10,FALSE)+7,1)</f>
        <v>L</v>
      </c>
      <c r="U174" s="102" t="str">
        <f>MID(VLOOKUP($A174,Seqs!$A:$B,2,FALSE),VLOOKUP($A174,'NonXtal_SegEnds_Prot#'!A:AL,10,FALSE)+8,1)</f>
        <v>L</v>
      </c>
      <c r="V174" s="102" t="str">
        <f>MID(VLOOKUP($A174,Seqs!$A:$B,2,FALSE),VLOOKUP($A174,'NonXtal_SegEnds_Prot#'!A:AL,10,FALSE)+9,1)</f>
        <v>L</v>
      </c>
      <c r="W174" s="71" t="str">
        <f>MID(VLOOKUP($A174,Seqs!$A:$B,2,FALSE),VLOOKUP($A174,'NonXtal_SegEnds_Prot#'!$A:$AL,22,FALSE)+6,1)</f>
        <v>I</v>
      </c>
      <c r="X174" s="102" t="str">
        <f>MID(VLOOKUP($A174,Seqs!$A:$B,2,FALSE),VLOOKUP($A174,'NonXtal_SegEnds_Prot#'!$A:$AL,22,FALSE)+7,1)</f>
        <v>A</v>
      </c>
      <c r="Y174" s="102" t="str">
        <f>MID(VLOOKUP($A174,Seqs!$A:$B,2,FALSE),VLOOKUP($A174,'NonXtal_SegEnds_Prot#'!$A:$AL,22,FALSE)+8,1)</f>
        <v>M</v>
      </c>
      <c r="Z174" s="102" t="str">
        <f>MID(VLOOKUP($A174,Seqs!$A:$B,2,FALSE),VLOOKUP($A174,'NonXtal_SegEnds_Prot#'!$A:$AL,22,FALSE)+9,1)</f>
        <v>L</v>
      </c>
      <c r="AA174" s="102" t="str">
        <f>MID(VLOOKUP($A174,Seqs!$A:$B,2,FALSE),VLOOKUP($A174,'NonXtal_SegEnds_Prot#'!$A:$AL,22,FALSE)+10,1)</f>
        <v>P</v>
      </c>
      <c r="AB174" s="71" t="str">
        <f>MID(VLOOKUP($A174,Seqs!$A:$B,2,FALSE),VLOOKUP($A174,'NonXtal_SegEnds_Prot#'!$A:$AL,28,FALSE)-4,1)</f>
        <v>L</v>
      </c>
      <c r="AC174" s="102" t="str">
        <f>MID(VLOOKUP($A174,Seqs!$A:$B,2,FALSE),VLOOKUP($A174,'NonXtal_SegEnds_Prot#'!$A:$AL,28,FALSE),1)</f>
        <v>A</v>
      </c>
    </row>
    <row r="175" spans="1:29" s="2" customFormat="1" x14ac:dyDescent="0.2">
      <c r="A175" s="2" t="s">
        <v>486</v>
      </c>
      <c r="B175" s="2" t="str">
        <f>LOWER(VLOOKUP(A175,Xtal_Templ!A:B,2,FALSE))</f>
        <v>agtr1_human</v>
      </c>
      <c r="C175" s="2" t="str">
        <f>VLOOKUP(A175,Classification!A:D,2,FALSE)</f>
        <v>A</v>
      </c>
      <c r="N175" s="2" t="s">
        <v>43</v>
      </c>
      <c r="P175" s="4" t="s">
        <v>51</v>
      </c>
      <c r="R175" s="71" t="str">
        <f>MID(VLOOKUP($A175,Seqs!$A:$B,2,FALSE),VLOOKUP($A175,'NonXtal_SegEnds_Prot#'!A:AL,10,FALSE),1)</f>
        <v>D</v>
      </c>
      <c r="S175" s="102" t="str">
        <f>MID(VLOOKUP($A175,Seqs!$A:$B,2,FALSE),VLOOKUP($A175,'NonXtal_SegEnds_Prot#'!A:AL,10,FALSE)+6,1)</f>
        <v>T</v>
      </c>
      <c r="T175" s="102" t="str">
        <f>MID(VLOOKUP($A175,Seqs!$A:$B,2,FALSE),VLOOKUP($A175,'NonXtal_SegEnds_Prot#'!A:AL,10,FALSE)+7,1)</f>
        <v>A</v>
      </c>
      <c r="U175" s="102" t="str">
        <f>MID(VLOOKUP($A175,Seqs!$A:$B,2,FALSE),VLOOKUP($A175,'NonXtal_SegEnds_Prot#'!A:AL,10,FALSE)+8,1)</f>
        <v>P</v>
      </c>
      <c r="V175" s="102" t="str">
        <f>MID(VLOOKUP($A175,Seqs!$A:$B,2,FALSE),VLOOKUP($A175,'NonXtal_SegEnds_Prot#'!A:AL,10,FALSE)+9,1)</f>
        <v>F</v>
      </c>
      <c r="W175" s="71" t="str">
        <f>MID(VLOOKUP($A175,Seqs!$A:$B,2,FALSE),VLOOKUP($A175,'NonXtal_SegEnds_Prot#'!$A:$AL,22,FALSE)+6,1)</f>
        <v>L</v>
      </c>
      <c r="X175" s="102" t="str">
        <f>MID(VLOOKUP($A175,Seqs!$A:$B,2,FALSE),VLOOKUP($A175,'NonXtal_SegEnds_Prot#'!$A:$AL,22,FALSE)+7,1)</f>
        <v>A</v>
      </c>
      <c r="Y175" s="102" t="str">
        <f>MID(VLOOKUP($A175,Seqs!$A:$B,2,FALSE),VLOOKUP($A175,'NonXtal_SegEnds_Prot#'!$A:$AL,22,FALSE)+8,1)</f>
        <v>T</v>
      </c>
      <c r="Z175" s="102" t="str">
        <f>MID(VLOOKUP($A175,Seqs!$A:$B,2,FALSE),VLOOKUP($A175,'NonXtal_SegEnds_Prot#'!$A:$AL,22,FALSE)+9,1)</f>
        <v>P</v>
      </c>
      <c r="AA175" s="102" t="str">
        <f>MID(VLOOKUP($A175,Seqs!$A:$B,2,FALSE),VLOOKUP($A175,'NonXtal_SegEnds_Prot#'!$A:$AL,22,FALSE)+10,1)</f>
        <v>V</v>
      </c>
      <c r="AB175" s="71" t="str">
        <f>MID(VLOOKUP($A175,Seqs!$A:$B,2,FALSE),VLOOKUP($A175,'NonXtal_SegEnds_Prot#'!$A:$AL,28,FALSE)-4,1)</f>
        <v>G</v>
      </c>
      <c r="AC175" s="102" t="str">
        <f>MID(VLOOKUP($A175,Seqs!$A:$B,2,FALSE),VLOOKUP($A175,'NonXtal_SegEnds_Prot#'!$A:$AL,28,FALSE),1)</f>
        <v>P</v>
      </c>
    </row>
    <row r="176" spans="1:29" s="2" customFormat="1" x14ac:dyDescent="0.2">
      <c r="A176" s="2" t="s">
        <v>487</v>
      </c>
      <c r="B176" s="2" t="str">
        <f>LOWER(VLOOKUP(A176,Xtal_Templ!A:B,2,FALSE))</f>
        <v>cxcr4_human</v>
      </c>
      <c r="C176" s="2" t="str">
        <f>VLOOKUP(A176,Classification!A:D,2,FALSE)</f>
        <v>A</v>
      </c>
      <c r="K176" s="2" t="s">
        <v>59</v>
      </c>
      <c r="N176" s="2" t="s">
        <v>43</v>
      </c>
      <c r="P176" s="4" t="s">
        <v>51</v>
      </c>
      <c r="R176" s="71" t="str">
        <f>MID(VLOOKUP($A176,Seqs!$A:$B,2,FALSE),VLOOKUP($A176,'NonXtal_SegEnds_Prot#'!A:AL,10,FALSE),1)</f>
        <v>D</v>
      </c>
      <c r="S176" s="102" t="str">
        <f>MID(VLOOKUP($A176,Seqs!$A:$B,2,FALSE),VLOOKUP($A176,'NonXtal_SegEnds_Prot#'!A:AL,10,FALSE)+6,1)</f>
        <v>L</v>
      </c>
      <c r="T176" s="102" t="str">
        <f>MID(VLOOKUP($A176,Seqs!$A:$B,2,FALSE),VLOOKUP($A176,'NonXtal_SegEnds_Prot#'!A:AL,10,FALSE)+7,1)</f>
        <v>T</v>
      </c>
      <c r="U176" s="102" t="str">
        <f>MID(VLOOKUP($A176,Seqs!$A:$B,2,FALSE),VLOOKUP($A176,'NonXtal_SegEnds_Prot#'!A:AL,10,FALSE)+8,1)</f>
        <v>P</v>
      </c>
      <c r="V176" s="102" t="str">
        <f>MID(VLOOKUP($A176,Seqs!$A:$B,2,FALSE),VLOOKUP($A176,'NonXtal_SegEnds_Prot#'!A:AL,10,FALSE)+9,1)</f>
        <v>L</v>
      </c>
      <c r="W176" s="71" t="str">
        <f>MID(VLOOKUP($A176,Seqs!$A:$B,2,FALSE),VLOOKUP($A176,'NonXtal_SegEnds_Prot#'!$A:$AL,22,FALSE)+6,1)</f>
        <v>L</v>
      </c>
      <c r="X176" s="102" t="str">
        <f>MID(VLOOKUP($A176,Seqs!$A:$B,2,FALSE),VLOOKUP($A176,'NonXtal_SegEnds_Prot#'!$A:$AL,22,FALSE)+7,1)</f>
        <v>A</v>
      </c>
      <c r="Y176" s="102" t="str">
        <f>MID(VLOOKUP($A176,Seqs!$A:$B,2,FALSE),VLOOKUP($A176,'NonXtal_SegEnds_Prot#'!$A:$AL,22,FALSE)+8,1)</f>
        <v>V</v>
      </c>
      <c r="Z176" s="102" t="str">
        <f>MID(VLOOKUP($A176,Seqs!$A:$B,2,FALSE),VLOOKUP($A176,'NonXtal_SegEnds_Prot#'!$A:$AL,22,FALSE)+9,1)</f>
        <v>P</v>
      </c>
      <c r="AA176" s="102" t="str">
        <f>MID(VLOOKUP($A176,Seqs!$A:$B,2,FALSE),VLOOKUP($A176,'NonXtal_SegEnds_Prot#'!$A:$AL,22,FALSE)+10,1)</f>
        <v>A</v>
      </c>
      <c r="AB176" s="71" t="str">
        <f>MID(VLOOKUP($A176,Seqs!$A:$B,2,FALSE),VLOOKUP($A176,'NonXtal_SegEnds_Prot#'!$A:$AL,28,FALSE)-4,1)</f>
        <v>A</v>
      </c>
      <c r="AC176" s="102" t="str">
        <f>MID(VLOOKUP($A176,Seqs!$A:$B,2,FALSE),VLOOKUP($A176,'NonXtal_SegEnds_Prot#'!$A:$AL,28,FALSE),1)</f>
        <v>P</v>
      </c>
    </row>
    <row r="177" spans="1:29" s="2" customFormat="1" x14ac:dyDescent="0.2">
      <c r="A177" s="2" t="s">
        <v>488</v>
      </c>
      <c r="B177" s="2" t="str">
        <f>LOWER(VLOOKUP(A177,Xtal_Templ!A:B,2,FALSE))</f>
        <v>p2ry1_human</v>
      </c>
      <c r="C177" s="2" t="str">
        <f>VLOOKUP(A177,Classification!A:D,2,FALSE)</f>
        <v>A</v>
      </c>
      <c r="N177" s="2" t="s">
        <v>43</v>
      </c>
      <c r="P177" s="4" t="s">
        <v>51</v>
      </c>
      <c r="R177" s="71" t="str">
        <f>MID(VLOOKUP($A177,Seqs!$A:$B,2,FALSE),VLOOKUP($A177,'NonXtal_SegEnds_Prot#'!A:AL,10,FALSE),1)</f>
        <v>D</v>
      </c>
      <c r="S177" s="102" t="str">
        <f>MID(VLOOKUP($A177,Seqs!$A:$B,2,FALSE),VLOOKUP($A177,'NonXtal_SegEnds_Prot#'!A:AL,10,FALSE)+6,1)</f>
        <v>C</v>
      </c>
      <c r="T177" s="102" t="str">
        <f>MID(VLOOKUP($A177,Seqs!$A:$B,2,FALSE),VLOOKUP($A177,'NonXtal_SegEnds_Prot#'!A:AL,10,FALSE)+7,1)</f>
        <v>I</v>
      </c>
      <c r="U177" s="102" t="str">
        <f>MID(VLOOKUP($A177,Seqs!$A:$B,2,FALSE),VLOOKUP($A177,'NonXtal_SegEnds_Prot#'!A:AL,10,FALSE)+8,1)</f>
        <v>F</v>
      </c>
      <c r="V177" s="102" t="str">
        <f>MID(VLOOKUP($A177,Seqs!$A:$B,2,FALSE),VLOOKUP($A177,'NonXtal_SegEnds_Prot#'!A:AL,10,FALSE)+9,1)</f>
        <v>I</v>
      </c>
      <c r="W177" s="71" t="str">
        <f>MID(VLOOKUP($A177,Seqs!$A:$B,2,FALSE),VLOOKUP($A177,'NonXtal_SegEnds_Prot#'!$A:$AL,22,FALSE)+6,1)</f>
        <v>V</v>
      </c>
      <c r="X177" s="102" t="str">
        <f>MID(VLOOKUP($A177,Seqs!$A:$B,2,FALSE),VLOOKUP($A177,'NonXtal_SegEnds_Prot#'!$A:$AL,22,FALSE)+7,1)</f>
        <v>T</v>
      </c>
      <c r="Y177" s="102" t="str">
        <f>MID(VLOOKUP($A177,Seqs!$A:$B,2,FALSE),VLOOKUP($A177,'NonXtal_SegEnds_Prot#'!$A:$AL,22,FALSE)+8,1)</f>
        <v>T</v>
      </c>
      <c r="Z177" s="102" t="str">
        <f>MID(VLOOKUP($A177,Seqs!$A:$B,2,FALSE),VLOOKUP($A177,'NonXtal_SegEnds_Prot#'!$A:$AL,22,FALSE)+9,1)</f>
        <v>M</v>
      </c>
      <c r="AA177" s="102" t="str">
        <f>MID(VLOOKUP($A177,Seqs!$A:$B,2,FALSE),VLOOKUP($A177,'NonXtal_SegEnds_Prot#'!$A:$AL,22,FALSE)+10,1)</f>
        <v>E</v>
      </c>
      <c r="AB177" s="71" t="str">
        <f>MID(VLOOKUP($A177,Seqs!$A:$B,2,FALSE),VLOOKUP($A177,'NonXtal_SegEnds_Prot#'!$A:$AL,28,FALSE)-4,1)</f>
        <v>L</v>
      </c>
      <c r="AC177" s="102" t="str">
        <f>MID(VLOOKUP($A177,Seqs!$A:$B,2,FALSE),VLOOKUP($A177,'NonXtal_SegEnds_Prot#'!$A:$AL,28,FALSE),1)</f>
        <v>P</v>
      </c>
    </row>
    <row r="178" spans="1:29" s="2" customFormat="1" x14ac:dyDescent="0.2">
      <c r="A178" s="2" t="s">
        <v>489</v>
      </c>
      <c r="B178" s="2" t="str">
        <f>LOWER(VLOOKUP(A178,Xtal_Templ!A:B,2,FALSE))</f>
        <v>p2ry1_human</v>
      </c>
      <c r="C178" s="2" t="str">
        <f>VLOOKUP(A178,Classification!A:D,2,FALSE)</f>
        <v>A</v>
      </c>
      <c r="P178" s="4" t="s">
        <v>51</v>
      </c>
      <c r="R178" s="71" t="str">
        <f>MID(VLOOKUP($A178,Seqs!$A:$B,2,FALSE),VLOOKUP($A178,'NonXtal_SegEnds_Prot#'!A:AL,10,FALSE),1)</f>
        <v>D</v>
      </c>
      <c r="S178" s="102" t="str">
        <f>MID(VLOOKUP($A178,Seqs!$A:$B,2,FALSE),VLOOKUP($A178,'NonXtal_SegEnds_Prot#'!A:AL,10,FALSE)+6,1)</f>
        <v>C</v>
      </c>
      <c r="T178" s="102" t="str">
        <f>MID(VLOOKUP($A178,Seqs!$A:$B,2,FALSE),VLOOKUP($A178,'NonXtal_SegEnds_Prot#'!A:AL,10,FALSE)+7,1)</f>
        <v>S</v>
      </c>
      <c r="U178" s="102" t="str">
        <f>MID(VLOOKUP($A178,Seqs!$A:$B,2,FALSE),VLOOKUP($A178,'NonXtal_SegEnds_Prot#'!A:AL,10,FALSE)+8,1)</f>
        <v>A</v>
      </c>
      <c r="V178" s="102" t="str">
        <f>MID(VLOOKUP($A178,Seqs!$A:$B,2,FALSE),VLOOKUP($A178,'NonXtal_SegEnds_Prot#'!A:AL,10,FALSE)+9,1)</f>
        <v>V</v>
      </c>
      <c r="W178" s="71" t="str">
        <f>MID(VLOOKUP($A178,Seqs!$A:$B,2,FALSE),VLOOKUP($A178,'NonXtal_SegEnds_Prot#'!$A:$AL,22,FALSE)+6,1)</f>
        <v>I</v>
      </c>
      <c r="X178" s="102" t="str">
        <f>MID(VLOOKUP($A178,Seqs!$A:$B,2,FALSE),VLOOKUP($A178,'NonXtal_SegEnds_Prot#'!$A:$AL,22,FALSE)+7,1)</f>
        <v>N</v>
      </c>
      <c r="Y178" s="102" t="str">
        <f>MID(VLOOKUP($A178,Seqs!$A:$B,2,FALSE),VLOOKUP($A178,'NonXtal_SegEnds_Prot#'!$A:$AL,22,FALSE)+8,1)</f>
        <v>I</v>
      </c>
      <c r="Z178" s="102" t="str">
        <f>MID(VLOOKUP($A178,Seqs!$A:$B,2,FALSE),VLOOKUP($A178,'NonXtal_SegEnds_Prot#'!$A:$AL,22,FALSE)+9,1)</f>
        <v>V</v>
      </c>
      <c r="AA178" s="102" t="str">
        <f>MID(VLOOKUP($A178,Seqs!$A:$B,2,FALSE),VLOOKUP($A178,'NonXtal_SegEnds_Prot#'!$A:$AL,22,FALSE)+10,1)</f>
        <v>K</v>
      </c>
      <c r="AB178" s="71" t="str">
        <f>MID(VLOOKUP($A178,Seqs!$A:$B,2,FALSE),VLOOKUP($A178,'NonXtal_SegEnds_Prot#'!$A:$AL,28,FALSE)-4,1)</f>
        <v>A</v>
      </c>
      <c r="AC178" s="102" t="str">
        <f>MID(VLOOKUP($A178,Seqs!$A:$B,2,FALSE),VLOOKUP($A178,'NonXtal_SegEnds_Prot#'!$A:$AL,28,FALSE),1)</f>
        <v>L</v>
      </c>
    </row>
    <row r="179" spans="1:29" s="2" customFormat="1" x14ac:dyDescent="0.2">
      <c r="A179" s="2" t="s">
        <v>490</v>
      </c>
      <c r="B179" s="2" t="str">
        <f>LOWER(VLOOKUP(A179,Xtal_Templ!A:B,2,FALSE))</f>
        <v>s1pr1_human</v>
      </c>
      <c r="C179" s="2" t="str">
        <f>VLOOKUP(A179,Classification!A:D,2,FALSE)</f>
        <v>A</v>
      </c>
      <c r="P179" s="4" t="s">
        <v>51</v>
      </c>
      <c r="R179" s="71" t="str">
        <f>MID(VLOOKUP($A179,Seqs!$A:$B,2,FALSE),VLOOKUP($A179,'NonXtal_SegEnds_Prot#'!A:AL,10,FALSE),1)</f>
        <v>D</v>
      </c>
      <c r="S179" s="102" t="str">
        <f>MID(VLOOKUP($A179,Seqs!$A:$B,2,FALSE),VLOOKUP($A179,'NonXtal_SegEnds_Prot#'!A:AL,10,FALSE)+6,1)</f>
        <v>S</v>
      </c>
      <c r="T179" s="102" t="str">
        <f>MID(VLOOKUP($A179,Seqs!$A:$B,2,FALSE),VLOOKUP($A179,'NonXtal_SegEnds_Prot#'!A:AL,10,FALSE)+7,1)</f>
        <v>N</v>
      </c>
      <c r="U179" s="102" t="str">
        <f>MID(VLOOKUP($A179,Seqs!$A:$B,2,FALSE),VLOOKUP($A179,'NonXtal_SegEnds_Prot#'!A:AL,10,FALSE)+8,1)</f>
        <v>A</v>
      </c>
      <c r="V179" s="102" t="str">
        <f>MID(VLOOKUP($A179,Seqs!$A:$B,2,FALSE),VLOOKUP($A179,'NonXtal_SegEnds_Prot#'!A:AL,10,FALSE)+9,1)</f>
        <v>L</v>
      </c>
      <c r="W179" s="71" t="str">
        <f>MID(VLOOKUP($A179,Seqs!$A:$B,2,FALSE),VLOOKUP($A179,'NonXtal_SegEnds_Prot#'!$A:$AL,22,FALSE)+6,1)</f>
        <v>C</v>
      </c>
      <c r="X179" s="102" t="str">
        <f>MID(VLOOKUP($A179,Seqs!$A:$B,2,FALSE),VLOOKUP($A179,'NonXtal_SegEnds_Prot#'!$A:$AL,22,FALSE)+7,1)</f>
        <v>G</v>
      </c>
      <c r="Y179" s="102" t="str">
        <f>MID(VLOOKUP($A179,Seqs!$A:$B,2,FALSE),VLOOKUP($A179,'NonXtal_SegEnds_Prot#'!$A:$AL,22,FALSE)+8,1)</f>
        <v>V</v>
      </c>
      <c r="Z179" s="102" t="str">
        <f>MID(VLOOKUP($A179,Seqs!$A:$B,2,FALSE),VLOOKUP($A179,'NonXtal_SegEnds_Prot#'!$A:$AL,22,FALSE)+9,1)</f>
        <v>V</v>
      </c>
      <c r="AA179" s="102" t="str">
        <f>MID(VLOOKUP($A179,Seqs!$A:$B,2,FALSE),VLOOKUP($A179,'NonXtal_SegEnds_Prot#'!$A:$AL,22,FALSE)+10,1)</f>
        <v>F</v>
      </c>
      <c r="AB179" s="71" t="str">
        <f>MID(VLOOKUP($A179,Seqs!$A:$B,2,FALSE),VLOOKUP($A179,'NonXtal_SegEnds_Prot#'!$A:$AL,28,FALSE)-4,1)</f>
        <v>M</v>
      </c>
      <c r="AC179" s="102" t="str">
        <f>MID(VLOOKUP($A179,Seqs!$A:$B,2,FALSE),VLOOKUP($A179,'NonXtal_SegEnds_Prot#'!$A:$AL,28,FALSE),1)</f>
        <v>M</v>
      </c>
    </row>
    <row r="180" spans="1:29" s="2" customFormat="1" x14ac:dyDescent="0.2">
      <c r="A180" s="2" t="s">
        <v>491</v>
      </c>
      <c r="B180" s="2" t="str">
        <f>LOWER(VLOOKUP(A180,Xtal_Templ!A:B,2,FALSE))</f>
        <v>s1pr1_human</v>
      </c>
      <c r="C180" s="2" t="str">
        <f>VLOOKUP(A180,Classification!A:D,2,FALSE)</f>
        <v>A</v>
      </c>
      <c r="P180" s="4" t="s">
        <v>51</v>
      </c>
      <c r="R180" s="71" t="str">
        <f>MID(VLOOKUP($A180,Seqs!$A:$B,2,FALSE),VLOOKUP($A180,'NonXtal_SegEnds_Prot#'!A:AL,10,FALSE),1)</f>
        <v>D</v>
      </c>
      <c r="S180" s="102" t="str">
        <f>MID(VLOOKUP($A180,Seqs!$A:$B,2,FALSE),VLOOKUP($A180,'NonXtal_SegEnds_Prot#'!A:AL,10,FALSE)+6,1)</f>
        <v>S</v>
      </c>
      <c r="T180" s="102" t="str">
        <f>MID(VLOOKUP($A180,Seqs!$A:$B,2,FALSE),VLOOKUP($A180,'NonXtal_SegEnds_Prot#'!A:AL,10,FALSE)+7,1)</f>
        <v>N</v>
      </c>
      <c r="U180" s="102" t="str">
        <f>MID(VLOOKUP($A180,Seqs!$A:$B,2,FALSE),VLOOKUP($A180,'NonXtal_SegEnds_Prot#'!A:AL,10,FALSE)+8,1)</f>
        <v>G</v>
      </c>
      <c r="V180" s="102" t="str">
        <f>MID(VLOOKUP($A180,Seqs!$A:$B,2,FALSE),VLOOKUP($A180,'NonXtal_SegEnds_Prot#'!A:AL,10,FALSE)+9,1)</f>
        <v>S</v>
      </c>
      <c r="W180" s="71" t="str">
        <f>MID(VLOOKUP($A180,Seqs!$A:$B,2,FALSE),VLOOKUP($A180,'NonXtal_SegEnds_Prot#'!$A:$AL,22,FALSE)+6,1)</f>
        <v>S</v>
      </c>
      <c r="X180" s="102" t="str">
        <f>MID(VLOOKUP($A180,Seqs!$A:$B,2,FALSE),VLOOKUP($A180,'NonXtal_SegEnds_Prot#'!$A:$AL,22,FALSE)+7,1)</f>
        <v>G</v>
      </c>
      <c r="Y180" s="102" t="str">
        <f>MID(VLOOKUP($A180,Seqs!$A:$B,2,FALSE),VLOOKUP($A180,'NonXtal_SegEnds_Prot#'!$A:$AL,22,FALSE)+8,1)</f>
        <v>I</v>
      </c>
      <c r="Z180" s="102" t="str">
        <f>MID(VLOOKUP($A180,Seqs!$A:$B,2,FALSE),VLOOKUP($A180,'NonXtal_SegEnds_Prot#'!$A:$AL,22,FALSE)+9,1)</f>
        <v>L</v>
      </c>
      <c r="AA180" s="102" t="str">
        <f>MID(VLOOKUP($A180,Seqs!$A:$B,2,FALSE),VLOOKUP($A180,'NonXtal_SegEnds_Prot#'!$A:$AL,22,FALSE)+10,1)</f>
        <v>F</v>
      </c>
      <c r="AB180" s="71" t="str">
        <f>MID(VLOOKUP($A180,Seqs!$A:$B,2,FALSE),VLOOKUP($A180,'NonXtal_SegEnds_Prot#'!$A:$AL,28,FALSE)-4,1)</f>
        <v>M</v>
      </c>
      <c r="AC180" s="102" t="str">
        <f>MID(VLOOKUP($A180,Seqs!$A:$B,2,FALSE),VLOOKUP($A180,'NonXtal_SegEnds_Prot#'!$A:$AL,28,FALSE),1)</f>
        <v>M</v>
      </c>
    </row>
    <row r="181" spans="1:29" s="2" customFormat="1" x14ac:dyDescent="0.2">
      <c r="A181" s="2" t="s">
        <v>492</v>
      </c>
      <c r="B181" s="2" t="str">
        <f>LOWER(VLOOKUP(A181,Xtal_Templ!A:B,2,FALSE))</f>
        <v>aa2ar_human</v>
      </c>
      <c r="C181" s="2" t="str">
        <f>VLOOKUP(A181,Classification!A:D,2,FALSE)</f>
        <v>A</v>
      </c>
      <c r="P181" s="4" t="s">
        <v>51</v>
      </c>
      <c r="R181" s="71" t="str">
        <f>MID(VLOOKUP($A181,Seqs!$A:$B,2,FALSE),VLOOKUP($A181,'NonXtal_SegEnds_Prot#'!A:AL,10,FALSE),1)</f>
        <v>D</v>
      </c>
      <c r="S181" s="102" t="str">
        <f>MID(VLOOKUP($A181,Seqs!$A:$B,2,FALSE),VLOOKUP($A181,'NonXtal_SegEnds_Prot#'!A:AL,10,FALSE)+6,1)</f>
        <v>S</v>
      </c>
      <c r="T181" s="102" t="str">
        <f>MID(VLOOKUP($A181,Seqs!$A:$B,2,FALSE),VLOOKUP($A181,'NonXtal_SegEnds_Prot#'!A:AL,10,FALSE)+7,1)</f>
        <v>S</v>
      </c>
      <c r="U181" s="102" t="str">
        <f>MID(VLOOKUP($A181,Seqs!$A:$B,2,FALSE),VLOOKUP($A181,'NonXtal_SegEnds_Prot#'!A:AL,10,FALSE)+8,1)</f>
        <v>A</v>
      </c>
      <c r="V181" s="102" t="str">
        <f>MID(VLOOKUP($A181,Seqs!$A:$B,2,FALSE),VLOOKUP($A181,'NonXtal_SegEnds_Prot#'!A:AL,10,FALSE)+9,1)</f>
        <v>W</v>
      </c>
      <c r="W181" s="71" t="str">
        <f>MID(VLOOKUP($A181,Seqs!$A:$B,2,FALSE),VLOOKUP($A181,'NonXtal_SegEnds_Prot#'!$A:$AL,22,FALSE)+6,1)</f>
        <v>C</v>
      </c>
      <c r="X181" s="102" t="str">
        <f>MID(VLOOKUP($A181,Seqs!$A:$B,2,FALSE),VLOOKUP($A181,'NonXtal_SegEnds_Prot#'!$A:$AL,22,FALSE)+7,1)</f>
        <v>G</v>
      </c>
      <c r="Y181" s="102" t="str">
        <f>MID(VLOOKUP($A181,Seqs!$A:$B,2,FALSE),VLOOKUP($A181,'NonXtal_SegEnds_Prot#'!$A:$AL,22,FALSE)+8,1)</f>
        <v>I</v>
      </c>
      <c r="Z181" s="102" t="str">
        <f>MID(VLOOKUP($A181,Seqs!$A:$B,2,FALSE),VLOOKUP($A181,'NonXtal_SegEnds_Prot#'!$A:$AL,22,FALSE)+9,1)</f>
        <v>V</v>
      </c>
      <c r="AA181" s="102" t="str">
        <f>MID(VLOOKUP($A181,Seqs!$A:$B,2,FALSE),VLOOKUP($A181,'NonXtal_SegEnds_Prot#'!$A:$AL,22,FALSE)+10,1)</f>
        <v>F</v>
      </c>
      <c r="AB181" s="71" t="str">
        <f>MID(VLOOKUP($A181,Seqs!$A:$B,2,FALSE),VLOOKUP($A181,'NonXtal_SegEnds_Prot#'!$A:$AL,28,FALSE)-4,1)</f>
        <v>M</v>
      </c>
      <c r="AC181" s="102" t="str">
        <f>MID(VLOOKUP($A181,Seqs!$A:$B,2,FALSE),VLOOKUP($A181,'NonXtal_SegEnds_Prot#'!$A:$AL,28,FALSE),1)</f>
        <v>M</v>
      </c>
    </row>
    <row r="182" spans="1:29" s="2" customFormat="1" x14ac:dyDescent="0.2">
      <c r="A182" s="2" t="s">
        <v>493</v>
      </c>
      <c r="B182" s="2" t="str">
        <f>LOWER(VLOOKUP(A182,Xtal_Templ!A:B,2,FALSE))</f>
        <v>oprx_human</v>
      </c>
      <c r="C182" s="2" t="str">
        <f>VLOOKUP(A182,Classification!A:D,2,FALSE)</f>
        <v>A</v>
      </c>
      <c r="N182" s="2" t="s">
        <v>43</v>
      </c>
      <c r="P182" s="4" t="s">
        <v>51</v>
      </c>
      <c r="R182" s="71" t="str">
        <f>MID(VLOOKUP($A182,Seqs!$A:$B,2,FALSE),VLOOKUP($A182,'NonXtal_SegEnds_Prot#'!A:AL,10,FALSE),1)</f>
        <v>D</v>
      </c>
      <c r="S182" s="102" t="str">
        <f>MID(VLOOKUP($A182,Seqs!$A:$B,2,FALSE),VLOOKUP($A182,'NonXtal_SegEnds_Prot#'!A:AL,10,FALSE)+6,1)</f>
        <v>G</v>
      </c>
      <c r="T182" s="102" t="str">
        <f>MID(VLOOKUP($A182,Seqs!$A:$B,2,FALSE),VLOOKUP($A182,'NonXtal_SegEnds_Prot#'!A:AL,10,FALSE)+7,1)</f>
        <v>M</v>
      </c>
      <c r="U182" s="102" t="str">
        <f>MID(VLOOKUP($A182,Seqs!$A:$B,2,FALSE),VLOOKUP($A182,'NonXtal_SegEnds_Prot#'!A:AL,10,FALSE)+8,1)</f>
        <v>P</v>
      </c>
      <c r="V182" s="102" t="str">
        <f>MID(VLOOKUP($A182,Seqs!$A:$B,2,FALSE),VLOOKUP($A182,'NonXtal_SegEnds_Prot#'!A:AL,10,FALSE)+9,1)</f>
        <v>F</v>
      </c>
      <c r="W182" s="71" t="str">
        <f>MID(VLOOKUP($A182,Seqs!$A:$B,2,FALSE),VLOOKUP($A182,'NonXtal_SegEnds_Prot#'!$A:$AL,22,FALSE)+6,1)</f>
        <v>S</v>
      </c>
      <c r="X182" s="102" t="str">
        <f>MID(VLOOKUP($A182,Seqs!$A:$B,2,FALSE),VLOOKUP($A182,'NonXtal_SegEnds_Prot#'!$A:$AL,22,FALSE)+7,1)</f>
        <v>I</v>
      </c>
      <c r="Y182" s="102" t="str">
        <f>MID(VLOOKUP($A182,Seqs!$A:$B,2,FALSE),VLOOKUP($A182,'NonXtal_SegEnds_Prot#'!$A:$AL,22,FALSE)+8,1)</f>
        <v>T</v>
      </c>
      <c r="Z182" s="102" t="str">
        <f>MID(VLOOKUP($A182,Seqs!$A:$B,2,FALSE),VLOOKUP($A182,'NonXtal_SegEnds_Prot#'!$A:$AL,22,FALSE)+9,1)</f>
        <v>P</v>
      </c>
      <c r="AA182" s="102" t="str">
        <f>MID(VLOOKUP($A182,Seqs!$A:$B,2,FALSE),VLOOKUP($A182,'NonXtal_SegEnds_Prot#'!$A:$AL,22,FALSE)+10,1)</f>
        <v>V</v>
      </c>
      <c r="AB182" s="71" t="str">
        <f>MID(VLOOKUP($A182,Seqs!$A:$B,2,FALSE),VLOOKUP($A182,'NonXtal_SegEnds_Prot#'!$A:$AL,28,FALSE)-4,1)</f>
        <v>A</v>
      </c>
      <c r="AC182" s="102" t="str">
        <f>MID(VLOOKUP($A182,Seqs!$A:$B,2,FALSE),VLOOKUP($A182,'NonXtal_SegEnds_Prot#'!$A:$AL,28,FALSE),1)</f>
        <v>P</v>
      </c>
    </row>
    <row r="183" spans="1:29" s="2" customFormat="1" x14ac:dyDescent="0.2">
      <c r="A183" s="2" t="s">
        <v>494</v>
      </c>
      <c r="B183" s="2" t="str">
        <f>LOWER(VLOOKUP(A183,Xtal_Templ!A:B,2,FALSE))</f>
        <v>oprd_mouse</v>
      </c>
      <c r="C183" s="2" t="str">
        <f>VLOOKUP(A183,Classification!A:D,2,FALSE)</f>
        <v>A</v>
      </c>
      <c r="K183" s="2" t="s">
        <v>59</v>
      </c>
      <c r="N183" s="2" t="s">
        <v>43</v>
      </c>
      <c r="P183" s="4" t="s">
        <v>51</v>
      </c>
      <c r="R183" s="71" t="str">
        <f>MID(VLOOKUP($A183,Seqs!$A:$B,2,FALSE),VLOOKUP($A183,'NonXtal_SegEnds_Prot#'!A:AL,10,FALSE),1)</f>
        <v>D</v>
      </c>
      <c r="S183" s="102" t="str">
        <f>MID(VLOOKUP($A183,Seqs!$A:$B,2,FALSE),VLOOKUP($A183,'NonXtal_SegEnds_Prot#'!A:AL,10,FALSE)+6,1)</f>
        <v>G</v>
      </c>
      <c r="T183" s="102" t="str">
        <f>MID(VLOOKUP($A183,Seqs!$A:$B,2,FALSE),VLOOKUP($A183,'NonXtal_SegEnds_Prot#'!A:AL,10,FALSE)+7,1)</f>
        <v>M</v>
      </c>
      <c r="U183" s="102" t="str">
        <f>MID(VLOOKUP($A183,Seqs!$A:$B,2,FALSE),VLOOKUP($A183,'NonXtal_SegEnds_Prot#'!A:AL,10,FALSE)+8,1)</f>
        <v>P</v>
      </c>
      <c r="V183" s="102" t="str">
        <f>MID(VLOOKUP($A183,Seqs!$A:$B,2,FALSE),VLOOKUP($A183,'NonXtal_SegEnds_Prot#'!A:AL,10,FALSE)+9,1)</f>
        <v>F</v>
      </c>
      <c r="W183" s="71" t="str">
        <f>MID(VLOOKUP($A183,Seqs!$A:$B,2,FALSE),VLOOKUP($A183,'NonXtal_SegEnds_Prot#'!$A:$AL,22,FALSE)+6,1)</f>
        <v>L</v>
      </c>
      <c r="X183" s="102" t="str">
        <f>MID(VLOOKUP($A183,Seqs!$A:$B,2,FALSE),VLOOKUP($A183,'NonXtal_SegEnds_Prot#'!$A:$AL,22,FALSE)+7,1)</f>
        <v>A</v>
      </c>
      <c r="Y183" s="102" t="str">
        <f>MID(VLOOKUP($A183,Seqs!$A:$B,2,FALSE),VLOOKUP($A183,'NonXtal_SegEnds_Prot#'!$A:$AL,22,FALSE)+8,1)</f>
        <v>L</v>
      </c>
      <c r="Z183" s="102" t="str">
        <f>MID(VLOOKUP($A183,Seqs!$A:$B,2,FALSE),VLOOKUP($A183,'NonXtal_SegEnds_Prot#'!$A:$AL,22,FALSE)+9,1)</f>
        <v>P</v>
      </c>
      <c r="AA183" s="102" t="str">
        <f>MID(VLOOKUP($A183,Seqs!$A:$B,2,FALSE),VLOOKUP($A183,'NonXtal_SegEnds_Prot#'!$A:$AL,22,FALSE)+10,1)</f>
        <v>V</v>
      </c>
      <c r="AB183" s="71" t="str">
        <f>MID(VLOOKUP($A183,Seqs!$A:$B,2,FALSE),VLOOKUP($A183,'NonXtal_SegEnds_Prot#'!$A:$AL,28,FALSE)-4,1)</f>
        <v>T</v>
      </c>
      <c r="AC183" s="102" t="str">
        <f>MID(VLOOKUP($A183,Seqs!$A:$B,2,FALSE),VLOOKUP($A183,'NonXtal_SegEnds_Prot#'!$A:$AL,28,FALSE),1)</f>
        <v>P</v>
      </c>
    </row>
    <row r="184" spans="1:29" s="2" customFormat="1" x14ac:dyDescent="0.2">
      <c r="A184" s="2" t="s">
        <v>495</v>
      </c>
      <c r="B184" s="2" t="str">
        <f>LOWER(VLOOKUP(A184,Xtal_Templ!A:B,2,FALSE))</f>
        <v>p2ry1_human</v>
      </c>
      <c r="C184" s="2" t="str">
        <f>VLOOKUP(A184,Classification!A:D,2,FALSE)</f>
        <v>A</v>
      </c>
      <c r="N184" s="2" t="s">
        <v>43</v>
      </c>
      <c r="P184" s="4" t="s">
        <v>51</v>
      </c>
      <c r="R184" s="71" t="str">
        <f>MID(VLOOKUP($A184,Seqs!$A:$B,2,FALSE),VLOOKUP($A184,'NonXtal_SegEnds_Prot#'!A:AL,10,FALSE),1)</f>
        <v>D</v>
      </c>
      <c r="S184" s="102" t="str">
        <f>MID(VLOOKUP($A184,Seqs!$A:$B,2,FALSE),VLOOKUP($A184,'NonXtal_SegEnds_Prot#'!A:AL,10,FALSE)+6,1)</f>
        <v>S</v>
      </c>
      <c r="T184" s="102" t="str">
        <f>MID(VLOOKUP($A184,Seqs!$A:$B,2,FALSE),VLOOKUP($A184,'NonXtal_SegEnds_Prot#'!A:AL,10,FALSE)+7,1)</f>
        <v>M</v>
      </c>
      <c r="U184" s="102" t="str">
        <f>MID(VLOOKUP($A184,Seqs!$A:$B,2,FALSE),VLOOKUP($A184,'NonXtal_SegEnds_Prot#'!A:AL,10,FALSE)+8,1)</f>
        <v>A</v>
      </c>
      <c r="V184" s="102" t="str">
        <f>MID(VLOOKUP($A184,Seqs!$A:$B,2,FALSE),VLOOKUP($A184,'NonXtal_SegEnds_Prot#'!A:AL,10,FALSE)+9,1)</f>
        <v>S</v>
      </c>
      <c r="W184" s="71" t="str">
        <f>MID(VLOOKUP($A184,Seqs!$A:$B,2,FALSE),VLOOKUP($A184,'NonXtal_SegEnds_Prot#'!$A:$AL,22,FALSE)+6,1)</f>
        <v>M</v>
      </c>
      <c r="X184" s="102" t="str">
        <f>MID(VLOOKUP($A184,Seqs!$A:$B,2,FALSE),VLOOKUP($A184,'NonXtal_SegEnds_Prot#'!$A:$AL,22,FALSE)+7,1)</f>
        <v>N</v>
      </c>
      <c r="Y184" s="102" t="str">
        <f>MID(VLOOKUP($A184,Seqs!$A:$B,2,FALSE),VLOOKUP($A184,'NonXtal_SegEnds_Prot#'!$A:$AL,22,FALSE)+8,1)</f>
        <v>G</v>
      </c>
      <c r="Z184" s="102" t="str">
        <f>MID(VLOOKUP($A184,Seqs!$A:$B,2,FALSE),VLOOKUP($A184,'NonXtal_SegEnds_Prot#'!$A:$AL,22,FALSE)+9,1)</f>
        <v>L</v>
      </c>
      <c r="AA184" s="102" t="str">
        <f>MID(VLOOKUP($A184,Seqs!$A:$B,2,FALSE),VLOOKUP($A184,'NonXtal_SegEnds_Prot#'!$A:$AL,22,FALSE)+10,1)</f>
        <v>T</v>
      </c>
      <c r="AB184" s="71" t="str">
        <f>MID(VLOOKUP($A184,Seqs!$A:$B,2,FALSE),VLOOKUP($A184,'NonXtal_SegEnds_Prot#'!$A:$AL,28,FALSE)-4,1)</f>
        <v>G</v>
      </c>
      <c r="AC184" s="102" t="str">
        <f>MID(VLOOKUP($A184,Seqs!$A:$B,2,FALSE),VLOOKUP($A184,'NonXtal_SegEnds_Prot#'!$A:$AL,28,FALSE),1)</f>
        <v>P</v>
      </c>
    </row>
    <row r="185" spans="1:29" s="2" customFormat="1" x14ac:dyDescent="0.2">
      <c r="A185" s="2" t="s">
        <v>496</v>
      </c>
      <c r="B185" s="2" t="str">
        <f>LOWER(VLOOKUP(A185,Xtal_Templ!A:B,2,FALSE))</f>
        <v>par1_human</v>
      </c>
      <c r="C185" s="2" t="str">
        <f>VLOOKUP(A185,Classification!A:D,2,FALSE)</f>
        <v>A</v>
      </c>
      <c r="P185" s="4" t="s">
        <v>51</v>
      </c>
      <c r="R185" s="71" t="str">
        <f>MID(VLOOKUP($A185,Seqs!$A:$B,2,FALSE),VLOOKUP($A185,'NonXtal_SegEnds_Prot#'!A:AL,10,FALSE),1)</f>
        <v>D</v>
      </c>
      <c r="S185" s="102" t="str">
        <f>MID(VLOOKUP($A185,Seqs!$A:$B,2,FALSE),VLOOKUP($A185,'NonXtal_SegEnds_Prot#'!A:AL,10,FALSE)+6,1)</f>
        <v>C</v>
      </c>
      <c r="T185" s="102" t="str">
        <f>MID(VLOOKUP($A185,Seqs!$A:$B,2,FALSE),VLOOKUP($A185,'NonXtal_SegEnds_Prot#'!A:AL,10,FALSE)+7,1)</f>
        <v>H</v>
      </c>
      <c r="U185" s="102" t="str">
        <f>MID(VLOOKUP($A185,Seqs!$A:$B,2,FALSE),VLOOKUP($A185,'NonXtal_SegEnds_Prot#'!A:AL,10,FALSE)+8,1)</f>
        <v>M</v>
      </c>
      <c r="V185" s="102" t="str">
        <f>MID(VLOOKUP($A185,Seqs!$A:$B,2,FALSE),VLOOKUP($A185,'NonXtal_SegEnds_Prot#'!A:AL,10,FALSE)+9,1)</f>
        <v>V</v>
      </c>
      <c r="W185" s="71" t="str">
        <f>MID(VLOOKUP($A185,Seqs!$A:$B,2,FALSE),VLOOKUP($A185,'NonXtal_SegEnds_Prot#'!$A:$AL,22,FALSE)+6,1)</f>
        <v>L</v>
      </c>
      <c r="X185" s="102" t="str">
        <f>MID(VLOOKUP($A185,Seqs!$A:$B,2,FALSE),VLOOKUP($A185,'NonXtal_SegEnds_Prot#'!$A:$AL,22,FALSE)+7,1)</f>
        <v>H</v>
      </c>
      <c r="Y185" s="102" t="str">
        <f>MID(VLOOKUP($A185,Seqs!$A:$B,2,FALSE),VLOOKUP($A185,'NonXtal_SegEnds_Prot#'!$A:$AL,22,FALSE)+8,1)</f>
        <v>L</v>
      </c>
      <c r="Z185" s="102" t="str">
        <f>MID(VLOOKUP($A185,Seqs!$A:$B,2,FALSE),VLOOKUP($A185,'NonXtal_SegEnds_Prot#'!$A:$AL,22,FALSE)+9,1)</f>
        <v>L</v>
      </c>
      <c r="AA185" s="102" t="str">
        <f>MID(VLOOKUP($A185,Seqs!$A:$B,2,FALSE),VLOOKUP($A185,'NonXtal_SegEnds_Prot#'!$A:$AL,22,FALSE)+10,1)</f>
        <v>L</v>
      </c>
      <c r="AB185" s="71" t="str">
        <f>MID(VLOOKUP($A185,Seqs!$A:$B,2,FALSE),VLOOKUP($A185,'NonXtal_SegEnds_Prot#'!$A:$AL,28,FALSE)-4,1)</f>
        <v>A</v>
      </c>
      <c r="AC185" s="102" t="str">
        <f>MID(VLOOKUP($A185,Seqs!$A:$B,2,FALSE),VLOOKUP($A185,'NonXtal_SegEnds_Prot#'!$A:$AL,28,FALSE),1)</f>
        <v>C</v>
      </c>
    </row>
    <row r="186" spans="1:29" s="2" customFormat="1" x14ac:dyDescent="0.2">
      <c r="A186" s="2" t="s">
        <v>497</v>
      </c>
      <c r="B186" s="2" t="str">
        <f>LOWER(VLOOKUP(A186,Xtal_Templ!A:B,2,FALSE))</f>
        <v>p2ry1_human</v>
      </c>
      <c r="C186" s="2" t="str">
        <f>VLOOKUP(A186,Classification!A:D,2,FALSE)</f>
        <v>A</v>
      </c>
      <c r="N186" s="2" t="s">
        <v>43</v>
      </c>
      <c r="P186" s="4" t="s">
        <v>51</v>
      </c>
      <c r="R186" s="71" t="str">
        <f>MID(VLOOKUP($A186,Seqs!$A:$B,2,FALSE),VLOOKUP($A186,'NonXtal_SegEnds_Prot#'!A:AL,10,FALSE),1)</f>
        <v>D</v>
      </c>
      <c r="S186" s="102" t="str">
        <f>MID(VLOOKUP($A186,Seqs!$A:$B,2,FALSE),VLOOKUP($A186,'NonXtal_SegEnds_Prot#'!A:AL,10,FALSE)+6,1)</f>
        <v>S</v>
      </c>
      <c r="T186" s="102" t="str">
        <f>MID(VLOOKUP($A186,Seqs!$A:$B,2,FALSE),VLOOKUP($A186,'NonXtal_SegEnds_Prot#'!A:AL,10,FALSE)+7,1)</f>
        <v>K</v>
      </c>
      <c r="U186" s="102" t="str">
        <f>MID(VLOOKUP($A186,Seqs!$A:$B,2,FALSE),VLOOKUP($A186,'NonXtal_SegEnds_Prot#'!A:AL,10,FALSE)+8,1)</f>
        <v>A</v>
      </c>
      <c r="V186" s="102" t="str">
        <f>MID(VLOOKUP($A186,Seqs!$A:$B,2,FALSE),VLOOKUP($A186,'NonXtal_SegEnds_Prot#'!A:AL,10,FALSE)+9,1)</f>
        <v>V</v>
      </c>
      <c r="W186" s="71" t="str">
        <f>MID(VLOOKUP($A186,Seqs!$A:$B,2,FALSE),VLOOKUP($A186,'NonXtal_SegEnds_Prot#'!$A:$AL,22,FALSE)+6,1)</f>
        <v>V</v>
      </c>
      <c r="X186" s="102" t="str">
        <f>MID(VLOOKUP($A186,Seqs!$A:$B,2,FALSE),VLOOKUP($A186,'NonXtal_SegEnds_Prot#'!$A:$AL,22,FALSE)+7,1)</f>
        <v>T</v>
      </c>
      <c r="Y186" s="102" t="str">
        <f>MID(VLOOKUP($A186,Seqs!$A:$B,2,FALSE),VLOOKUP($A186,'NonXtal_SegEnds_Prot#'!$A:$AL,22,FALSE)+8,1)</f>
        <v>C</v>
      </c>
      <c r="Z186" s="102" t="str">
        <f>MID(VLOOKUP($A186,Seqs!$A:$B,2,FALSE),VLOOKUP($A186,'NonXtal_SegEnds_Prot#'!$A:$AL,22,FALSE)+9,1)</f>
        <v>L</v>
      </c>
      <c r="AA186" s="102" t="str">
        <f>MID(VLOOKUP($A186,Seqs!$A:$B,2,FALSE),VLOOKUP($A186,'NonXtal_SegEnds_Prot#'!$A:$AL,22,FALSE)+10,1)</f>
        <v>H</v>
      </c>
      <c r="AB186" s="71" t="str">
        <f>MID(VLOOKUP($A186,Seqs!$A:$B,2,FALSE),VLOOKUP($A186,'NonXtal_SegEnds_Prot#'!$A:$AL,28,FALSE)-4,1)</f>
        <v>L</v>
      </c>
      <c r="AC186" s="102" t="str">
        <f>MID(VLOOKUP($A186,Seqs!$A:$B,2,FALSE),VLOOKUP($A186,'NonXtal_SegEnds_Prot#'!$A:$AL,28,FALSE),1)</f>
        <v>P</v>
      </c>
    </row>
    <row r="187" spans="1:29" s="2" customFormat="1" x14ac:dyDescent="0.2">
      <c r="A187" s="2" t="s">
        <v>498</v>
      </c>
      <c r="B187" s="2" t="str">
        <f>LOWER(VLOOKUP(A187,Xtal_Templ!A:B,2,FALSE))</f>
        <v>agtr1_human</v>
      </c>
      <c r="C187" s="2" t="str">
        <f>VLOOKUP(A187,Classification!A:D,2,FALSE)</f>
        <v>A</v>
      </c>
      <c r="P187" s="4" t="s">
        <v>51</v>
      </c>
      <c r="R187" s="71" t="str">
        <f>MID(VLOOKUP($A187,Seqs!$A:$B,2,FALSE),VLOOKUP($A187,'NonXtal_SegEnds_Prot#'!A:AL,10,FALSE),1)</f>
        <v>D</v>
      </c>
      <c r="S187" s="102" t="str">
        <f>MID(VLOOKUP($A187,Seqs!$A:$B,2,FALSE),VLOOKUP($A187,'NonXtal_SegEnds_Prot#'!A:AL,10,FALSE)+6,1)</f>
        <v>C</v>
      </c>
      <c r="T187" s="102" t="str">
        <f>MID(VLOOKUP($A187,Seqs!$A:$B,2,FALSE),VLOOKUP($A187,'NonXtal_SegEnds_Prot#'!A:AL,10,FALSE)+7,1)</f>
        <v>R</v>
      </c>
      <c r="U187" s="102" t="str">
        <f>MID(VLOOKUP($A187,Seqs!$A:$B,2,FALSE),VLOOKUP($A187,'NonXtal_SegEnds_Prot#'!A:AL,10,FALSE)+8,1)</f>
        <v>V</v>
      </c>
      <c r="V187" s="102" t="str">
        <f>MID(VLOOKUP($A187,Seqs!$A:$B,2,FALSE),VLOOKUP($A187,'NonXtal_SegEnds_Prot#'!A:AL,10,FALSE)+9,1)</f>
        <v>G</v>
      </c>
      <c r="W187" s="71" t="str">
        <f>MID(VLOOKUP($A187,Seqs!$A:$B,2,FALSE),VLOOKUP($A187,'NonXtal_SegEnds_Prot#'!$A:$AL,22,FALSE)+6,1)</f>
        <v>A</v>
      </c>
      <c r="X187" s="102" t="str">
        <f>MID(VLOOKUP($A187,Seqs!$A:$B,2,FALSE),VLOOKUP($A187,'NonXtal_SegEnds_Prot#'!$A:$AL,22,FALSE)+7,1)</f>
        <v>V</v>
      </c>
      <c r="Y187" s="102" t="str">
        <f>MID(VLOOKUP($A187,Seqs!$A:$B,2,FALSE),VLOOKUP($A187,'NonXtal_SegEnds_Prot#'!$A:$AL,22,FALSE)+8,1)</f>
        <v>P</v>
      </c>
      <c r="Z187" s="102" t="str">
        <f>MID(VLOOKUP($A187,Seqs!$A:$B,2,FALSE),VLOOKUP($A187,'NonXtal_SegEnds_Prot#'!$A:$AL,22,FALSE)+9,1)</f>
        <v>L</v>
      </c>
      <c r="AA187" s="102" t="str">
        <f>MID(VLOOKUP($A187,Seqs!$A:$B,2,FALSE),VLOOKUP($A187,'NonXtal_SegEnds_Prot#'!$A:$AL,22,FALSE)+10,1)</f>
        <v>P</v>
      </c>
      <c r="AB187" s="71" t="str">
        <f>MID(VLOOKUP($A187,Seqs!$A:$B,2,FALSE),VLOOKUP($A187,'NonXtal_SegEnds_Prot#'!$A:$AL,28,FALSE)-4,1)</f>
        <v>L</v>
      </c>
      <c r="AC187" s="102" t="str">
        <f>MID(VLOOKUP($A187,Seqs!$A:$B,2,FALSE),VLOOKUP($A187,'NonXtal_SegEnds_Prot#'!$A:$AL,28,FALSE),1)</f>
        <v>R</v>
      </c>
    </row>
    <row r="188" spans="1:29" s="2" customFormat="1" x14ac:dyDescent="0.2">
      <c r="A188" s="2" t="s">
        <v>499</v>
      </c>
      <c r="B188" s="2" t="str">
        <f>LOWER(VLOOKUP(A188,Xtal_Templ!A:B,2,FALSE))</f>
        <v>p2ry1_human</v>
      </c>
      <c r="C188" s="2" t="str">
        <f>VLOOKUP(A188,Classification!A:D,2,FALSE)</f>
        <v>A</v>
      </c>
      <c r="P188" s="4" t="s">
        <v>51</v>
      </c>
      <c r="R188" s="71" t="str">
        <f>MID(VLOOKUP($A188,Seqs!$A:$B,2,FALSE),VLOOKUP($A188,'NonXtal_SegEnds_Prot#'!A:AL,10,FALSE),1)</f>
        <v>D</v>
      </c>
      <c r="S188" s="102" t="str">
        <f>MID(VLOOKUP($A188,Seqs!$A:$B,2,FALSE),VLOOKUP($A188,'NonXtal_SegEnds_Prot#'!A:AL,10,FALSE)+6,1)</f>
        <v>G</v>
      </c>
      <c r="T188" s="102" t="str">
        <f>MID(VLOOKUP($A188,Seqs!$A:$B,2,FALSE),VLOOKUP($A188,'NonXtal_SegEnds_Prot#'!A:AL,10,FALSE)+7,1)</f>
        <v>R</v>
      </c>
      <c r="U188" s="102" t="str">
        <f>MID(VLOOKUP($A188,Seqs!$A:$B,2,FALSE),VLOOKUP($A188,'NonXtal_SegEnds_Prot#'!A:AL,10,FALSE)+8,1)</f>
        <v>L</v>
      </c>
      <c r="V188" s="102" t="str">
        <f>MID(VLOOKUP($A188,Seqs!$A:$B,2,FALSE),VLOOKUP($A188,'NonXtal_SegEnds_Prot#'!A:AL,10,FALSE)+9,1)</f>
        <v>I</v>
      </c>
      <c r="W188" s="71" t="str">
        <f>MID(VLOOKUP($A188,Seqs!$A:$B,2,FALSE),VLOOKUP($A188,'NonXtal_SegEnds_Prot#'!$A:$AL,22,FALSE)+6,1)</f>
        <v>R</v>
      </c>
      <c r="X188" s="102" t="str">
        <f>MID(VLOOKUP($A188,Seqs!$A:$B,2,FALSE),VLOOKUP($A188,'NonXtal_SegEnds_Prot#'!$A:$AL,22,FALSE)+7,1)</f>
        <v>S</v>
      </c>
      <c r="Y188" s="102" t="str">
        <f>MID(VLOOKUP($A188,Seqs!$A:$B,2,FALSE),VLOOKUP($A188,'NonXtal_SegEnds_Prot#'!$A:$AL,22,FALSE)+8,1)</f>
        <v>I</v>
      </c>
      <c r="Z188" s="102" t="str">
        <f>MID(VLOOKUP($A188,Seqs!$A:$B,2,FALSE),VLOOKUP($A188,'NonXtal_SegEnds_Prot#'!$A:$AL,22,FALSE)+9,1)</f>
        <v>L</v>
      </c>
      <c r="AA188" s="102" t="str">
        <f>MID(VLOOKUP($A188,Seqs!$A:$B,2,FALSE),VLOOKUP($A188,'NonXtal_SegEnds_Prot#'!$A:$AL,22,FALSE)+10,1)</f>
        <v>E</v>
      </c>
      <c r="AB188" s="71" t="str">
        <f>MID(VLOOKUP($A188,Seqs!$A:$B,2,FALSE),VLOOKUP($A188,'NonXtal_SegEnds_Prot#'!$A:$AL,28,FALSE)-4,1)</f>
        <v>I</v>
      </c>
      <c r="AC188" s="102" t="str">
        <f>MID(VLOOKUP($A188,Seqs!$A:$B,2,FALSE),VLOOKUP($A188,'NonXtal_SegEnds_Prot#'!$A:$AL,28,FALSE),1)</f>
        <v>V</v>
      </c>
    </row>
    <row r="189" spans="1:29" s="2" customFormat="1" x14ac:dyDescent="0.2">
      <c r="A189" s="2" t="s">
        <v>500</v>
      </c>
      <c r="B189" s="2" t="str">
        <f>LOWER(VLOOKUP(A189,Xtal_Templ!A:B,2,FALSE))</f>
        <v>agtr1_human</v>
      </c>
      <c r="C189" s="2" t="str">
        <f>VLOOKUP(A189,Classification!A:D,2,FALSE)</f>
        <v>A</v>
      </c>
      <c r="P189" s="4" t="s">
        <v>51</v>
      </c>
      <c r="R189" s="71" t="str">
        <f>MID(VLOOKUP($A189,Seqs!$A:$B,2,FALSE),VLOOKUP($A189,'NonXtal_SegEnds_Prot#'!A:AL,10,FALSE),1)</f>
        <v>D</v>
      </c>
      <c r="S189" s="102" t="str">
        <f>MID(VLOOKUP($A189,Seqs!$A:$B,2,FALSE),VLOOKUP($A189,'NonXtal_SegEnds_Prot#'!A:AL,10,FALSE)+6,1)</f>
        <v>F</v>
      </c>
      <c r="T189" s="102" t="str">
        <f>MID(VLOOKUP($A189,Seqs!$A:$B,2,FALSE),VLOOKUP($A189,'NonXtal_SegEnds_Prot#'!A:AL,10,FALSE)+7,1)</f>
        <v>Q</v>
      </c>
      <c r="U189" s="102" t="str">
        <f>MID(VLOOKUP($A189,Seqs!$A:$B,2,FALSE),VLOOKUP($A189,'NonXtal_SegEnds_Prot#'!A:AL,10,FALSE)+8,1)</f>
        <v>I</v>
      </c>
      <c r="V189" s="102" t="str">
        <f>MID(VLOOKUP($A189,Seqs!$A:$B,2,FALSE),VLOOKUP($A189,'NonXtal_SegEnds_Prot#'!A:AL,10,FALSE)+9,1)</f>
        <v>I</v>
      </c>
      <c r="W189" s="71" t="str">
        <f>MID(VLOOKUP($A189,Seqs!$A:$B,2,FALSE),VLOOKUP($A189,'NonXtal_SegEnds_Prot#'!$A:$AL,22,FALSE)+6,1)</f>
        <v>L</v>
      </c>
      <c r="X189" s="102" t="str">
        <f>MID(VLOOKUP($A189,Seqs!$A:$B,2,FALSE),VLOOKUP($A189,'NonXtal_SegEnds_Prot#'!$A:$AL,22,FALSE)+7,1)</f>
        <v>S</v>
      </c>
      <c r="Y189" s="102" t="str">
        <f>MID(VLOOKUP($A189,Seqs!$A:$B,2,FALSE),VLOOKUP($A189,'NonXtal_SegEnds_Prot#'!$A:$AL,22,FALSE)+8,1)</f>
        <v>I</v>
      </c>
      <c r="Z189" s="102" t="str">
        <f>MID(VLOOKUP($A189,Seqs!$A:$B,2,FALSE),VLOOKUP($A189,'NonXtal_SegEnds_Prot#'!$A:$AL,22,FALSE)+9,1)</f>
        <v>L</v>
      </c>
      <c r="AA189" s="102" t="str">
        <f>MID(VLOOKUP($A189,Seqs!$A:$B,2,FALSE),VLOOKUP($A189,'NonXtal_SegEnds_Prot#'!$A:$AL,22,FALSE)+10,1)</f>
        <v>E</v>
      </c>
      <c r="AB189" s="71" t="str">
        <f>MID(VLOOKUP($A189,Seqs!$A:$B,2,FALSE),VLOOKUP($A189,'NonXtal_SegEnds_Prot#'!$A:$AL,28,FALSE)-4,1)</f>
        <v>I</v>
      </c>
      <c r="AC189" s="102" t="str">
        <f>MID(VLOOKUP($A189,Seqs!$A:$B,2,FALSE),VLOOKUP($A189,'NonXtal_SegEnds_Prot#'!$A:$AL,28,FALSE),1)</f>
        <v>M</v>
      </c>
    </row>
    <row r="190" spans="1:29" s="2" customFormat="1" x14ac:dyDescent="0.2">
      <c r="A190" s="2" t="s">
        <v>501</v>
      </c>
      <c r="B190" s="2" t="str">
        <f>LOWER(VLOOKUP(A190,Xtal_Templ!A:B,2,FALSE))</f>
        <v>p2y12_human</v>
      </c>
      <c r="C190" s="2" t="str">
        <f>VLOOKUP(A190,Classification!A:D,2,FALSE)</f>
        <v>A</v>
      </c>
      <c r="P190" s="4" t="s">
        <v>51</v>
      </c>
      <c r="R190" s="71" t="str">
        <f>MID(VLOOKUP($A190,Seqs!$A:$B,2,FALSE),VLOOKUP($A190,'NonXtal_SegEnds_Prot#'!A:AL,10,FALSE),1)</f>
        <v>D</v>
      </c>
      <c r="S190" s="102" t="str">
        <f>MID(VLOOKUP($A190,Seqs!$A:$B,2,FALSE),VLOOKUP($A190,'NonXtal_SegEnds_Prot#'!A:AL,10,FALSE)+6,1)</f>
        <v>G</v>
      </c>
      <c r="T190" s="102" t="str">
        <f>MID(VLOOKUP($A190,Seqs!$A:$B,2,FALSE),VLOOKUP($A190,'NonXtal_SegEnds_Prot#'!A:AL,10,FALSE)+7,1)</f>
        <v>H</v>
      </c>
      <c r="U190" s="102" t="str">
        <f>MID(VLOOKUP($A190,Seqs!$A:$B,2,FALSE),VLOOKUP($A190,'NonXtal_SegEnds_Prot#'!A:AL,10,FALSE)+8,1)</f>
        <v>I</v>
      </c>
      <c r="V190" s="102" t="str">
        <f>MID(VLOOKUP($A190,Seqs!$A:$B,2,FALSE),VLOOKUP($A190,'NonXtal_SegEnds_Prot#'!A:AL,10,FALSE)+9,1)</f>
        <v>I</v>
      </c>
      <c r="W190" s="71" t="str">
        <f>MID(VLOOKUP($A190,Seqs!$A:$B,2,FALSE),VLOOKUP($A190,'NonXtal_SegEnds_Prot#'!$A:$AL,22,FALSE)+6,1)</f>
        <v>R</v>
      </c>
      <c r="X190" s="102" t="str">
        <f>MID(VLOOKUP($A190,Seqs!$A:$B,2,FALSE),VLOOKUP($A190,'NonXtal_SegEnds_Prot#'!$A:$AL,22,FALSE)+7,1)</f>
        <v>S</v>
      </c>
      <c r="Y190" s="102" t="str">
        <f>MID(VLOOKUP($A190,Seqs!$A:$B,2,FALSE),VLOOKUP($A190,'NonXtal_SegEnds_Prot#'!$A:$AL,22,FALSE)+8,1)</f>
        <v>I</v>
      </c>
      <c r="Z190" s="102" t="str">
        <f>MID(VLOOKUP($A190,Seqs!$A:$B,2,FALSE),VLOOKUP($A190,'NonXtal_SegEnds_Prot#'!$A:$AL,22,FALSE)+9,1)</f>
        <v>L</v>
      </c>
      <c r="AA190" s="102" t="str">
        <f>MID(VLOOKUP($A190,Seqs!$A:$B,2,FALSE),VLOOKUP($A190,'NonXtal_SegEnds_Prot#'!$A:$AL,22,FALSE)+10,1)</f>
        <v>E</v>
      </c>
      <c r="AB190" s="71" t="str">
        <f>MID(VLOOKUP($A190,Seqs!$A:$B,2,FALSE),VLOOKUP($A190,'NonXtal_SegEnds_Prot#'!$A:$AL,28,FALSE)-4,1)</f>
        <v>V</v>
      </c>
      <c r="AC190" s="102" t="str">
        <f>MID(VLOOKUP($A190,Seqs!$A:$B,2,FALSE),VLOOKUP($A190,'NonXtal_SegEnds_Prot#'!$A:$AL,28,FALSE),1)</f>
        <v>V</v>
      </c>
    </row>
    <row r="191" spans="1:29" s="2" customFormat="1" x14ac:dyDescent="0.2">
      <c r="A191" s="2" t="s">
        <v>502</v>
      </c>
      <c r="B191" s="2" t="str">
        <f>LOWER(VLOOKUP(A191,Xtal_Templ!A:B,2,FALSE))</f>
        <v>oprk_human</v>
      </c>
      <c r="C191" s="2" t="str">
        <f>VLOOKUP(A191,Classification!A:D,2,FALSE)</f>
        <v>A</v>
      </c>
      <c r="P191" s="4" t="s">
        <v>51</v>
      </c>
      <c r="R191" s="71" t="str">
        <f>MID(VLOOKUP($A191,Seqs!$A:$B,2,FALSE),VLOOKUP($A191,'NonXtal_SegEnds_Prot#'!A:AL,10,FALSE),1)</f>
        <v>D</v>
      </c>
      <c r="S191" s="102" t="str">
        <f>MID(VLOOKUP($A191,Seqs!$A:$B,2,FALSE),VLOOKUP($A191,'NonXtal_SegEnds_Prot#'!A:AL,10,FALSE)+6,1)</f>
        <v>F</v>
      </c>
      <c r="T191" s="102" t="str">
        <f>MID(VLOOKUP($A191,Seqs!$A:$B,2,FALSE),VLOOKUP($A191,'NonXtal_SegEnds_Prot#'!A:AL,10,FALSE)+7,1)</f>
        <v>Q</v>
      </c>
      <c r="U191" s="102" t="str">
        <f>MID(VLOOKUP($A191,Seqs!$A:$B,2,FALSE),VLOOKUP($A191,'NonXtal_SegEnds_Prot#'!A:AL,10,FALSE)+8,1)</f>
        <v>I</v>
      </c>
      <c r="V191" s="102" t="str">
        <f>MID(VLOOKUP($A191,Seqs!$A:$B,2,FALSE),VLOOKUP($A191,'NonXtal_SegEnds_Prot#'!A:AL,10,FALSE)+9,1)</f>
        <v>I</v>
      </c>
      <c r="W191" s="71" t="str">
        <f>MID(VLOOKUP($A191,Seqs!$A:$B,2,FALSE),VLOOKUP($A191,'NonXtal_SegEnds_Prot#'!$A:$AL,22,FALSE)+6,1)</f>
        <v>F</v>
      </c>
      <c r="X191" s="102" t="str">
        <f>MID(VLOOKUP($A191,Seqs!$A:$B,2,FALSE),VLOOKUP($A191,'NonXtal_SegEnds_Prot#'!$A:$AL,22,FALSE)+7,1)</f>
        <v>S</v>
      </c>
      <c r="Y191" s="102" t="str">
        <f>MID(VLOOKUP($A191,Seqs!$A:$B,2,FALSE),VLOOKUP($A191,'NonXtal_SegEnds_Prot#'!$A:$AL,22,FALSE)+8,1)</f>
        <v>M</v>
      </c>
      <c r="Z191" s="102" t="str">
        <f>MID(VLOOKUP($A191,Seqs!$A:$B,2,FALSE),VLOOKUP($A191,'NonXtal_SegEnds_Prot#'!$A:$AL,22,FALSE)+9,1)</f>
        <v>L</v>
      </c>
      <c r="AA191" s="102" t="str">
        <f>MID(VLOOKUP($A191,Seqs!$A:$B,2,FALSE),VLOOKUP($A191,'NonXtal_SegEnds_Prot#'!$A:$AL,22,FALSE)+10,1)</f>
        <v>E</v>
      </c>
      <c r="AB191" s="71" t="str">
        <f>MID(VLOOKUP($A191,Seqs!$A:$B,2,FALSE),VLOOKUP($A191,'NonXtal_SegEnds_Prot#'!$A:$AL,28,FALSE)-4,1)</f>
        <v>I</v>
      </c>
      <c r="AC191" s="102" t="str">
        <f>MID(VLOOKUP($A191,Seqs!$A:$B,2,FALSE),VLOOKUP($A191,'NonXtal_SegEnds_Prot#'!$A:$AL,28,FALSE),1)</f>
        <v>V</v>
      </c>
    </row>
    <row r="192" spans="1:29" s="2" customFormat="1" x14ac:dyDescent="0.2">
      <c r="A192" s="2" t="s">
        <v>503</v>
      </c>
      <c r="B192" s="2" t="str">
        <f>LOWER(VLOOKUP(A192,Xtal_Templ!A:B,2,FALSE))</f>
        <v>s1pr1_human</v>
      </c>
      <c r="C192" s="2" t="str">
        <f>VLOOKUP(A192,Classification!A:D,2,FALSE)</f>
        <v>A</v>
      </c>
      <c r="P192" s="4" t="s">
        <v>51</v>
      </c>
      <c r="R192" s="71" t="str">
        <f>MID(VLOOKUP($A192,Seqs!$A:$B,2,FALSE),VLOOKUP($A192,'NonXtal_SegEnds_Prot#'!A:AL,10,FALSE),1)</f>
        <v>D</v>
      </c>
      <c r="S192" s="102" t="str">
        <f>MID(VLOOKUP($A192,Seqs!$A:$B,2,FALSE),VLOOKUP($A192,'NonXtal_SegEnds_Prot#'!A:AL,10,FALSE)+6,1)</f>
        <v>S</v>
      </c>
      <c r="T192" s="102" t="str">
        <f>MID(VLOOKUP($A192,Seqs!$A:$B,2,FALSE),VLOOKUP($A192,'NonXtal_SegEnds_Prot#'!A:AL,10,FALSE)+7,1)</f>
        <v>N</v>
      </c>
      <c r="U192" s="102" t="str">
        <f>MID(VLOOKUP($A192,Seqs!$A:$B,2,FALSE),VLOOKUP($A192,'NonXtal_SegEnds_Prot#'!A:AL,10,FALSE)+8,1)</f>
        <v>V</v>
      </c>
      <c r="V192" s="102" t="str">
        <f>MID(VLOOKUP($A192,Seqs!$A:$B,2,FALSE),VLOOKUP($A192,'NonXtal_SegEnds_Prot#'!A:AL,10,FALSE)+9,1)</f>
        <v>L</v>
      </c>
      <c r="W192" s="71" t="str">
        <f>MID(VLOOKUP($A192,Seqs!$A:$B,2,FALSE),VLOOKUP($A192,'NonXtal_SegEnds_Prot#'!$A:$AL,22,FALSE)+6,1)</f>
        <v>F</v>
      </c>
      <c r="X192" s="102" t="str">
        <f>MID(VLOOKUP($A192,Seqs!$A:$B,2,FALSE),VLOOKUP($A192,'NonXtal_SegEnds_Prot#'!$A:$AL,22,FALSE)+7,1)</f>
        <v>S</v>
      </c>
      <c r="Y192" s="102" t="str">
        <f>MID(VLOOKUP($A192,Seqs!$A:$B,2,FALSE),VLOOKUP($A192,'NonXtal_SegEnds_Prot#'!$A:$AL,22,FALSE)+8,1)</f>
        <v>T</v>
      </c>
      <c r="Z192" s="102" t="str">
        <f>MID(VLOOKUP($A192,Seqs!$A:$B,2,FALSE),VLOOKUP($A192,'NonXtal_SegEnds_Prot#'!$A:$AL,22,FALSE)+9,1)</f>
        <v>L</v>
      </c>
      <c r="AA192" s="102" t="str">
        <f>MID(VLOOKUP($A192,Seqs!$A:$B,2,FALSE),VLOOKUP($A192,'NonXtal_SegEnds_Prot#'!$A:$AL,22,FALSE)+10,1)</f>
        <v>F</v>
      </c>
      <c r="AB192" s="71" t="str">
        <f>MID(VLOOKUP($A192,Seqs!$A:$B,2,FALSE),VLOOKUP($A192,'NonXtal_SegEnds_Prot#'!$A:$AL,28,FALSE)-4,1)</f>
        <v>F</v>
      </c>
      <c r="AC192" s="102" t="str">
        <f>MID(VLOOKUP($A192,Seqs!$A:$B,2,FALSE),VLOOKUP($A192,'NonXtal_SegEnds_Prot#'!$A:$AL,28,FALSE),1)</f>
        <v>M</v>
      </c>
    </row>
    <row r="193" spans="1:29" s="2" customFormat="1" x14ac:dyDescent="0.2">
      <c r="A193" s="2" t="s">
        <v>504</v>
      </c>
      <c r="B193" s="2" t="str">
        <f>LOWER(VLOOKUP(A193,Xtal_Templ!A:B,2,FALSE))</f>
        <v>ntr1_rat</v>
      </c>
      <c r="C193" s="2" t="str">
        <f>VLOOKUP(A193,Classification!A:D,2,FALSE)</f>
        <v>A</v>
      </c>
      <c r="K193" s="2" t="s">
        <v>59</v>
      </c>
      <c r="N193" s="2" t="s">
        <v>43</v>
      </c>
      <c r="P193" s="4" t="s">
        <v>51</v>
      </c>
      <c r="R193" s="71" t="str">
        <f>MID(VLOOKUP($A193,Seqs!$A:$B,2,FALSE),VLOOKUP($A193,'NonXtal_SegEnds_Prot#'!A:AL,10,FALSE),1)</f>
        <v>D</v>
      </c>
      <c r="S193" s="102" t="str">
        <f>MID(VLOOKUP($A193,Seqs!$A:$B,2,FALSE),VLOOKUP($A193,'NonXtal_SegEnds_Prot#'!A:AL,10,FALSE)+6,1)</f>
        <v>G</v>
      </c>
      <c r="T193" s="102" t="str">
        <f>MID(VLOOKUP($A193,Seqs!$A:$B,2,FALSE),VLOOKUP($A193,'NonXtal_SegEnds_Prot#'!A:AL,10,FALSE)+7,1)</f>
        <v>L</v>
      </c>
      <c r="U193" s="102" t="str">
        <f>MID(VLOOKUP($A193,Seqs!$A:$B,2,FALSE),VLOOKUP($A193,'NonXtal_SegEnds_Prot#'!A:AL,10,FALSE)+8,1)</f>
        <v>P</v>
      </c>
      <c r="V193" s="102" t="str">
        <f>MID(VLOOKUP($A193,Seqs!$A:$B,2,FALSE),VLOOKUP($A193,'NonXtal_SegEnds_Prot#'!A:AL,10,FALSE)+9,1)</f>
        <v>F</v>
      </c>
      <c r="W193" s="71" t="str">
        <f>MID(VLOOKUP($A193,Seqs!$A:$B,2,FALSE),VLOOKUP($A193,'NonXtal_SegEnds_Prot#'!$A:$AL,22,FALSE)+6,1)</f>
        <v>S</v>
      </c>
      <c r="X193" s="102" t="str">
        <f>MID(VLOOKUP($A193,Seqs!$A:$B,2,FALSE),VLOOKUP($A193,'NonXtal_SegEnds_Prot#'!$A:$AL,22,FALSE)+7,1)</f>
        <v>A</v>
      </c>
      <c r="Y193" s="102" t="str">
        <f>MID(VLOOKUP($A193,Seqs!$A:$B,2,FALSE),VLOOKUP($A193,'NonXtal_SegEnds_Prot#'!$A:$AL,22,FALSE)+8,1)</f>
        <v>G</v>
      </c>
      <c r="Z193" s="102" t="str">
        <f>MID(VLOOKUP($A193,Seqs!$A:$B,2,FALSE),VLOOKUP($A193,'NonXtal_SegEnds_Prot#'!$A:$AL,22,FALSE)+9,1)</f>
        <v>P</v>
      </c>
      <c r="AA193" s="102" t="str">
        <f>MID(VLOOKUP($A193,Seqs!$A:$B,2,FALSE),VLOOKUP($A193,'NonXtal_SegEnds_Prot#'!$A:$AL,22,FALSE)+10,1)</f>
        <v>F</v>
      </c>
      <c r="AB193" s="71" t="str">
        <f>MID(VLOOKUP($A193,Seqs!$A:$B,2,FALSE),VLOOKUP($A193,'NonXtal_SegEnds_Prot#'!$A:$AL,28,FALSE)-4,1)</f>
        <v>Y</v>
      </c>
      <c r="AC193" s="102" t="str">
        <f>MID(VLOOKUP($A193,Seqs!$A:$B,2,FALSE),VLOOKUP($A193,'NonXtal_SegEnds_Prot#'!$A:$AL,28,FALSE),1)</f>
        <v>P</v>
      </c>
    </row>
    <row r="194" spans="1:29" s="2" customFormat="1" x14ac:dyDescent="0.2">
      <c r="A194" s="2" t="s">
        <v>505</v>
      </c>
      <c r="B194" s="2" t="str">
        <f>LOWER(VLOOKUP(A194,Xtal_Templ!A:B,2,FALSE))</f>
        <v>adrb1_melga</v>
      </c>
      <c r="C194" s="2" t="str">
        <f>VLOOKUP(A194,Classification!A:D,2,FALSE)</f>
        <v>A</v>
      </c>
      <c r="K194" s="2" t="s">
        <v>59</v>
      </c>
      <c r="N194" s="2" t="s">
        <v>43</v>
      </c>
      <c r="P194" s="4" t="s">
        <v>51</v>
      </c>
      <c r="R194" s="71" t="str">
        <f>MID(VLOOKUP($A194,Seqs!$A:$B,2,FALSE),VLOOKUP($A194,'NonXtal_SegEnds_Prot#'!A:AL,10,FALSE),1)</f>
        <v>D</v>
      </c>
      <c r="S194" s="102" t="str">
        <f>MID(VLOOKUP($A194,Seqs!$A:$B,2,FALSE),VLOOKUP($A194,'NonXtal_SegEnds_Prot#'!A:AL,10,FALSE)+6,1)</f>
        <v>Y</v>
      </c>
      <c r="T194" s="102" t="str">
        <f>MID(VLOOKUP($A194,Seqs!$A:$B,2,FALSE),VLOOKUP($A194,'NonXtal_SegEnds_Prot#'!A:AL,10,FALSE)+7,1)</f>
        <v>P</v>
      </c>
      <c r="U194" s="102" t="str">
        <f>MID(VLOOKUP($A194,Seqs!$A:$B,2,FALSE),VLOOKUP($A194,'NonXtal_SegEnds_Prot#'!A:AL,10,FALSE)+8,1)</f>
        <v>Y</v>
      </c>
      <c r="V194" s="102" t="str">
        <f>MID(VLOOKUP($A194,Seqs!$A:$B,2,FALSE),VLOOKUP($A194,'NonXtal_SegEnds_Prot#'!A:AL,10,FALSE)+9,1)</f>
        <v>P</v>
      </c>
      <c r="W194" s="71" t="str">
        <f>MID(VLOOKUP($A194,Seqs!$A:$B,2,FALSE),VLOOKUP($A194,'NonXtal_SegEnds_Prot#'!$A:$AL,22,FALSE)+6,1)</f>
        <v>A</v>
      </c>
      <c r="X194" s="102" t="str">
        <f>MID(VLOOKUP($A194,Seqs!$A:$B,2,FALSE),VLOOKUP($A194,'NonXtal_SegEnds_Prot#'!$A:$AL,22,FALSE)+7,1)</f>
        <v>V</v>
      </c>
      <c r="Y194" s="102" t="str">
        <f>MID(VLOOKUP($A194,Seqs!$A:$B,2,FALSE),VLOOKUP($A194,'NonXtal_SegEnds_Prot#'!$A:$AL,22,FALSE)+8,1)</f>
        <v>L</v>
      </c>
      <c r="Z194" s="102" t="str">
        <f>MID(VLOOKUP($A194,Seqs!$A:$B,2,FALSE),VLOOKUP($A194,'NonXtal_SegEnds_Prot#'!$A:$AL,22,FALSE)+9,1)</f>
        <v>P</v>
      </c>
      <c r="AA194" s="102" t="str">
        <f>MID(VLOOKUP($A194,Seqs!$A:$B,2,FALSE),VLOOKUP($A194,'NonXtal_SegEnds_Prot#'!$A:$AL,22,FALSE)+10,1)</f>
        <v>N</v>
      </c>
      <c r="AB194" s="71" t="str">
        <f>MID(VLOOKUP($A194,Seqs!$A:$B,2,FALSE),VLOOKUP($A194,'NonXtal_SegEnds_Prot#'!$A:$AL,28,FALSE)-4,1)</f>
        <v>H</v>
      </c>
      <c r="AC194" s="102" t="str">
        <f>MID(VLOOKUP($A194,Seqs!$A:$B,2,FALSE),VLOOKUP($A194,'NonXtal_SegEnds_Prot#'!$A:$AL,28,FALSE),1)</f>
        <v>P</v>
      </c>
    </row>
    <row r="195" spans="1:29" s="2" customFormat="1" x14ac:dyDescent="0.2">
      <c r="A195" s="2" t="s">
        <v>506</v>
      </c>
      <c r="B195" s="2" t="str">
        <f>LOWER(VLOOKUP(A195,Xtal_Templ!A:B,2,FALSE))</f>
        <v>ox2r_human</v>
      </c>
      <c r="C195" s="2" t="str">
        <f>VLOOKUP(A195,Classification!A:D,2,FALSE)</f>
        <v>A</v>
      </c>
      <c r="K195" s="2" t="s">
        <v>59</v>
      </c>
      <c r="N195" s="2" t="s">
        <v>43</v>
      </c>
      <c r="P195" s="4" t="s">
        <v>51</v>
      </c>
      <c r="R195" s="71" t="str">
        <f>MID(VLOOKUP($A195,Seqs!$A:$B,2,FALSE),VLOOKUP($A195,'NonXtal_SegEnds_Prot#'!A:AL,10,FALSE),1)</f>
        <v>D</v>
      </c>
      <c r="S195" s="102" t="str">
        <f>MID(VLOOKUP($A195,Seqs!$A:$B,2,FALSE),VLOOKUP($A195,'NonXtal_SegEnds_Prot#'!A:AL,10,FALSE)+6,1)</f>
        <v>Y</v>
      </c>
      <c r="T195" s="102" t="str">
        <f>MID(VLOOKUP($A195,Seqs!$A:$B,2,FALSE),VLOOKUP($A195,'NonXtal_SegEnds_Prot#'!A:AL,10,FALSE)+7,1)</f>
        <v>P</v>
      </c>
      <c r="U195" s="102" t="str">
        <f>MID(VLOOKUP($A195,Seqs!$A:$B,2,FALSE),VLOOKUP($A195,'NonXtal_SegEnds_Prot#'!A:AL,10,FALSE)+8,1)</f>
        <v>Y</v>
      </c>
      <c r="V195" s="102" t="str">
        <f>MID(VLOOKUP($A195,Seqs!$A:$B,2,FALSE),VLOOKUP($A195,'NonXtal_SegEnds_Prot#'!A:AL,10,FALSE)+9,1)</f>
        <v>P</v>
      </c>
      <c r="W195" s="71" t="str">
        <f>MID(VLOOKUP($A195,Seqs!$A:$B,2,FALSE),VLOOKUP($A195,'NonXtal_SegEnds_Prot#'!$A:$AL,22,FALSE)+6,1)</f>
        <v>A</v>
      </c>
      <c r="X195" s="102" t="str">
        <f>MID(VLOOKUP($A195,Seqs!$A:$B,2,FALSE),VLOOKUP($A195,'NonXtal_SegEnds_Prot#'!$A:$AL,22,FALSE)+7,1)</f>
        <v>L</v>
      </c>
      <c r="Y195" s="102" t="str">
        <f>MID(VLOOKUP($A195,Seqs!$A:$B,2,FALSE),VLOOKUP($A195,'NonXtal_SegEnds_Prot#'!$A:$AL,22,FALSE)+8,1)</f>
        <v>L</v>
      </c>
      <c r="Z195" s="102" t="str">
        <f>MID(VLOOKUP($A195,Seqs!$A:$B,2,FALSE),VLOOKUP($A195,'NonXtal_SegEnds_Prot#'!$A:$AL,22,FALSE)+9,1)</f>
        <v>P</v>
      </c>
      <c r="AA195" s="102" t="str">
        <f>MID(VLOOKUP($A195,Seqs!$A:$B,2,FALSE),VLOOKUP($A195,'NonXtal_SegEnds_Prot#'!$A:$AL,22,FALSE)+10,1)</f>
        <v>N</v>
      </c>
      <c r="AB195" s="71" t="str">
        <f>MID(VLOOKUP($A195,Seqs!$A:$B,2,FALSE),VLOOKUP($A195,'NonXtal_SegEnds_Prot#'!$A:$AL,28,FALSE)-4,1)</f>
        <v>H</v>
      </c>
      <c r="AC195" s="102" t="str">
        <f>MID(VLOOKUP($A195,Seqs!$A:$B,2,FALSE),VLOOKUP($A195,'NonXtal_SegEnds_Prot#'!$A:$AL,28,FALSE),1)</f>
        <v>P</v>
      </c>
    </row>
    <row r="196" spans="1:29" s="2" customFormat="1" x14ac:dyDescent="0.2">
      <c r="A196" s="2" t="s">
        <v>507</v>
      </c>
      <c r="B196" s="2" t="str">
        <f>LOWER(VLOOKUP(A196,Xtal_Templ!A:B,2,FALSE))</f>
        <v>ox2r_human</v>
      </c>
      <c r="C196" s="2" t="str">
        <f>VLOOKUP(A196,Classification!A:D,2,FALSE)</f>
        <v>A</v>
      </c>
      <c r="K196" s="2" t="s">
        <v>59</v>
      </c>
      <c r="N196" s="2" t="s">
        <v>43</v>
      </c>
      <c r="P196" s="4" t="s">
        <v>51</v>
      </c>
      <c r="R196" s="71" t="str">
        <f>MID(VLOOKUP($A196,Seqs!$A:$B,2,FALSE),VLOOKUP($A196,'NonXtal_SegEnds_Prot#'!A:AL,10,FALSE),1)</f>
        <v>D</v>
      </c>
      <c r="S196" s="102" t="str">
        <f>MID(VLOOKUP($A196,Seqs!$A:$B,2,FALSE),VLOOKUP($A196,'NonXtal_SegEnds_Prot#'!A:AL,10,FALSE)+6,1)</f>
        <v>Y</v>
      </c>
      <c r="T196" s="102" t="str">
        <f>MID(VLOOKUP($A196,Seqs!$A:$B,2,FALSE),VLOOKUP($A196,'NonXtal_SegEnds_Prot#'!A:AL,10,FALSE)+7,1)</f>
        <v>P</v>
      </c>
      <c r="U196" s="102" t="str">
        <f>MID(VLOOKUP($A196,Seqs!$A:$B,2,FALSE),VLOOKUP($A196,'NonXtal_SegEnds_Prot#'!A:AL,10,FALSE)+8,1)</f>
        <v>Y</v>
      </c>
      <c r="V196" s="102" t="str">
        <f>MID(VLOOKUP($A196,Seqs!$A:$B,2,FALSE),VLOOKUP($A196,'NonXtal_SegEnds_Prot#'!A:AL,10,FALSE)+9,1)</f>
        <v>P</v>
      </c>
      <c r="W196" s="71" t="str">
        <f>MID(VLOOKUP($A196,Seqs!$A:$B,2,FALSE),VLOOKUP($A196,'NonXtal_SegEnds_Prot#'!$A:$AL,22,FALSE)+6,1)</f>
        <v>A</v>
      </c>
      <c r="X196" s="102" t="str">
        <f>MID(VLOOKUP($A196,Seqs!$A:$B,2,FALSE),VLOOKUP($A196,'NonXtal_SegEnds_Prot#'!$A:$AL,22,FALSE)+7,1)</f>
        <v>V</v>
      </c>
      <c r="Y196" s="102" t="str">
        <f>MID(VLOOKUP($A196,Seqs!$A:$B,2,FALSE),VLOOKUP($A196,'NonXtal_SegEnds_Prot#'!$A:$AL,22,FALSE)+8,1)</f>
        <v>L</v>
      </c>
      <c r="Z196" s="102" t="str">
        <f>MID(VLOOKUP($A196,Seqs!$A:$B,2,FALSE),VLOOKUP($A196,'NonXtal_SegEnds_Prot#'!$A:$AL,22,FALSE)+9,1)</f>
        <v>P</v>
      </c>
      <c r="AA196" s="102" t="str">
        <f>MID(VLOOKUP($A196,Seqs!$A:$B,2,FALSE),VLOOKUP($A196,'NonXtal_SegEnds_Prot#'!$A:$AL,22,FALSE)+10,1)</f>
        <v>N</v>
      </c>
      <c r="AB196" s="71" t="str">
        <f>MID(VLOOKUP($A196,Seqs!$A:$B,2,FALSE),VLOOKUP($A196,'NonXtal_SegEnds_Prot#'!$A:$AL,28,FALSE)-4,1)</f>
        <v>H</v>
      </c>
      <c r="AC196" s="102" t="str">
        <f>MID(VLOOKUP($A196,Seqs!$A:$B,2,FALSE),VLOOKUP($A196,'NonXtal_SegEnds_Prot#'!$A:$AL,28,FALSE),1)</f>
        <v>P</v>
      </c>
    </row>
    <row r="197" spans="1:29" s="2" customFormat="1" x14ac:dyDescent="0.2">
      <c r="A197" s="2" t="s">
        <v>508</v>
      </c>
      <c r="B197" s="2" t="str">
        <f>LOWER(VLOOKUP(A197,Xtal_Templ!A:B,2,FALSE))</f>
        <v>ox2r_human</v>
      </c>
      <c r="C197" s="2" t="str">
        <f>VLOOKUP(A197,Classification!A:D,2,FALSE)</f>
        <v>A</v>
      </c>
      <c r="K197" s="2" t="s">
        <v>59</v>
      </c>
      <c r="N197" s="2" t="s">
        <v>43</v>
      </c>
      <c r="P197" s="4" t="s">
        <v>51</v>
      </c>
      <c r="R197" s="71" t="str">
        <f>MID(VLOOKUP($A197,Seqs!$A:$B,2,FALSE),VLOOKUP($A197,'NonXtal_SegEnds_Prot#'!A:AL,10,FALSE),1)</f>
        <v>E</v>
      </c>
      <c r="S197" s="102" t="str">
        <f>MID(VLOOKUP($A197,Seqs!$A:$B,2,FALSE),VLOOKUP($A197,'NonXtal_SegEnds_Prot#'!A:AL,10,FALSE)+6,1)</f>
        <v>F</v>
      </c>
      <c r="T197" s="102" t="str">
        <f>MID(VLOOKUP($A197,Seqs!$A:$B,2,FALSE),VLOOKUP($A197,'NonXtal_SegEnds_Prot#'!A:AL,10,FALSE)+7,1)</f>
        <v>N</v>
      </c>
      <c r="U197" s="102" t="str">
        <f>MID(VLOOKUP($A197,Seqs!$A:$B,2,FALSE),VLOOKUP($A197,'NonXtal_SegEnds_Prot#'!A:AL,10,FALSE)+8,1)</f>
        <v>T</v>
      </c>
      <c r="V197" s="102" t="str">
        <f>MID(VLOOKUP($A197,Seqs!$A:$B,2,FALSE),VLOOKUP($A197,'NonXtal_SegEnds_Prot#'!A:AL,10,FALSE)+9,1)</f>
        <v>V</v>
      </c>
      <c r="W197" s="71" t="str">
        <f>MID(VLOOKUP($A197,Seqs!$A:$B,2,FALSE),VLOOKUP($A197,'NonXtal_SegEnds_Prot#'!$A:$AL,22,FALSE)+6,1)</f>
        <v>L</v>
      </c>
      <c r="X197" s="102" t="str">
        <f>MID(VLOOKUP($A197,Seqs!$A:$B,2,FALSE),VLOOKUP($A197,'NonXtal_SegEnds_Prot#'!$A:$AL,22,FALSE)+7,1)</f>
        <v>A</v>
      </c>
      <c r="Y197" s="102" t="str">
        <f>MID(VLOOKUP($A197,Seqs!$A:$B,2,FALSE),VLOOKUP($A197,'NonXtal_SegEnds_Prot#'!$A:$AL,22,FALSE)+8,1)</f>
        <v>F</v>
      </c>
      <c r="Z197" s="102" t="str">
        <f>MID(VLOOKUP($A197,Seqs!$A:$B,2,FALSE),VLOOKUP($A197,'NonXtal_SegEnds_Prot#'!$A:$AL,22,FALSE)+9,1)</f>
        <v>P</v>
      </c>
      <c r="AA197" s="102" t="str">
        <f>MID(VLOOKUP($A197,Seqs!$A:$B,2,FALSE),VLOOKUP($A197,'NonXtal_SegEnds_Prot#'!$A:$AL,22,FALSE)+10,1)</f>
        <v>Q</v>
      </c>
      <c r="AB197" s="71" t="str">
        <f>MID(VLOOKUP($A197,Seqs!$A:$B,2,FALSE),VLOOKUP($A197,'NonXtal_SegEnds_Prot#'!$A:$AL,28,FALSE)-4,1)</f>
        <v>I</v>
      </c>
      <c r="AC197" s="102" t="str">
        <f>MID(VLOOKUP($A197,Seqs!$A:$B,2,FALSE),VLOOKUP($A197,'NonXtal_SegEnds_Prot#'!$A:$AL,28,FALSE),1)</f>
        <v>P</v>
      </c>
    </row>
    <row r="198" spans="1:29" s="2" customFormat="1" x14ac:dyDescent="0.2">
      <c r="A198" s="2" t="s">
        <v>509</v>
      </c>
      <c r="B198" s="2" t="str">
        <f>LOWER(VLOOKUP(A198,Xtal_Templ!A:B,2,FALSE))</f>
        <v>ox1r_human</v>
      </c>
      <c r="C198" s="2" t="str">
        <f>VLOOKUP(A198,Classification!A:D,2,FALSE)</f>
        <v>A</v>
      </c>
      <c r="N198" s="2" t="s">
        <v>43</v>
      </c>
      <c r="P198" s="4" t="s">
        <v>51</v>
      </c>
      <c r="R198" s="71" t="str">
        <f>MID(VLOOKUP($A198,Seqs!$A:$B,2,FALSE),VLOOKUP($A198,'NonXtal_SegEnds_Prot#'!A:AL,10,FALSE),1)</f>
        <v>D</v>
      </c>
      <c r="S198" s="102" t="str">
        <f>MID(VLOOKUP($A198,Seqs!$A:$B,2,FALSE),VLOOKUP($A198,'NonXtal_SegEnds_Prot#'!A:AL,10,FALSE)+6,1)</f>
        <v>F</v>
      </c>
      <c r="T198" s="102" t="str">
        <f>MID(VLOOKUP($A198,Seqs!$A:$B,2,FALSE),VLOOKUP($A198,'NonXtal_SegEnds_Prot#'!A:AL,10,FALSE)+7,1)</f>
        <v>N</v>
      </c>
      <c r="U198" s="102" t="str">
        <f>MID(VLOOKUP($A198,Seqs!$A:$B,2,FALSE),VLOOKUP($A198,'NonXtal_SegEnds_Prot#'!A:AL,10,FALSE)+8,1)</f>
        <v>A</v>
      </c>
      <c r="V198" s="102" t="str">
        <f>MID(VLOOKUP($A198,Seqs!$A:$B,2,FALSE),VLOOKUP($A198,'NonXtal_SegEnds_Prot#'!A:AL,10,FALSE)+9,1)</f>
        <v>A</v>
      </c>
      <c r="W198" s="71" t="str">
        <f>MID(VLOOKUP($A198,Seqs!$A:$B,2,FALSE),VLOOKUP($A198,'NonXtal_SegEnds_Prot#'!$A:$AL,22,FALSE)+6,1)</f>
        <v>L</v>
      </c>
      <c r="X198" s="102" t="str">
        <f>MID(VLOOKUP($A198,Seqs!$A:$B,2,FALSE),VLOOKUP($A198,'NonXtal_SegEnds_Prot#'!$A:$AL,22,FALSE)+7,1)</f>
        <v>A</v>
      </c>
      <c r="Y198" s="102" t="str">
        <f>MID(VLOOKUP($A198,Seqs!$A:$B,2,FALSE),VLOOKUP($A198,'NonXtal_SegEnds_Prot#'!$A:$AL,22,FALSE)+8,1)</f>
        <v>S</v>
      </c>
      <c r="Z198" s="102" t="str">
        <f>MID(VLOOKUP($A198,Seqs!$A:$B,2,FALSE),VLOOKUP($A198,'NonXtal_SegEnds_Prot#'!$A:$AL,22,FALSE)+9,1)</f>
        <v>P</v>
      </c>
      <c r="AA198" s="102" t="str">
        <f>MID(VLOOKUP($A198,Seqs!$A:$B,2,FALSE),VLOOKUP($A198,'NonXtal_SegEnds_Prot#'!$A:$AL,22,FALSE)+10,1)</f>
        <v>Q</v>
      </c>
      <c r="AB198" s="71" t="str">
        <f>MID(VLOOKUP($A198,Seqs!$A:$B,2,FALSE),VLOOKUP($A198,'NonXtal_SegEnds_Prot#'!$A:$AL,28,FALSE)-4,1)</f>
        <v>I</v>
      </c>
      <c r="AC198" s="102" t="str">
        <f>MID(VLOOKUP($A198,Seqs!$A:$B,2,FALSE),VLOOKUP($A198,'NonXtal_SegEnds_Prot#'!$A:$AL,28,FALSE),1)</f>
        <v>P</v>
      </c>
    </row>
    <row r="199" spans="1:29" s="2" customFormat="1" x14ac:dyDescent="0.2">
      <c r="A199" s="2" t="s">
        <v>510</v>
      </c>
      <c r="B199" s="2" t="str">
        <f>LOWER(VLOOKUP(A199,Xtal_Templ!A:B,2,FALSE))</f>
        <v>ox2r_human</v>
      </c>
      <c r="C199" s="2" t="str">
        <f>VLOOKUP(A199,Classification!A:D,2,FALSE)</f>
        <v>A</v>
      </c>
      <c r="K199" s="2" t="s">
        <v>59</v>
      </c>
      <c r="N199" s="2" t="s">
        <v>43</v>
      </c>
      <c r="P199" s="4" t="s">
        <v>51</v>
      </c>
      <c r="R199" s="71" t="str">
        <f>MID(VLOOKUP($A199,Seqs!$A:$B,2,FALSE),VLOOKUP($A199,'NonXtal_SegEnds_Prot#'!A:AL,10,FALSE),1)</f>
        <v>D</v>
      </c>
      <c r="S199" s="102" t="str">
        <f>MID(VLOOKUP($A199,Seqs!$A:$B,2,FALSE),VLOOKUP($A199,'NonXtal_SegEnds_Prot#'!A:AL,10,FALSE)+6,1)</f>
        <v>F</v>
      </c>
      <c r="T199" s="102" t="str">
        <f>MID(VLOOKUP($A199,Seqs!$A:$B,2,FALSE),VLOOKUP($A199,'NonXtal_SegEnds_Prot#'!A:AL,10,FALSE)+7,1)</f>
        <v>N</v>
      </c>
      <c r="U199" s="102" t="str">
        <f>MID(VLOOKUP($A199,Seqs!$A:$B,2,FALSE),VLOOKUP($A199,'NonXtal_SegEnds_Prot#'!A:AL,10,FALSE)+8,1)</f>
        <v>T</v>
      </c>
      <c r="V199" s="102" t="str">
        <f>MID(VLOOKUP($A199,Seqs!$A:$B,2,FALSE),VLOOKUP($A199,'NonXtal_SegEnds_Prot#'!A:AL,10,FALSE)+9,1)</f>
        <v>L</v>
      </c>
      <c r="W199" s="71" t="str">
        <f>MID(VLOOKUP($A199,Seqs!$A:$B,2,FALSE),VLOOKUP($A199,'NonXtal_SegEnds_Prot#'!$A:$AL,22,FALSE)+6,1)</f>
        <v>L</v>
      </c>
      <c r="X199" s="102" t="str">
        <f>MID(VLOOKUP($A199,Seqs!$A:$B,2,FALSE),VLOOKUP($A199,'NonXtal_SegEnds_Prot#'!$A:$AL,22,FALSE)+7,1)</f>
        <v>A</v>
      </c>
      <c r="Y199" s="102" t="str">
        <f>MID(VLOOKUP($A199,Seqs!$A:$B,2,FALSE),VLOOKUP($A199,'NonXtal_SegEnds_Prot#'!$A:$AL,22,FALSE)+8,1)</f>
        <v>F</v>
      </c>
      <c r="Z199" s="102" t="str">
        <f>MID(VLOOKUP($A199,Seqs!$A:$B,2,FALSE),VLOOKUP($A199,'NonXtal_SegEnds_Prot#'!$A:$AL,22,FALSE)+9,1)</f>
        <v>P</v>
      </c>
      <c r="AA199" s="102" t="str">
        <f>MID(VLOOKUP($A199,Seqs!$A:$B,2,FALSE),VLOOKUP($A199,'NonXtal_SegEnds_Prot#'!$A:$AL,22,FALSE)+10,1)</f>
        <v>Q</v>
      </c>
      <c r="AB199" s="71" t="str">
        <f>MID(VLOOKUP($A199,Seqs!$A:$B,2,FALSE),VLOOKUP($A199,'NonXtal_SegEnds_Prot#'!$A:$AL,28,FALSE)-4,1)</f>
        <v>V</v>
      </c>
      <c r="AC199" s="102" t="str">
        <f>MID(VLOOKUP($A199,Seqs!$A:$B,2,FALSE),VLOOKUP($A199,'NonXtal_SegEnds_Prot#'!$A:$AL,28,FALSE),1)</f>
        <v>P</v>
      </c>
    </row>
    <row r="200" spans="1:29" s="2" customFormat="1" x14ac:dyDescent="0.2">
      <c r="A200" s="2" t="s">
        <v>511</v>
      </c>
      <c r="B200" s="2" t="str">
        <f>LOWER(VLOOKUP(A200,Xtal_Templ!A:B,2,FALSE))</f>
        <v>ednrb_human</v>
      </c>
      <c r="C200" s="2" t="str">
        <f>VLOOKUP(A200,Classification!A:D,2,FALSE)</f>
        <v>A</v>
      </c>
      <c r="E200" s="2" t="s">
        <v>20</v>
      </c>
      <c r="K200" s="2" t="s">
        <v>59</v>
      </c>
      <c r="N200" s="2" t="s">
        <v>43</v>
      </c>
      <c r="P200" s="4" t="s">
        <v>51</v>
      </c>
      <c r="R200" s="71" t="str">
        <f>MID(VLOOKUP($A200,Seqs!$A:$B,2,FALSE),VLOOKUP($A200,'NonXtal_SegEnds_Prot#'!A:AL,10,FALSE),1)</f>
        <v>D</v>
      </c>
      <c r="S200" s="102" t="str">
        <f>MID(VLOOKUP($A200,Seqs!$A:$B,2,FALSE),VLOOKUP($A200,'NonXtal_SegEnds_Prot#'!A:AL,10,FALSE)+6,1)</f>
        <v>T</v>
      </c>
      <c r="T200" s="102" t="str">
        <f>MID(VLOOKUP($A200,Seqs!$A:$B,2,FALSE),VLOOKUP($A200,'NonXtal_SegEnds_Prot#'!A:AL,10,FALSE)+7,1)</f>
        <v>C</v>
      </c>
      <c r="U200" s="102" t="str">
        <f>MID(VLOOKUP($A200,Seqs!$A:$B,2,FALSE),VLOOKUP($A200,'NonXtal_SegEnds_Prot#'!A:AL,10,FALSE)+8,1)</f>
        <v>V</v>
      </c>
      <c r="V200" s="102" t="str">
        <f>MID(VLOOKUP($A200,Seqs!$A:$B,2,FALSE),VLOOKUP($A200,'NonXtal_SegEnds_Prot#'!A:AL,10,FALSE)+9,1)</f>
        <v>P</v>
      </c>
      <c r="W200" s="71" t="str">
        <f>MID(VLOOKUP($A200,Seqs!$A:$B,2,FALSE),VLOOKUP($A200,'NonXtal_SegEnds_Prot#'!$A:$AL,22,FALSE)+6,1)</f>
        <v>L</v>
      </c>
      <c r="X200" s="102" t="str">
        <f>MID(VLOOKUP($A200,Seqs!$A:$B,2,FALSE),VLOOKUP($A200,'NonXtal_SegEnds_Prot#'!$A:$AL,22,FALSE)+7,1)</f>
        <v>A</v>
      </c>
      <c r="Y200" s="102" t="str">
        <f>MID(VLOOKUP($A200,Seqs!$A:$B,2,FALSE),VLOOKUP($A200,'NonXtal_SegEnds_Prot#'!$A:$AL,22,FALSE)+8,1)</f>
        <v>V</v>
      </c>
      <c r="Z200" s="102" t="str">
        <f>MID(VLOOKUP($A200,Seqs!$A:$B,2,FALSE),VLOOKUP($A200,'NonXtal_SegEnds_Prot#'!$A:$AL,22,FALSE)+9,1)</f>
        <v>P</v>
      </c>
      <c r="AA200" s="102" t="str">
        <f>MID(VLOOKUP($A200,Seqs!$A:$B,2,FALSE),VLOOKUP($A200,'NonXtal_SegEnds_Prot#'!$A:$AL,22,FALSE)+10,1)</f>
        <v>E</v>
      </c>
      <c r="AB200" s="71" t="str">
        <f>MID(VLOOKUP($A200,Seqs!$A:$B,2,FALSE),VLOOKUP($A200,'NonXtal_SegEnds_Prot#'!$A:$AL,28,FALSE)-4,1)</f>
        <v>Y</v>
      </c>
      <c r="AC200" s="102" t="str">
        <f>MID(VLOOKUP($A200,Seqs!$A:$B,2,FALSE),VLOOKUP($A200,'NonXtal_SegEnds_Prot#'!$A:$AL,28,FALSE),1)</f>
        <v>P</v>
      </c>
    </row>
    <row r="201" spans="1:29" s="2" customFormat="1" x14ac:dyDescent="0.2">
      <c r="A201" s="2" t="s">
        <v>512</v>
      </c>
      <c r="B201" s="2" t="str">
        <f>LOWER(VLOOKUP(A201,Xtal_Templ!A:B,2,FALSE))</f>
        <v>ntr1_rat</v>
      </c>
      <c r="C201" s="2" t="str">
        <f>VLOOKUP(A201,Classification!A:D,2,FALSE)</f>
        <v>A</v>
      </c>
      <c r="E201" s="2" t="s">
        <v>20</v>
      </c>
      <c r="K201" s="2" t="s">
        <v>59</v>
      </c>
      <c r="P201" s="4" t="s">
        <v>51</v>
      </c>
      <c r="R201" s="71" t="str">
        <f>MID(VLOOKUP($A201,Seqs!$A:$B,2,FALSE),VLOOKUP($A201,'NonXtal_SegEnds_Prot#'!A:AL,10,FALSE),1)</f>
        <v>D</v>
      </c>
      <c r="S201" s="102" t="str">
        <f>MID(VLOOKUP($A201,Seqs!$A:$B,2,FALSE),VLOOKUP($A201,'NonXtal_SegEnds_Prot#'!A:AL,10,FALSE)+6,1)</f>
        <v>V</v>
      </c>
      <c r="T201" s="102" t="str">
        <f>MID(VLOOKUP($A201,Seqs!$A:$B,2,FALSE),VLOOKUP($A201,'NonXtal_SegEnds_Prot#'!A:AL,10,FALSE)+7,1)</f>
        <v>G</v>
      </c>
      <c r="U201" s="102" t="str">
        <f>MID(VLOOKUP($A201,Seqs!$A:$B,2,FALSE),VLOOKUP($A201,'NonXtal_SegEnds_Prot#'!A:AL,10,FALSE)+8,1)</f>
        <v>L</v>
      </c>
      <c r="V201" s="102" t="str">
        <f>MID(VLOOKUP($A201,Seqs!$A:$B,2,FALSE),VLOOKUP($A201,'NonXtal_SegEnds_Prot#'!A:AL,10,FALSE)+9,1)</f>
        <v>P</v>
      </c>
      <c r="W201" s="71" t="str">
        <f>MID(VLOOKUP($A201,Seqs!$A:$B,2,FALSE),VLOOKUP($A201,'NonXtal_SegEnds_Prot#'!$A:$AL,22,FALSE)+6,1)</f>
        <v>C</v>
      </c>
      <c r="X201" s="102" t="str">
        <f>MID(VLOOKUP($A201,Seqs!$A:$B,2,FALSE),VLOOKUP($A201,'NonXtal_SegEnds_Prot#'!$A:$AL,22,FALSE)+7,1)</f>
        <v>S</v>
      </c>
      <c r="Y201" s="102" t="str">
        <f>MID(VLOOKUP($A201,Seqs!$A:$B,2,FALSE),VLOOKUP($A201,'NonXtal_SegEnds_Prot#'!$A:$AL,22,FALSE)+8,1)</f>
        <v>L</v>
      </c>
      <c r="Z201" s="102" t="str">
        <f>MID(VLOOKUP($A201,Seqs!$A:$B,2,FALSE),VLOOKUP($A201,'NonXtal_SegEnds_Prot#'!$A:$AL,22,FALSE)+9,1)</f>
        <v>P</v>
      </c>
      <c r="AA201" s="102" t="str">
        <f>MID(VLOOKUP($A201,Seqs!$A:$B,2,FALSE),VLOOKUP($A201,'NonXtal_SegEnds_Prot#'!$A:$AL,22,FALSE)+10,1)</f>
        <v>N</v>
      </c>
      <c r="AB201" s="71" t="str">
        <f>MID(VLOOKUP($A201,Seqs!$A:$B,2,FALSE),VLOOKUP($A201,'NonXtal_SegEnds_Prot#'!$A:$AL,28,FALSE)-4,1)</f>
        <v>F</v>
      </c>
      <c r="AC201" s="102" t="str">
        <f>MID(VLOOKUP($A201,Seqs!$A:$B,2,FALSE),VLOOKUP($A201,'NonXtal_SegEnds_Prot#'!$A:$AL,28,FALSE),1)</f>
        <v>P</v>
      </c>
    </row>
    <row r="202" spans="1:29" s="2" customFormat="1" x14ac:dyDescent="0.2">
      <c r="A202" s="2" t="s">
        <v>513</v>
      </c>
      <c r="B202" s="2" t="str">
        <f>LOWER(VLOOKUP(A202,Xtal_Templ!A:B,2,FALSE))</f>
        <v>ntr1_rat</v>
      </c>
      <c r="C202" s="2" t="str">
        <f>VLOOKUP(A202,Classification!A:D,2,FALSE)</f>
        <v>A</v>
      </c>
      <c r="E202" s="2" t="s">
        <v>20</v>
      </c>
      <c r="K202" s="2" t="s">
        <v>59</v>
      </c>
      <c r="P202" s="4" t="s">
        <v>51</v>
      </c>
      <c r="R202" s="71" t="str">
        <f>MID(VLOOKUP($A202,Seqs!$A:$B,2,FALSE),VLOOKUP($A202,'NonXtal_SegEnds_Prot#'!A:AL,10,FALSE),1)</f>
        <v>D</v>
      </c>
      <c r="S202" s="102" t="str">
        <f>MID(VLOOKUP($A202,Seqs!$A:$B,2,FALSE),VLOOKUP($A202,'NonXtal_SegEnds_Prot#'!A:AL,10,FALSE)+6,1)</f>
        <v>L</v>
      </c>
      <c r="T202" s="102" t="str">
        <f>MID(VLOOKUP($A202,Seqs!$A:$B,2,FALSE),VLOOKUP($A202,'NonXtal_SegEnds_Prot#'!A:AL,10,FALSE)+7,1)</f>
        <v>G</v>
      </c>
      <c r="U202" s="102" t="str">
        <f>MID(VLOOKUP($A202,Seqs!$A:$B,2,FALSE),VLOOKUP($A202,'NonXtal_SegEnds_Prot#'!A:AL,10,FALSE)+8,1)</f>
        <v>M</v>
      </c>
      <c r="V202" s="102" t="str">
        <f>MID(VLOOKUP($A202,Seqs!$A:$B,2,FALSE),VLOOKUP($A202,'NonXtal_SegEnds_Prot#'!A:AL,10,FALSE)+9,1)</f>
        <v>P</v>
      </c>
      <c r="W202" s="71" t="str">
        <f>MID(VLOOKUP($A202,Seqs!$A:$B,2,FALSE),VLOOKUP($A202,'NonXtal_SegEnds_Prot#'!$A:$AL,22,FALSE)+6,1)</f>
        <v>F</v>
      </c>
      <c r="X202" s="102" t="str">
        <f>MID(VLOOKUP($A202,Seqs!$A:$B,2,FALSE),VLOOKUP($A202,'NonXtal_SegEnds_Prot#'!$A:$AL,22,FALSE)+7,1)</f>
        <v>S</v>
      </c>
      <c r="Y202" s="102" t="str">
        <f>MID(VLOOKUP($A202,Seqs!$A:$B,2,FALSE),VLOOKUP($A202,'NonXtal_SegEnds_Prot#'!$A:$AL,22,FALSE)+8,1)</f>
        <v>L</v>
      </c>
      <c r="Z202" s="102" t="str">
        <f>MID(VLOOKUP($A202,Seqs!$A:$B,2,FALSE),VLOOKUP($A202,'NonXtal_SegEnds_Prot#'!$A:$AL,22,FALSE)+9,1)</f>
        <v>P</v>
      </c>
      <c r="AA202" s="102" t="str">
        <f>MID(VLOOKUP($A202,Seqs!$A:$B,2,FALSE),VLOOKUP($A202,'NonXtal_SegEnds_Prot#'!$A:$AL,22,FALSE)+10,1)</f>
        <v>N</v>
      </c>
      <c r="AB202" s="71" t="str">
        <f>MID(VLOOKUP($A202,Seqs!$A:$B,2,FALSE),VLOOKUP($A202,'NonXtal_SegEnds_Prot#'!$A:$AL,28,FALSE)-4,1)</f>
        <v>F</v>
      </c>
      <c r="AC202" s="102" t="str">
        <f>MID(VLOOKUP($A202,Seqs!$A:$B,2,FALSE),VLOOKUP($A202,'NonXtal_SegEnds_Prot#'!$A:$AL,28,FALSE),1)</f>
        <v>P</v>
      </c>
    </row>
    <row r="203" spans="1:29" s="2" customFormat="1" x14ac:dyDescent="0.2">
      <c r="A203" s="2" t="s">
        <v>514</v>
      </c>
      <c r="B203" s="2" t="str">
        <f>LOWER(VLOOKUP(A203,Xtal_Templ!A:B,2,FALSE))</f>
        <v>oprx_human</v>
      </c>
      <c r="C203" s="2" t="str">
        <f>VLOOKUP(A203,Classification!A:D,2,FALSE)</f>
        <v>A</v>
      </c>
      <c r="K203" s="2" t="s">
        <v>59</v>
      </c>
      <c r="N203" s="2" t="s">
        <v>43</v>
      </c>
      <c r="P203" s="4" t="s">
        <v>51</v>
      </c>
      <c r="R203" s="71" t="str">
        <f>MID(VLOOKUP($A203,Seqs!$A:$B,2,FALSE),VLOOKUP($A203,'NonXtal_SegEnds_Prot#'!A:AL,10,FALSE),1)</f>
        <v>D</v>
      </c>
      <c r="S203" s="102" t="str">
        <f>MID(VLOOKUP($A203,Seqs!$A:$B,2,FALSE),VLOOKUP($A203,'NonXtal_SegEnds_Prot#'!A:AL,10,FALSE)+6,1)</f>
        <v>V</v>
      </c>
      <c r="T203" s="102" t="str">
        <f>MID(VLOOKUP($A203,Seqs!$A:$B,2,FALSE),VLOOKUP($A203,'NonXtal_SegEnds_Prot#'!A:AL,10,FALSE)+7,1)</f>
        <v>L</v>
      </c>
      <c r="U203" s="102" t="str">
        <f>MID(VLOOKUP($A203,Seqs!$A:$B,2,FALSE),VLOOKUP($A203,'NonXtal_SegEnds_Prot#'!A:AL,10,FALSE)+8,1)</f>
        <v>P</v>
      </c>
      <c r="V203" s="102" t="str">
        <f>MID(VLOOKUP($A203,Seqs!$A:$B,2,FALSE),VLOOKUP($A203,'NonXtal_SegEnds_Prot#'!A:AL,10,FALSE)+9,1)</f>
        <v>I</v>
      </c>
      <c r="W203" s="71" t="str">
        <f>MID(VLOOKUP($A203,Seqs!$A:$B,2,FALSE),VLOOKUP($A203,'NonXtal_SegEnds_Prot#'!$A:$AL,22,FALSE)+6,1)</f>
        <v>V</v>
      </c>
      <c r="X203" s="102" t="str">
        <f>MID(VLOOKUP($A203,Seqs!$A:$B,2,FALSE),VLOOKUP($A203,'NonXtal_SegEnds_Prot#'!$A:$AL,22,FALSE)+7,1)</f>
        <v>V</v>
      </c>
      <c r="Y203" s="102" t="str">
        <f>MID(VLOOKUP($A203,Seqs!$A:$B,2,FALSE),VLOOKUP($A203,'NonXtal_SegEnds_Prot#'!$A:$AL,22,FALSE)+8,1)</f>
        <v>L</v>
      </c>
      <c r="Z203" s="102" t="str">
        <f>MID(VLOOKUP($A203,Seqs!$A:$B,2,FALSE),VLOOKUP($A203,'NonXtal_SegEnds_Prot#'!$A:$AL,22,FALSE)+9,1)</f>
        <v>P</v>
      </c>
      <c r="AA203" s="102" t="str">
        <f>MID(VLOOKUP($A203,Seqs!$A:$B,2,FALSE),VLOOKUP($A203,'NonXtal_SegEnds_Prot#'!$A:$AL,22,FALSE)+10,1)</f>
        <v>F</v>
      </c>
      <c r="AB203" s="71" t="str">
        <f>MID(VLOOKUP($A203,Seqs!$A:$B,2,FALSE),VLOOKUP($A203,'NonXtal_SegEnds_Prot#'!$A:$AL,28,FALSE)-4,1)</f>
        <v>G</v>
      </c>
      <c r="AC203" s="102" t="str">
        <f>MID(VLOOKUP($A203,Seqs!$A:$B,2,FALSE),VLOOKUP($A203,'NonXtal_SegEnds_Prot#'!$A:$AL,28,FALSE),1)</f>
        <v>P</v>
      </c>
    </row>
    <row r="204" spans="1:29" s="2" customFormat="1" x14ac:dyDescent="0.2">
      <c r="A204" s="2" t="s">
        <v>515</v>
      </c>
      <c r="B204" s="2" t="str">
        <f>LOWER(VLOOKUP(A204,Xtal_Templ!A:B,2,FALSE))</f>
        <v>oprd_mouse</v>
      </c>
      <c r="C204" s="2" t="str">
        <f>VLOOKUP(A204,Classification!A:D,2,FALSE)</f>
        <v>A</v>
      </c>
      <c r="K204" s="2" t="s">
        <v>59</v>
      </c>
      <c r="N204" s="2" t="s">
        <v>43</v>
      </c>
      <c r="P204" s="4" t="s">
        <v>51</v>
      </c>
      <c r="R204" s="71" t="str">
        <f>MID(VLOOKUP($A204,Seqs!$A:$B,2,FALSE),VLOOKUP($A204,'NonXtal_SegEnds_Prot#'!A:AL,10,FALSE),1)</f>
        <v>D</v>
      </c>
      <c r="S204" s="102" t="str">
        <f>MID(VLOOKUP($A204,Seqs!$A:$B,2,FALSE),VLOOKUP($A204,'NonXtal_SegEnds_Prot#'!A:AL,10,FALSE)+6,1)</f>
        <v>V</v>
      </c>
      <c r="T204" s="102" t="str">
        <f>MID(VLOOKUP($A204,Seqs!$A:$B,2,FALSE),VLOOKUP($A204,'NonXtal_SegEnds_Prot#'!A:AL,10,FALSE)+7,1)</f>
        <v>L</v>
      </c>
      <c r="U204" s="102" t="str">
        <f>MID(VLOOKUP($A204,Seqs!$A:$B,2,FALSE),VLOOKUP($A204,'NonXtal_SegEnds_Prot#'!A:AL,10,FALSE)+8,1)</f>
        <v>P</v>
      </c>
      <c r="V204" s="102" t="str">
        <f>MID(VLOOKUP($A204,Seqs!$A:$B,2,FALSE),VLOOKUP($A204,'NonXtal_SegEnds_Prot#'!A:AL,10,FALSE)+9,1)</f>
        <v>V</v>
      </c>
      <c r="W204" s="71" t="str">
        <f>MID(VLOOKUP($A204,Seqs!$A:$B,2,FALSE),VLOOKUP($A204,'NonXtal_SegEnds_Prot#'!$A:$AL,22,FALSE)+6,1)</f>
        <v>L</v>
      </c>
      <c r="X204" s="102" t="str">
        <f>MID(VLOOKUP($A204,Seqs!$A:$B,2,FALSE),VLOOKUP($A204,'NonXtal_SegEnds_Prot#'!$A:$AL,22,FALSE)+7,1)</f>
        <v>V</v>
      </c>
      <c r="Y204" s="102" t="str">
        <f>MID(VLOOKUP($A204,Seqs!$A:$B,2,FALSE),VLOOKUP($A204,'NonXtal_SegEnds_Prot#'!$A:$AL,22,FALSE)+8,1)</f>
        <v>L</v>
      </c>
      <c r="Z204" s="102" t="str">
        <f>MID(VLOOKUP($A204,Seqs!$A:$B,2,FALSE),VLOOKUP($A204,'NonXtal_SegEnds_Prot#'!$A:$AL,22,FALSE)+9,1)</f>
        <v>P</v>
      </c>
      <c r="AA204" s="102" t="str">
        <f>MID(VLOOKUP($A204,Seqs!$A:$B,2,FALSE),VLOOKUP($A204,'NonXtal_SegEnds_Prot#'!$A:$AL,22,FALSE)+10,1)</f>
        <v>F</v>
      </c>
      <c r="AB204" s="71" t="str">
        <f>MID(VLOOKUP($A204,Seqs!$A:$B,2,FALSE),VLOOKUP($A204,'NonXtal_SegEnds_Prot#'!$A:$AL,28,FALSE)-4,1)</f>
        <v>G</v>
      </c>
      <c r="AC204" s="102" t="str">
        <f>MID(VLOOKUP($A204,Seqs!$A:$B,2,FALSE),VLOOKUP($A204,'NonXtal_SegEnds_Prot#'!$A:$AL,28,FALSE),1)</f>
        <v>P</v>
      </c>
    </row>
    <row r="205" spans="1:29" s="2" customFormat="1" x14ac:dyDescent="0.2">
      <c r="A205" s="2" t="s">
        <v>516</v>
      </c>
      <c r="B205" s="2" t="str">
        <f>LOWER(VLOOKUP(A205,Xtal_Templ!A:B,2,FALSE))</f>
        <v>ox2r_human</v>
      </c>
      <c r="C205" s="2" t="str">
        <f>VLOOKUP(A205,Classification!A:D,2,FALSE)</f>
        <v>A</v>
      </c>
      <c r="E205" s="2" t="s">
        <v>20</v>
      </c>
      <c r="K205" s="2" t="s">
        <v>59</v>
      </c>
      <c r="N205" s="2" t="s">
        <v>43</v>
      </c>
      <c r="P205" s="4" t="s">
        <v>51</v>
      </c>
      <c r="R205" s="71" t="str">
        <f>MID(VLOOKUP($A205,Seqs!$A:$B,2,FALSE),VLOOKUP($A205,'NonXtal_SegEnds_Prot#'!A:AL,10,FALSE),1)</f>
        <v>D</v>
      </c>
      <c r="S205" s="102" t="str">
        <f>MID(VLOOKUP($A205,Seqs!$A:$B,2,FALSE),VLOOKUP($A205,'NonXtal_SegEnds_Prot#'!A:AL,10,FALSE)+6,1)</f>
        <v>F</v>
      </c>
      <c r="T205" s="102" t="str">
        <f>MID(VLOOKUP($A205,Seqs!$A:$B,2,FALSE),VLOOKUP($A205,'NonXtal_SegEnds_Prot#'!A:AL,10,FALSE)+7,1)</f>
        <v>C</v>
      </c>
      <c r="U205" s="102" t="str">
        <f>MID(VLOOKUP($A205,Seqs!$A:$B,2,FALSE),VLOOKUP($A205,'NonXtal_SegEnds_Prot#'!A:AL,10,FALSE)+8,1)</f>
        <v>M</v>
      </c>
      <c r="V205" s="102" t="str">
        <f>MID(VLOOKUP($A205,Seqs!$A:$B,2,FALSE),VLOOKUP($A205,'NonXtal_SegEnds_Prot#'!A:AL,10,FALSE)+9,1)</f>
        <v>P</v>
      </c>
      <c r="W205" s="71" t="str">
        <f>MID(VLOOKUP($A205,Seqs!$A:$B,2,FALSE),VLOOKUP($A205,'NonXtal_SegEnds_Prot#'!$A:$AL,22,FALSE)+6,1)</f>
        <v>I</v>
      </c>
      <c r="X205" s="102" t="str">
        <f>MID(VLOOKUP($A205,Seqs!$A:$B,2,FALSE),VLOOKUP($A205,'NonXtal_SegEnds_Prot#'!$A:$AL,22,FALSE)+7,1)</f>
        <v>M</v>
      </c>
      <c r="Y205" s="102" t="str">
        <f>MID(VLOOKUP($A205,Seqs!$A:$B,2,FALSE),VLOOKUP($A205,'NonXtal_SegEnds_Prot#'!$A:$AL,22,FALSE)+8,1)</f>
        <v>C</v>
      </c>
      <c r="Z205" s="102" t="str">
        <f>MID(VLOOKUP($A205,Seqs!$A:$B,2,FALSE),VLOOKUP($A205,'NonXtal_SegEnds_Prot#'!$A:$AL,22,FALSE)+9,1)</f>
        <v>P</v>
      </c>
      <c r="AA205" s="102" t="str">
        <f>MID(VLOOKUP($A205,Seqs!$A:$B,2,FALSE),VLOOKUP($A205,'NonXtal_SegEnds_Prot#'!$A:$AL,22,FALSE)+10,1)</f>
        <v>S</v>
      </c>
      <c r="AB205" s="71" t="str">
        <f>MID(VLOOKUP($A205,Seqs!$A:$B,2,FALSE),VLOOKUP($A205,'NonXtal_SegEnds_Prot#'!$A:$AL,28,FALSE)-4,1)</f>
        <v>I</v>
      </c>
      <c r="AC205" s="102" t="str">
        <f>MID(VLOOKUP($A205,Seqs!$A:$B,2,FALSE),VLOOKUP($A205,'NonXtal_SegEnds_Prot#'!$A:$AL,28,FALSE),1)</f>
        <v>P</v>
      </c>
    </row>
    <row r="206" spans="1:29" s="2" customFormat="1" x14ac:dyDescent="0.2">
      <c r="A206" s="2" t="s">
        <v>517</v>
      </c>
      <c r="B206" s="2" t="str">
        <f>LOWER(VLOOKUP(A206,Xtal_Templ!A:B,2,FALSE))</f>
        <v>ox1r_human</v>
      </c>
      <c r="C206" s="2" t="str">
        <f>VLOOKUP(A206,Classification!A:D,2,FALSE)</f>
        <v>A</v>
      </c>
      <c r="E206" s="2" t="s">
        <v>20</v>
      </c>
      <c r="N206" s="2" t="s">
        <v>43</v>
      </c>
      <c r="P206" s="4" t="s">
        <v>51</v>
      </c>
      <c r="R206" s="71" t="str">
        <f>MID(VLOOKUP($A206,Seqs!$A:$B,2,FALSE),VLOOKUP($A206,'NonXtal_SegEnds_Prot#'!A:AL,10,FALSE),1)</f>
        <v>D</v>
      </c>
      <c r="S206" s="102" t="str">
        <f>MID(VLOOKUP($A206,Seqs!$A:$B,2,FALSE),VLOOKUP($A206,'NonXtal_SegEnds_Prot#'!A:AL,10,FALSE)+6,1)</f>
        <v>F</v>
      </c>
      <c r="T206" s="102" t="str">
        <f>MID(VLOOKUP($A206,Seqs!$A:$B,2,FALSE),VLOOKUP($A206,'NonXtal_SegEnds_Prot#'!A:AL,10,FALSE)+7,1)</f>
        <v>C</v>
      </c>
      <c r="U206" s="102" t="str">
        <f>MID(VLOOKUP($A206,Seqs!$A:$B,2,FALSE),VLOOKUP($A206,'NonXtal_SegEnds_Prot#'!A:AL,10,FALSE)+8,1)</f>
        <v>M</v>
      </c>
      <c r="V206" s="102" t="str">
        <f>MID(VLOOKUP($A206,Seqs!$A:$B,2,FALSE),VLOOKUP($A206,'NonXtal_SegEnds_Prot#'!A:AL,10,FALSE)+9,1)</f>
        <v>P</v>
      </c>
      <c r="W206" s="71" t="str">
        <f>MID(VLOOKUP($A206,Seqs!$A:$B,2,FALSE),VLOOKUP($A206,'NonXtal_SegEnds_Prot#'!$A:$AL,22,FALSE)+6,1)</f>
        <v>I</v>
      </c>
      <c r="X206" s="102" t="str">
        <f>MID(VLOOKUP($A206,Seqs!$A:$B,2,FALSE),VLOOKUP($A206,'NonXtal_SegEnds_Prot#'!$A:$AL,22,FALSE)+7,1)</f>
        <v>M</v>
      </c>
      <c r="Y206" s="102" t="str">
        <f>MID(VLOOKUP($A206,Seqs!$A:$B,2,FALSE),VLOOKUP($A206,'NonXtal_SegEnds_Prot#'!$A:$AL,22,FALSE)+8,1)</f>
        <v>S</v>
      </c>
      <c r="Z206" s="102" t="str">
        <f>MID(VLOOKUP($A206,Seqs!$A:$B,2,FALSE),VLOOKUP($A206,'NonXtal_SegEnds_Prot#'!$A:$AL,22,FALSE)+9,1)</f>
        <v>P</v>
      </c>
      <c r="AA206" s="102" t="str">
        <f>MID(VLOOKUP($A206,Seqs!$A:$B,2,FALSE),VLOOKUP($A206,'NonXtal_SegEnds_Prot#'!$A:$AL,22,FALSE)+10,1)</f>
        <v>S</v>
      </c>
      <c r="AB206" s="71" t="str">
        <f>MID(VLOOKUP($A206,Seqs!$A:$B,2,FALSE),VLOOKUP($A206,'NonXtal_SegEnds_Prot#'!$A:$AL,28,FALSE)-4,1)</f>
        <v>I</v>
      </c>
      <c r="AC206" s="102" t="str">
        <f>MID(VLOOKUP($A206,Seqs!$A:$B,2,FALSE),VLOOKUP($A206,'NonXtal_SegEnds_Prot#'!$A:$AL,28,FALSE),1)</f>
        <v>P</v>
      </c>
    </row>
    <row r="207" spans="1:29" s="2" customFormat="1" x14ac:dyDescent="0.2">
      <c r="A207" s="2" t="s">
        <v>518</v>
      </c>
      <c r="B207" s="2" t="str">
        <f>LOWER(VLOOKUP(A207,Xtal_Templ!A:B,2,FALSE))</f>
        <v>ox2r_human</v>
      </c>
      <c r="C207" s="2" t="str">
        <f>VLOOKUP(A207,Classification!A:D,2,FALSE)</f>
        <v>A</v>
      </c>
      <c r="K207" s="2" t="s">
        <v>59</v>
      </c>
      <c r="N207" s="2" t="s">
        <v>43</v>
      </c>
      <c r="P207" s="4" t="s">
        <v>51</v>
      </c>
      <c r="R207" s="71" t="str">
        <f>MID(VLOOKUP($A207,Seqs!$A:$B,2,FALSE),VLOOKUP($A207,'NonXtal_SegEnds_Prot#'!A:AL,10,FALSE),1)</f>
        <v>D</v>
      </c>
      <c r="S207" s="102" t="str">
        <f>MID(VLOOKUP($A207,Seqs!$A:$B,2,FALSE),VLOOKUP($A207,'NonXtal_SegEnds_Prot#'!A:AL,10,FALSE)+6,1)</f>
        <v>V</v>
      </c>
      <c r="T207" s="102" t="str">
        <f>MID(VLOOKUP($A207,Seqs!$A:$B,2,FALSE),VLOOKUP($A207,'NonXtal_SegEnds_Prot#'!A:AL,10,FALSE)+7,1)</f>
        <v>N</v>
      </c>
      <c r="U207" s="102" t="str">
        <f>MID(VLOOKUP($A207,Seqs!$A:$B,2,FALSE),VLOOKUP($A207,'NonXtal_SegEnds_Prot#'!A:AL,10,FALSE)+8,1)</f>
        <v>I</v>
      </c>
      <c r="V207" s="102" t="str">
        <f>MID(VLOOKUP($A207,Seqs!$A:$B,2,FALSE),VLOOKUP($A207,'NonXtal_SegEnds_Prot#'!A:AL,10,FALSE)+9,1)</f>
        <v>L</v>
      </c>
      <c r="W207" s="71" t="str">
        <f>MID(VLOOKUP($A207,Seqs!$A:$B,2,FALSE),VLOOKUP($A207,'NonXtal_SegEnds_Prot#'!$A:$AL,22,FALSE)+6,1)</f>
        <v>F</v>
      </c>
      <c r="X207" s="102" t="str">
        <f>MID(VLOOKUP($A207,Seqs!$A:$B,2,FALSE),VLOOKUP($A207,'NonXtal_SegEnds_Prot#'!$A:$AL,22,FALSE)+7,1)</f>
        <v>S</v>
      </c>
      <c r="Y207" s="102" t="str">
        <f>MID(VLOOKUP($A207,Seqs!$A:$B,2,FALSE),VLOOKUP($A207,'NonXtal_SegEnds_Prot#'!$A:$AL,22,FALSE)+8,1)</f>
        <v>I</v>
      </c>
      <c r="Z207" s="102" t="str">
        <f>MID(VLOOKUP($A207,Seqs!$A:$B,2,FALSE),VLOOKUP($A207,'NonXtal_SegEnds_Prot#'!$A:$AL,22,FALSE)+9,1)</f>
        <v>P</v>
      </c>
      <c r="AA207" s="102" t="str">
        <f>MID(VLOOKUP($A207,Seqs!$A:$B,2,FALSE),VLOOKUP($A207,'NonXtal_SegEnds_Prot#'!$A:$AL,22,FALSE)+10,1)</f>
        <v>T</v>
      </c>
      <c r="AB207" s="71" t="str">
        <f>MID(VLOOKUP($A207,Seqs!$A:$B,2,FALSE),VLOOKUP($A207,'NonXtal_SegEnds_Prot#'!$A:$AL,28,FALSE)-4,1)</f>
        <v>V</v>
      </c>
      <c r="AC207" s="102" t="str">
        <f>MID(VLOOKUP($A207,Seqs!$A:$B,2,FALSE),VLOOKUP($A207,'NonXtal_SegEnds_Prot#'!$A:$AL,28,FALSE),1)</f>
        <v>P</v>
      </c>
    </row>
    <row r="208" spans="1:29" s="2" customFormat="1" x14ac:dyDescent="0.2">
      <c r="A208" s="2" t="s">
        <v>519</v>
      </c>
      <c r="B208" s="2" t="str">
        <f>LOWER(VLOOKUP(A208,Xtal_Templ!A:B,2,FALSE))</f>
        <v>ox2r_human</v>
      </c>
      <c r="C208" s="2" t="str">
        <f>VLOOKUP(A208,Classification!A:D,2,FALSE)</f>
        <v>A</v>
      </c>
      <c r="E208" s="2" t="s">
        <v>20</v>
      </c>
      <c r="K208" s="2" t="s">
        <v>59</v>
      </c>
      <c r="N208" s="2" t="s">
        <v>43</v>
      </c>
      <c r="P208" s="4" t="s">
        <v>51</v>
      </c>
      <c r="R208" s="71" t="str">
        <f>MID(VLOOKUP($A208,Seqs!$A:$B,2,FALSE),VLOOKUP($A208,'NonXtal_SegEnds_Prot#'!A:AL,10,FALSE),1)</f>
        <v>D</v>
      </c>
      <c r="S208" s="102" t="str">
        <f>MID(VLOOKUP($A208,Seqs!$A:$B,2,FALSE),VLOOKUP($A208,'NonXtal_SegEnds_Prot#'!A:AL,10,FALSE)+6,1)</f>
        <v>M</v>
      </c>
      <c r="T208" s="102" t="str">
        <f>MID(VLOOKUP($A208,Seqs!$A:$B,2,FALSE),VLOOKUP($A208,'NonXtal_SegEnds_Prot#'!A:AL,10,FALSE)+7,1)</f>
        <v>C</v>
      </c>
      <c r="U208" s="102" t="str">
        <f>MID(VLOOKUP($A208,Seqs!$A:$B,2,FALSE),VLOOKUP($A208,'NonXtal_SegEnds_Prot#'!A:AL,10,FALSE)+8,1)</f>
        <v>L</v>
      </c>
      <c r="V208" s="102" t="str">
        <f>MID(VLOOKUP($A208,Seqs!$A:$B,2,FALSE),VLOOKUP($A208,'NonXtal_SegEnds_Prot#'!A:AL,10,FALSE)+9,1)</f>
        <v>P</v>
      </c>
      <c r="W208" s="71" t="str">
        <f>MID(VLOOKUP($A208,Seqs!$A:$B,2,FALSE),VLOOKUP($A208,'NonXtal_SegEnds_Prot#'!$A:$AL,22,FALSE)+6,1)</f>
        <v>S</v>
      </c>
      <c r="X208" s="102" t="str">
        <f>MID(VLOOKUP($A208,Seqs!$A:$B,2,FALSE),VLOOKUP($A208,'NonXtal_SegEnds_Prot#'!$A:$AL,22,FALSE)+7,1)</f>
        <v>S</v>
      </c>
      <c r="Y208" s="102" t="str">
        <f>MID(VLOOKUP($A208,Seqs!$A:$B,2,FALSE),VLOOKUP($A208,'NonXtal_SegEnds_Prot#'!$A:$AL,22,FALSE)+8,1)</f>
        <v>L</v>
      </c>
      <c r="Z208" s="102" t="str">
        <f>MID(VLOOKUP($A208,Seqs!$A:$B,2,FALSE),VLOOKUP($A208,'NonXtal_SegEnds_Prot#'!$A:$AL,22,FALSE)+9,1)</f>
        <v>P</v>
      </c>
      <c r="AA208" s="102" t="str">
        <f>MID(VLOOKUP($A208,Seqs!$A:$B,2,FALSE),VLOOKUP($A208,'NonXtal_SegEnds_Prot#'!$A:$AL,22,FALSE)+10,1)</f>
        <v>F</v>
      </c>
      <c r="AB208" s="71" t="str">
        <f>MID(VLOOKUP($A208,Seqs!$A:$B,2,FALSE),VLOOKUP($A208,'NonXtal_SegEnds_Prot#'!$A:$AL,28,FALSE)-4,1)</f>
        <v>Q</v>
      </c>
      <c r="AC208" s="102" t="str">
        <f>MID(VLOOKUP($A208,Seqs!$A:$B,2,FALSE),VLOOKUP($A208,'NonXtal_SegEnds_Prot#'!$A:$AL,28,FALSE),1)</f>
        <v>P</v>
      </c>
    </row>
    <row r="209" spans="1:29" s="2" customFormat="1" x14ac:dyDescent="0.2">
      <c r="A209" s="2" t="s">
        <v>520</v>
      </c>
      <c r="B209" s="2" t="str">
        <f>LOWER(VLOOKUP(A209,Xtal_Templ!A:B,2,FALSE))</f>
        <v>ox1r_human</v>
      </c>
      <c r="C209" s="2" t="str">
        <f>VLOOKUP(A209,Classification!A:D,2,FALSE)</f>
        <v>A</v>
      </c>
      <c r="E209" s="2" t="s">
        <v>20</v>
      </c>
      <c r="N209" s="2" t="s">
        <v>43</v>
      </c>
      <c r="P209" s="4" t="s">
        <v>51</v>
      </c>
      <c r="R209" s="71" t="str">
        <f>MID(VLOOKUP($A209,Seqs!$A:$B,2,FALSE),VLOOKUP($A209,'NonXtal_SegEnds_Prot#'!A:AL,10,FALSE),1)</f>
        <v>D</v>
      </c>
      <c r="S209" s="102" t="str">
        <f>MID(VLOOKUP($A209,Seqs!$A:$B,2,FALSE),VLOOKUP($A209,'NonXtal_SegEnds_Prot#'!A:AL,10,FALSE)+6,1)</f>
        <v>L</v>
      </c>
      <c r="T209" s="102" t="str">
        <f>MID(VLOOKUP($A209,Seqs!$A:$B,2,FALSE),VLOOKUP($A209,'NonXtal_SegEnds_Prot#'!A:AL,10,FALSE)+7,1)</f>
        <v>C</v>
      </c>
      <c r="U209" s="102" t="str">
        <f>MID(VLOOKUP($A209,Seqs!$A:$B,2,FALSE),VLOOKUP($A209,'NonXtal_SegEnds_Prot#'!A:AL,10,FALSE)+8,1)</f>
        <v>L</v>
      </c>
      <c r="V209" s="102" t="str">
        <f>MID(VLOOKUP($A209,Seqs!$A:$B,2,FALSE),VLOOKUP($A209,'NonXtal_SegEnds_Prot#'!A:AL,10,FALSE)+9,1)</f>
        <v>P</v>
      </c>
      <c r="W209" s="71" t="str">
        <f>MID(VLOOKUP($A209,Seqs!$A:$B,2,FALSE),VLOOKUP($A209,'NonXtal_SegEnds_Prot#'!$A:$AL,22,FALSE)+6,1)</f>
        <v>L</v>
      </c>
      <c r="X209" s="102" t="str">
        <f>MID(VLOOKUP($A209,Seqs!$A:$B,2,FALSE),VLOOKUP($A209,'NonXtal_SegEnds_Prot#'!$A:$AL,22,FALSE)+7,1)</f>
        <v>A</v>
      </c>
      <c r="Y209" s="102" t="str">
        <f>MID(VLOOKUP($A209,Seqs!$A:$B,2,FALSE),VLOOKUP($A209,'NonXtal_SegEnds_Prot#'!$A:$AL,22,FALSE)+8,1)</f>
        <v>S</v>
      </c>
      <c r="Z209" s="102" t="str">
        <f>MID(VLOOKUP($A209,Seqs!$A:$B,2,FALSE),VLOOKUP($A209,'NonXtal_SegEnds_Prot#'!$A:$AL,22,FALSE)+9,1)</f>
        <v>P</v>
      </c>
      <c r="AA209" s="102" t="str">
        <f>MID(VLOOKUP($A209,Seqs!$A:$B,2,FALSE),VLOOKUP($A209,'NonXtal_SegEnds_Prot#'!$A:$AL,22,FALSE)+10,1)</f>
        <v>L</v>
      </c>
      <c r="AB209" s="71" t="str">
        <f>MID(VLOOKUP($A209,Seqs!$A:$B,2,FALSE),VLOOKUP($A209,'NonXtal_SegEnds_Prot#'!$A:$AL,28,FALSE)-4,1)</f>
        <v>L</v>
      </c>
      <c r="AC209" s="102" t="str">
        <f>MID(VLOOKUP($A209,Seqs!$A:$B,2,FALSE),VLOOKUP($A209,'NonXtal_SegEnds_Prot#'!$A:$AL,28,FALSE),1)</f>
        <v>P</v>
      </c>
    </row>
    <row r="210" spans="1:29" s="2" customFormat="1" x14ac:dyDescent="0.2">
      <c r="A210" s="2" t="s">
        <v>521</v>
      </c>
      <c r="B210" s="2" t="str">
        <f>LOWER(VLOOKUP(A210,Xtal_Templ!A:B,2,FALSE))</f>
        <v>ox2r_human</v>
      </c>
      <c r="C210" s="2" t="str">
        <f>VLOOKUP(A210,Classification!A:D,2,FALSE)</f>
        <v>A</v>
      </c>
      <c r="E210" s="2" t="s">
        <v>20</v>
      </c>
      <c r="K210" s="2" t="s">
        <v>59</v>
      </c>
      <c r="N210" s="2" t="s">
        <v>43</v>
      </c>
      <c r="P210" s="4" t="s">
        <v>51</v>
      </c>
      <c r="R210" s="71" t="str">
        <f>MID(VLOOKUP($A210,Seqs!$A:$B,2,FALSE),VLOOKUP($A210,'NonXtal_SegEnds_Prot#'!A:AL,10,FALSE),1)</f>
        <v>D</v>
      </c>
      <c r="S210" s="102" t="str">
        <f>MID(VLOOKUP($A210,Seqs!$A:$B,2,FALSE),VLOOKUP($A210,'NonXtal_SegEnds_Prot#'!A:AL,10,FALSE)+6,1)</f>
        <v>L</v>
      </c>
      <c r="T210" s="102" t="str">
        <f>MID(VLOOKUP($A210,Seqs!$A:$B,2,FALSE),VLOOKUP($A210,'NonXtal_SegEnds_Prot#'!A:AL,10,FALSE)+7,1)</f>
        <v>C</v>
      </c>
      <c r="U210" s="102" t="str">
        <f>MID(VLOOKUP($A210,Seqs!$A:$B,2,FALSE),VLOOKUP($A210,'NonXtal_SegEnds_Prot#'!A:AL,10,FALSE)+8,1)</f>
        <v>Q</v>
      </c>
      <c r="V210" s="102" t="str">
        <f>MID(VLOOKUP($A210,Seqs!$A:$B,2,FALSE),VLOOKUP($A210,'NonXtal_SegEnds_Prot#'!A:AL,10,FALSE)+9,1)</f>
        <v>P</v>
      </c>
      <c r="W210" s="71" t="str">
        <f>MID(VLOOKUP($A210,Seqs!$A:$B,2,FALSE),VLOOKUP($A210,'NonXtal_SegEnds_Prot#'!$A:$AL,22,FALSE)+6,1)</f>
        <v>L</v>
      </c>
      <c r="X210" s="102" t="str">
        <f>MID(VLOOKUP($A210,Seqs!$A:$B,2,FALSE),VLOOKUP($A210,'NonXtal_SegEnds_Prot#'!$A:$AL,22,FALSE)+7,1)</f>
        <v>S</v>
      </c>
      <c r="Y210" s="102" t="str">
        <f>MID(VLOOKUP($A210,Seqs!$A:$B,2,FALSE),VLOOKUP($A210,'NonXtal_SegEnds_Prot#'!$A:$AL,22,FALSE)+8,1)</f>
        <v>L</v>
      </c>
      <c r="Z210" s="102" t="str">
        <f>MID(VLOOKUP($A210,Seqs!$A:$B,2,FALSE),VLOOKUP($A210,'NonXtal_SegEnds_Prot#'!$A:$AL,22,FALSE)+9,1)</f>
        <v>P</v>
      </c>
      <c r="AA210" s="102" t="str">
        <f>MID(VLOOKUP($A210,Seqs!$A:$B,2,FALSE),VLOOKUP($A210,'NonXtal_SegEnds_Prot#'!$A:$AL,22,FALSE)+10,1)</f>
        <v>F</v>
      </c>
      <c r="AB210" s="71" t="str">
        <f>MID(VLOOKUP($A210,Seqs!$A:$B,2,FALSE),VLOOKUP($A210,'NonXtal_SegEnds_Prot#'!$A:$AL,28,FALSE)-4,1)</f>
        <v>Q</v>
      </c>
      <c r="AC210" s="102" t="str">
        <f>MID(VLOOKUP($A210,Seqs!$A:$B,2,FALSE),VLOOKUP($A210,'NonXtal_SegEnds_Prot#'!$A:$AL,28,FALSE),1)</f>
        <v>P</v>
      </c>
    </row>
    <row r="211" spans="1:29" s="2" customFormat="1" x14ac:dyDescent="0.2">
      <c r="A211" s="2" t="s">
        <v>522</v>
      </c>
      <c r="B211" s="2" t="str">
        <f>LOWER(VLOOKUP(A211,Xtal_Templ!A:B,2,FALSE))</f>
        <v>ox2r_human</v>
      </c>
      <c r="C211" s="2" t="str">
        <f>VLOOKUP(A211,Classification!A:D,2,FALSE)</f>
        <v>A</v>
      </c>
      <c r="E211" s="2" t="s">
        <v>20</v>
      </c>
      <c r="N211" s="2" t="s">
        <v>43</v>
      </c>
      <c r="P211" s="4" t="s">
        <v>51</v>
      </c>
      <c r="R211" s="71" t="str">
        <f>MID(VLOOKUP($A211,Seqs!$A:$B,2,FALSE),VLOOKUP($A211,'NonXtal_SegEnds_Prot#'!A:AL,10,FALSE),1)</f>
        <v>D</v>
      </c>
      <c r="S211" s="102" t="str">
        <f>MID(VLOOKUP($A211,Seqs!$A:$B,2,FALSE),VLOOKUP($A211,'NonXtal_SegEnds_Prot#'!A:AL,10,FALSE)+6,1)</f>
        <v>F</v>
      </c>
      <c r="T211" s="102" t="str">
        <f>MID(VLOOKUP($A211,Seqs!$A:$B,2,FALSE),VLOOKUP($A211,'NonXtal_SegEnds_Prot#'!A:AL,10,FALSE)+7,1)</f>
        <v>C</v>
      </c>
      <c r="U211" s="102" t="str">
        <f>MID(VLOOKUP($A211,Seqs!$A:$B,2,FALSE),VLOOKUP($A211,'NonXtal_SegEnds_Prot#'!A:AL,10,FALSE)+8,1)</f>
        <v>S</v>
      </c>
      <c r="V211" s="102" t="str">
        <f>MID(VLOOKUP($A211,Seqs!$A:$B,2,FALSE),VLOOKUP($A211,'NonXtal_SegEnds_Prot#'!A:AL,10,FALSE)+9,1)</f>
        <v>P</v>
      </c>
      <c r="W211" s="71" t="str">
        <f>MID(VLOOKUP($A211,Seqs!$A:$B,2,FALSE),VLOOKUP($A211,'NonXtal_SegEnds_Prot#'!$A:$AL,22,FALSE)+6,1)</f>
        <v>I</v>
      </c>
      <c r="X211" s="102" t="str">
        <f>MID(VLOOKUP($A211,Seqs!$A:$B,2,FALSE),VLOOKUP($A211,'NonXtal_SegEnds_Prot#'!$A:$AL,22,FALSE)+7,1)</f>
        <v>C</v>
      </c>
      <c r="Y211" s="102" t="str">
        <f>MID(VLOOKUP($A211,Seqs!$A:$B,2,FALSE),VLOOKUP($A211,'NonXtal_SegEnds_Prot#'!$A:$AL,22,FALSE)+8,1)</f>
        <v>S</v>
      </c>
      <c r="Z211" s="102" t="str">
        <f>MID(VLOOKUP($A211,Seqs!$A:$B,2,FALSE),VLOOKUP($A211,'NonXtal_SegEnds_Prot#'!$A:$AL,22,FALSE)+9,1)</f>
        <v>P</v>
      </c>
      <c r="AA211" s="102" t="str">
        <f>MID(VLOOKUP($A211,Seqs!$A:$B,2,FALSE),VLOOKUP($A211,'NonXtal_SegEnds_Prot#'!$A:$AL,22,FALSE)+10,1)</f>
        <v>L</v>
      </c>
      <c r="AB211" s="71" t="str">
        <f>MID(VLOOKUP($A211,Seqs!$A:$B,2,FALSE),VLOOKUP($A211,'NonXtal_SegEnds_Prot#'!$A:$AL,28,FALSE)-4,1)</f>
        <v>Q</v>
      </c>
      <c r="AC211" s="102" t="str">
        <f>MID(VLOOKUP($A211,Seqs!$A:$B,2,FALSE),VLOOKUP($A211,'NonXtal_SegEnds_Prot#'!$A:$AL,28,FALSE),1)</f>
        <v>P</v>
      </c>
    </row>
    <row r="212" spans="1:29" s="2" customFormat="1" x14ac:dyDescent="0.2">
      <c r="A212" s="2" t="s">
        <v>523</v>
      </c>
      <c r="B212" s="2" t="str">
        <f>LOWER(VLOOKUP(A212,Xtal_Templ!A:B,2,FALSE))</f>
        <v>ox2r_human</v>
      </c>
      <c r="C212" s="2" t="str">
        <f>VLOOKUP(A212,Classification!A:D,2,FALSE)</f>
        <v>A</v>
      </c>
      <c r="K212" s="2" t="s">
        <v>59</v>
      </c>
      <c r="N212" s="2" t="s">
        <v>43</v>
      </c>
      <c r="P212" s="4" t="s">
        <v>51</v>
      </c>
      <c r="R212" s="71" t="str">
        <f>MID(VLOOKUP($A212,Seqs!$A:$B,2,FALSE),VLOOKUP($A212,'NonXtal_SegEnds_Prot#'!A:AL,10,FALSE),1)</f>
        <v>D</v>
      </c>
      <c r="S212" s="102" t="str">
        <f>MID(VLOOKUP($A212,Seqs!$A:$B,2,FALSE),VLOOKUP($A212,'NonXtal_SegEnds_Prot#'!A:AL,10,FALSE)+6,1)</f>
        <v>M</v>
      </c>
      <c r="T212" s="102" t="str">
        <f>MID(VLOOKUP($A212,Seqs!$A:$B,2,FALSE),VLOOKUP($A212,'NonXtal_SegEnds_Prot#'!A:AL,10,FALSE)+7,1)</f>
        <v>C</v>
      </c>
      <c r="U212" s="102" t="str">
        <f>MID(VLOOKUP($A212,Seqs!$A:$B,2,FALSE),VLOOKUP($A212,'NonXtal_SegEnds_Prot#'!A:AL,10,FALSE)+8,1)</f>
        <v>I</v>
      </c>
      <c r="V212" s="102" t="str">
        <f>MID(VLOOKUP($A212,Seqs!$A:$B,2,FALSE),VLOOKUP($A212,'NonXtal_SegEnds_Prot#'!A:AL,10,FALSE)+9,1)</f>
        <v>H</v>
      </c>
      <c r="W212" s="71" t="str">
        <f>MID(VLOOKUP($A212,Seqs!$A:$B,2,FALSE),VLOOKUP($A212,'NonXtal_SegEnds_Prot#'!$A:$AL,22,FALSE)+6,1)</f>
        <v>L</v>
      </c>
      <c r="X212" s="102" t="str">
        <f>MID(VLOOKUP($A212,Seqs!$A:$B,2,FALSE),VLOOKUP($A212,'NonXtal_SegEnds_Prot#'!$A:$AL,22,FALSE)+7,1)</f>
        <v>S</v>
      </c>
      <c r="Y212" s="102" t="str">
        <f>MID(VLOOKUP($A212,Seqs!$A:$B,2,FALSE),VLOOKUP($A212,'NonXtal_SegEnds_Prot#'!$A:$AL,22,FALSE)+8,1)</f>
        <v>I</v>
      </c>
      <c r="Z212" s="102" t="str">
        <f>MID(VLOOKUP($A212,Seqs!$A:$B,2,FALSE),VLOOKUP($A212,'NonXtal_SegEnds_Prot#'!$A:$AL,22,FALSE)+9,1)</f>
        <v>P</v>
      </c>
      <c r="AA212" s="102" t="str">
        <f>MID(VLOOKUP($A212,Seqs!$A:$B,2,FALSE),VLOOKUP($A212,'NonXtal_SegEnds_Prot#'!$A:$AL,22,FALSE)+10,1)</f>
        <v>F</v>
      </c>
      <c r="AB212" s="71" t="str">
        <f>MID(VLOOKUP($A212,Seqs!$A:$B,2,FALSE),VLOOKUP($A212,'NonXtal_SegEnds_Prot#'!$A:$AL,28,FALSE)-4,1)</f>
        <v>Q</v>
      </c>
      <c r="AC212" s="102" t="str">
        <f>MID(VLOOKUP($A212,Seqs!$A:$B,2,FALSE),VLOOKUP($A212,'NonXtal_SegEnds_Prot#'!$A:$AL,28,FALSE),1)</f>
        <v>P</v>
      </c>
    </row>
    <row r="213" spans="1:29" s="2" customFormat="1" x14ac:dyDescent="0.2">
      <c r="A213" s="2" t="s">
        <v>321</v>
      </c>
      <c r="B213" s="2" t="str">
        <f>LOWER(VLOOKUP(A213,Xtal_Templ!A:B,2,FALSE))</f>
        <v>ntr1_rat</v>
      </c>
      <c r="C213" s="2" t="str">
        <f>VLOOKUP(A213,Classification!A:D,2,FALSE)</f>
        <v>A</v>
      </c>
      <c r="E213" s="2" t="s">
        <v>20</v>
      </c>
      <c r="K213" s="2" t="s">
        <v>59</v>
      </c>
      <c r="N213" s="2" t="s">
        <v>43</v>
      </c>
      <c r="P213" s="4" t="s">
        <v>51</v>
      </c>
      <c r="R213" s="71" t="str">
        <f>MID(VLOOKUP($A213,Seqs!$A:$B,2,FALSE),VLOOKUP($A213,'NonXtal_SegEnds_Prot#'!A:AL,10,FALSE),1)</f>
        <v>D</v>
      </c>
      <c r="S213" s="102" t="str">
        <f>MID(VLOOKUP($A213,Seqs!$A:$B,2,FALSE),VLOOKUP($A213,'NonXtal_SegEnds_Prot#'!A:AL,10,FALSE)+6,1)</f>
        <v>L</v>
      </c>
      <c r="T213" s="102" t="str">
        <f>MID(VLOOKUP($A213,Seqs!$A:$B,2,FALSE),VLOOKUP($A213,'NonXtal_SegEnds_Prot#'!A:AL,10,FALSE)+7,1)</f>
        <v>A</v>
      </c>
      <c r="U213" s="102" t="str">
        <f>MID(VLOOKUP($A213,Seqs!$A:$B,2,FALSE),VLOOKUP($A213,'NonXtal_SegEnds_Prot#'!A:AL,10,FALSE)+8,1)</f>
        <v>M</v>
      </c>
      <c r="V213" s="102" t="str">
        <f>MID(VLOOKUP($A213,Seqs!$A:$B,2,FALSE),VLOOKUP($A213,'NonXtal_SegEnds_Prot#'!A:AL,10,FALSE)+9,1)</f>
        <v>P</v>
      </c>
      <c r="W213" s="71" t="str">
        <f>MID(VLOOKUP($A213,Seqs!$A:$B,2,FALSE),VLOOKUP($A213,'NonXtal_SegEnds_Prot#'!$A:$AL,22,FALSE)+6,1)</f>
        <v>L</v>
      </c>
      <c r="X213" s="102" t="str">
        <f>MID(VLOOKUP($A213,Seqs!$A:$B,2,FALSE),VLOOKUP($A213,'NonXtal_SegEnds_Prot#'!$A:$AL,22,FALSE)+7,1)</f>
        <v>A</v>
      </c>
      <c r="Y213" s="102" t="str">
        <f>MID(VLOOKUP($A213,Seqs!$A:$B,2,FALSE),VLOOKUP($A213,'NonXtal_SegEnds_Prot#'!$A:$AL,22,FALSE)+8,1)</f>
        <v>V</v>
      </c>
      <c r="Z213" s="102" t="str">
        <f>MID(VLOOKUP($A213,Seqs!$A:$B,2,FALSE),VLOOKUP($A213,'NonXtal_SegEnds_Prot#'!$A:$AL,22,FALSE)+9,1)</f>
        <v>P</v>
      </c>
      <c r="AA213" s="102" t="str">
        <f>MID(VLOOKUP($A213,Seqs!$A:$B,2,FALSE),VLOOKUP($A213,'NonXtal_SegEnds_Prot#'!$A:$AL,22,FALSE)+10,1)</f>
        <v>M</v>
      </c>
      <c r="AB213" s="71" t="str">
        <f>MID(VLOOKUP($A213,Seqs!$A:$B,2,FALSE),VLOOKUP($A213,'NonXtal_SegEnds_Prot#'!$A:$AL,28,FALSE)-4,1)</f>
        <v>S</v>
      </c>
      <c r="AC213" s="102" t="str">
        <f>MID(VLOOKUP($A213,Seqs!$A:$B,2,FALSE),VLOOKUP($A213,'NonXtal_SegEnds_Prot#'!$A:$AL,28,FALSE),1)</f>
        <v>P</v>
      </c>
    </row>
    <row r="214" spans="1:29" s="2" customFormat="1" x14ac:dyDescent="0.2">
      <c r="A214" s="2" t="s">
        <v>1110</v>
      </c>
      <c r="B214" s="2" t="str">
        <f>LOWER(VLOOKUP(A214,Xtal_Templ!A:B,2,FALSE))</f>
        <v>ntr1_rat</v>
      </c>
      <c r="C214" s="2" t="str">
        <f>VLOOKUP(A214,Classification!A:D,2,FALSE)</f>
        <v>A</v>
      </c>
      <c r="E214" s="2" t="s">
        <v>20</v>
      </c>
      <c r="K214" s="2" t="s">
        <v>59</v>
      </c>
      <c r="N214" s="2" t="s">
        <v>43</v>
      </c>
      <c r="P214" s="4" t="s">
        <v>51</v>
      </c>
      <c r="R214" s="71" t="str">
        <f>MID(VLOOKUP($A214,Seqs!$A:$B,2,FALSE),VLOOKUP($A214,'NonXtal_SegEnds_Prot#'!A:AL,10,FALSE),1)</f>
        <v>D</v>
      </c>
      <c r="S214" s="102" t="str">
        <f>MID(VLOOKUP($A214,Seqs!$A:$B,2,FALSE),VLOOKUP($A214,'NonXtal_SegEnds_Prot#'!A:AL,10,FALSE)+6,1)</f>
        <v>L</v>
      </c>
      <c r="T214" s="102" t="str">
        <f>MID(VLOOKUP($A214,Seqs!$A:$B,2,FALSE),VLOOKUP($A214,'NonXtal_SegEnds_Prot#'!A:AL,10,FALSE)+7,1)</f>
        <v>A</v>
      </c>
      <c r="U214" s="102" t="str">
        <f>MID(VLOOKUP($A214,Seqs!$A:$B,2,FALSE),VLOOKUP($A214,'NonXtal_SegEnds_Prot#'!A:AL,10,FALSE)+8,1)</f>
        <v>M</v>
      </c>
      <c r="V214" s="102" t="str">
        <f>MID(VLOOKUP($A214,Seqs!$A:$B,2,FALSE),VLOOKUP($A214,'NonXtal_SegEnds_Prot#'!A:AL,10,FALSE)+9,1)</f>
        <v>P</v>
      </c>
      <c r="W214" s="71" t="str">
        <f>MID(VLOOKUP($A214,Seqs!$A:$B,2,FALSE),VLOOKUP($A214,'NonXtal_SegEnds_Prot#'!$A:$AL,22,FALSE)+6,1)</f>
        <v>L</v>
      </c>
      <c r="X214" s="102" t="str">
        <f>MID(VLOOKUP($A214,Seqs!$A:$B,2,FALSE),VLOOKUP($A214,'NonXtal_SegEnds_Prot#'!$A:$AL,22,FALSE)+7,1)</f>
        <v>A</v>
      </c>
      <c r="Y214" s="102" t="str">
        <f>MID(VLOOKUP($A214,Seqs!$A:$B,2,FALSE),VLOOKUP($A214,'NonXtal_SegEnds_Prot#'!$A:$AL,22,FALSE)+8,1)</f>
        <v>I</v>
      </c>
      <c r="Z214" s="102" t="str">
        <f>MID(VLOOKUP($A214,Seqs!$A:$B,2,FALSE),VLOOKUP($A214,'NonXtal_SegEnds_Prot#'!$A:$AL,22,FALSE)+9,1)</f>
        <v>P</v>
      </c>
      <c r="AA214" s="102" t="str">
        <f>MID(VLOOKUP($A214,Seqs!$A:$B,2,FALSE),VLOOKUP($A214,'NonXtal_SegEnds_Prot#'!$A:$AL,22,FALSE)+10,1)</f>
        <v>M</v>
      </c>
      <c r="AB214" s="71" t="str">
        <f>MID(VLOOKUP($A214,Seqs!$A:$B,2,FALSE),VLOOKUP($A214,'NonXtal_SegEnds_Prot#'!$A:$AL,28,FALSE)-4,1)</f>
        <v>S</v>
      </c>
      <c r="AC214" s="102" t="str">
        <f>MID(VLOOKUP($A214,Seqs!$A:$B,2,FALSE),VLOOKUP($A214,'NonXtal_SegEnds_Prot#'!$A:$AL,28,FALSE),1)</f>
        <v>P</v>
      </c>
    </row>
    <row r="215" spans="1:29" s="2" customFormat="1" x14ac:dyDescent="0.2">
      <c r="A215" s="2" t="s">
        <v>524</v>
      </c>
      <c r="B215" s="2" t="str">
        <f>LOWER(VLOOKUP(A215,Xtal_Templ!A:B,2,FALSE))</f>
        <v>ntr1_rat</v>
      </c>
      <c r="C215" s="2" t="str">
        <f>VLOOKUP(A215,Classification!A:D,2,FALSE)</f>
        <v>A</v>
      </c>
      <c r="E215" s="2" t="s">
        <v>20</v>
      </c>
      <c r="K215" s="2" t="s">
        <v>59</v>
      </c>
      <c r="N215" s="2" t="s">
        <v>43</v>
      </c>
      <c r="P215" s="4" t="s">
        <v>51</v>
      </c>
      <c r="R215" s="71" t="str">
        <f>MID(VLOOKUP($A215,Seqs!$A:$B,2,FALSE),VLOOKUP($A215,'NonXtal_SegEnds_Prot#'!A:AL,10,FALSE),1)</f>
        <v>G</v>
      </c>
      <c r="S215" s="102" t="str">
        <f>MID(VLOOKUP($A215,Seqs!$A:$B,2,FALSE),VLOOKUP($A215,'NonXtal_SegEnds_Prot#'!A:AL,10,FALSE)+6,1)</f>
        <v>V</v>
      </c>
      <c r="T215" s="102" t="str">
        <f>MID(VLOOKUP($A215,Seqs!$A:$B,2,FALSE),VLOOKUP($A215,'NonXtal_SegEnds_Prot#'!A:AL,10,FALSE)+7,1)</f>
        <v>G</v>
      </c>
      <c r="U215" s="102" t="str">
        <f>MID(VLOOKUP($A215,Seqs!$A:$B,2,FALSE),VLOOKUP($A215,'NonXtal_SegEnds_Prot#'!A:AL,10,FALSE)+8,1)</f>
        <v>V</v>
      </c>
      <c r="V215" s="102" t="str">
        <f>MID(VLOOKUP($A215,Seqs!$A:$B,2,FALSE),VLOOKUP($A215,'NonXtal_SegEnds_Prot#'!A:AL,10,FALSE)+9,1)</f>
        <v>P</v>
      </c>
      <c r="W215" s="71" t="str">
        <f>MID(VLOOKUP($A215,Seqs!$A:$B,2,FALSE),VLOOKUP($A215,'NonXtal_SegEnds_Prot#'!$A:$AL,22,FALSE)+6,1)</f>
        <v>L</v>
      </c>
      <c r="X215" s="102" t="str">
        <f>MID(VLOOKUP($A215,Seqs!$A:$B,2,FALSE),VLOOKUP($A215,'NonXtal_SegEnds_Prot#'!$A:$AL,22,FALSE)+7,1)</f>
        <v>A</v>
      </c>
      <c r="Y215" s="102" t="str">
        <f>MID(VLOOKUP($A215,Seqs!$A:$B,2,FALSE),VLOOKUP($A215,'NonXtal_SegEnds_Prot#'!$A:$AL,22,FALSE)+8,1)</f>
        <v>L</v>
      </c>
      <c r="Z215" s="102" t="str">
        <f>MID(VLOOKUP($A215,Seqs!$A:$B,2,FALSE),VLOOKUP($A215,'NonXtal_SegEnds_Prot#'!$A:$AL,22,FALSE)+9,1)</f>
        <v>P</v>
      </c>
      <c r="AA215" s="102" t="str">
        <f>MID(VLOOKUP($A215,Seqs!$A:$B,2,FALSE),VLOOKUP($A215,'NonXtal_SegEnds_Prot#'!$A:$AL,22,FALSE)+10,1)</f>
        <v>M</v>
      </c>
      <c r="AB215" s="71" t="str">
        <f>MID(VLOOKUP($A215,Seqs!$A:$B,2,FALSE),VLOOKUP($A215,'NonXtal_SegEnds_Prot#'!$A:$AL,28,FALSE)-4,1)</f>
        <v>S</v>
      </c>
      <c r="AC215" s="102" t="str">
        <f>MID(VLOOKUP($A215,Seqs!$A:$B,2,FALSE),VLOOKUP($A215,'NonXtal_SegEnds_Prot#'!$A:$AL,28,FALSE),1)</f>
        <v>P</v>
      </c>
    </row>
    <row r="216" spans="1:29" s="2" customFormat="1" x14ac:dyDescent="0.2">
      <c r="A216" s="2" t="s">
        <v>525</v>
      </c>
      <c r="B216" s="2" t="str">
        <f>LOWER(VLOOKUP(A216,Xtal_Templ!A:B,2,FALSE))</f>
        <v>agtr1_human</v>
      </c>
      <c r="C216" s="2" t="str">
        <f>VLOOKUP(A216,Classification!A:D,2,FALSE)</f>
        <v>A</v>
      </c>
      <c r="N216" s="2" t="s">
        <v>43</v>
      </c>
      <c r="P216" s="4" t="s">
        <v>51</v>
      </c>
      <c r="R216" s="71" t="str">
        <f>MID(VLOOKUP($A216,Seqs!$A:$B,2,FALSE),VLOOKUP($A216,'NonXtal_SegEnds_Prot#'!A:AL,10,FALSE),1)</f>
        <v>D</v>
      </c>
      <c r="S216" s="102" t="str">
        <f>MID(VLOOKUP($A216,Seqs!$A:$B,2,FALSE),VLOOKUP($A216,'NonXtal_SegEnds_Prot#'!A:AL,10,FALSE)+6,1)</f>
        <v>S</v>
      </c>
      <c r="T216" s="102" t="str">
        <f>MID(VLOOKUP($A216,Seqs!$A:$B,2,FALSE),VLOOKUP($A216,'NonXtal_SegEnds_Prot#'!A:AL,10,FALSE)+7,1)</f>
        <v>L</v>
      </c>
      <c r="U216" s="102" t="str">
        <f>MID(VLOOKUP($A216,Seqs!$A:$B,2,FALSE),VLOOKUP($A216,'NonXtal_SegEnds_Prot#'!A:AL,10,FALSE)+8,1)</f>
        <v>P</v>
      </c>
      <c r="V216" s="102" t="str">
        <f>MID(VLOOKUP($A216,Seqs!$A:$B,2,FALSE),VLOOKUP($A216,'NonXtal_SegEnds_Prot#'!A:AL,10,FALSE)+9,1)</f>
        <v>F</v>
      </c>
      <c r="W216" s="71" t="str">
        <f>MID(VLOOKUP($A216,Seqs!$A:$B,2,FALSE),VLOOKUP($A216,'NonXtal_SegEnds_Prot#'!$A:$AL,22,FALSE)+6,1)</f>
        <v>T</v>
      </c>
      <c r="X216" s="102" t="str">
        <f>MID(VLOOKUP($A216,Seqs!$A:$B,2,FALSE),VLOOKUP($A216,'NonXtal_SegEnds_Prot#'!$A:$AL,22,FALSE)+7,1)</f>
        <v>S</v>
      </c>
      <c r="Y216" s="102" t="str">
        <f>MID(VLOOKUP($A216,Seqs!$A:$B,2,FALSE),VLOOKUP($A216,'NonXtal_SegEnds_Prot#'!$A:$AL,22,FALSE)+8,1)</f>
        <v>I</v>
      </c>
      <c r="Z216" s="102" t="str">
        <f>MID(VLOOKUP($A216,Seqs!$A:$B,2,FALSE),VLOOKUP($A216,'NonXtal_SegEnds_Prot#'!$A:$AL,22,FALSE)+9,1)</f>
        <v>Y</v>
      </c>
      <c r="AA216" s="102" t="str">
        <f>MID(VLOOKUP($A216,Seqs!$A:$B,2,FALSE),VLOOKUP($A216,'NonXtal_SegEnds_Prot#'!$A:$AL,22,FALSE)+10,1)</f>
        <v>F</v>
      </c>
      <c r="AB216" s="71" t="str">
        <f>MID(VLOOKUP($A216,Seqs!$A:$B,2,FALSE),VLOOKUP($A216,'NonXtal_SegEnds_Prot#'!$A:$AL,28,FALSE)-4,1)</f>
        <v>G</v>
      </c>
      <c r="AC216" s="102" t="str">
        <f>MID(VLOOKUP($A216,Seqs!$A:$B,2,FALSE),VLOOKUP($A216,'NonXtal_SegEnds_Prot#'!$A:$AL,28,FALSE),1)</f>
        <v>P</v>
      </c>
    </row>
    <row r="217" spans="1:29" s="2" customFormat="1" x14ac:dyDescent="0.2">
      <c r="A217" s="2" t="s">
        <v>526</v>
      </c>
      <c r="B217" s="2" t="str">
        <f>LOWER(VLOOKUP(A217,Xtal_Templ!A:B,2,FALSE))</f>
        <v>opsd_bovin</v>
      </c>
      <c r="C217" s="2" t="str">
        <f>VLOOKUP(A217,Classification!A:D,2,FALSE)</f>
        <v>A</v>
      </c>
      <c r="E217" s="2" t="s">
        <v>20</v>
      </c>
      <c r="N217" s="2" t="s">
        <v>43</v>
      </c>
      <c r="P217" s="4" t="s">
        <v>51</v>
      </c>
      <c r="R217" s="71" t="str">
        <f>MID(VLOOKUP($A217,Seqs!$A:$B,2,FALSE),VLOOKUP($A217,'NonXtal_SegEnds_Prot#'!A:AL,10,FALSE),1)</f>
        <v>D</v>
      </c>
      <c r="S217" s="102" t="str">
        <f>MID(VLOOKUP($A217,Seqs!$A:$B,2,FALSE),VLOOKUP($A217,'NonXtal_SegEnds_Prot#'!A:AL,10,FALSE)+6,1)</f>
        <v>F</v>
      </c>
      <c r="T217" s="102" t="str">
        <f>MID(VLOOKUP($A217,Seqs!$A:$B,2,FALSE),VLOOKUP($A217,'NonXtal_SegEnds_Prot#'!A:AL,10,FALSE)+7,1)</f>
        <v>G</v>
      </c>
      <c r="U217" s="102" t="str">
        <f>MID(VLOOKUP($A217,Seqs!$A:$B,2,FALSE),VLOOKUP($A217,'NonXtal_SegEnds_Prot#'!A:AL,10,FALSE)+8,1)</f>
        <v>V</v>
      </c>
      <c r="V217" s="102" t="str">
        <f>MID(VLOOKUP($A217,Seqs!$A:$B,2,FALSE),VLOOKUP($A217,'NonXtal_SegEnds_Prot#'!A:AL,10,FALSE)+9,1)</f>
        <v>T</v>
      </c>
      <c r="W217" s="71" t="str">
        <f>MID(VLOOKUP($A217,Seqs!$A:$B,2,FALSE),VLOOKUP($A217,'NonXtal_SegEnds_Prot#'!$A:$AL,22,FALSE)+6,1)</f>
        <v>W</v>
      </c>
      <c r="X217" s="102" t="str">
        <f>MID(VLOOKUP($A217,Seqs!$A:$B,2,FALSE),VLOOKUP($A217,'NonXtal_SegEnds_Prot#'!$A:$AL,22,FALSE)+7,1)</f>
        <v>A</v>
      </c>
      <c r="Y217" s="102" t="str">
        <f>MID(VLOOKUP($A217,Seqs!$A:$B,2,FALSE),VLOOKUP($A217,'NonXtal_SegEnds_Prot#'!$A:$AL,22,FALSE)+8,1)</f>
        <v>G</v>
      </c>
      <c r="Z217" s="102" t="str">
        <f>MID(VLOOKUP($A217,Seqs!$A:$B,2,FALSE),VLOOKUP($A217,'NonXtal_SegEnds_Prot#'!$A:$AL,22,FALSE)+9,1)</f>
        <v>A</v>
      </c>
      <c r="AA217" s="102" t="str">
        <f>MID(VLOOKUP($A217,Seqs!$A:$B,2,FALSE),VLOOKUP($A217,'NonXtal_SegEnds_Prot#'!$A:$AL,22,FALSE)+10,1)</f>
        <v>P</v>
      </c>
      <c r="AB217" s="71" t="str">
        <f>MID(VLOOKUP($A217,Seqs!$A:$B,2,FALSE),VLOOKUP($A217,'NonXtal_SegEnds_Prot#'!$A:$AL,28,FALSE)-4,1)</f>
        <v>C</v>
      </c>
      <c r="AC217" s="102" t="str">
        <f>MID(VLOOKUP($A217,Seqs!$A:$B,2,FALSE),VLOOKUP($A217,'NonXtal_SegEnds_Prot#'!$A:$AL,28,FALSE),1)</f>
        <v>P</v>
      </c>
    </row>
    <row r="218" spans="1:29" s="2" customFormat="1" x14ac:dyDescent="0.2">
      <c r="A218" s="2" t="s">
        <v>527</v>
      </c>
      <c r="B218" s="2" t="s">
        <v>1116</v>
      </c>
      <c r="C218" s="2" t="str">
        <f>VLOOKUP(A218,Classification!A:D,2,FALSE)</f>
        <v>A</v>
      </c>
      <c r="E218" s="2" t="s">
        <v>20</v>
      </c>
      <c r="N218" s="2" t="s">
        <v>43</v>
      </c>
      <c r="P218" s="4" t="s">
        <v>51</v>
      </c>
      <c r="R218" s="71" t="str">
        <f>MID(VLOOKUP($A218,Seqs!$A:$B,2,FALSE),VLOOKUP($A218,'NonXtal_SegEnds_Prot#'!A:AL,10,FALSE),1)</f>
        <v>D</v>
      </c>
      <c r="S218" s="102" t="str">
        <f>MID(VLOOKUP($A218,Seqs!$A:$B,2,FALSE),VLOOKUP($A218,'NonXtal_SegEnds_Prot#'!A:AL,10,FALSE)+6,1)</f>
        <v>T</v>
      </c>
      <c r="T218" s="102" t="str">
        <f>MID(VLOOKUP($A218,Seqs!$A:$B,2,FALSE),VLOOKUP($A218,'NonXtal_SegEnds_Prot#'!A:AL,10,FALSE)+7,1)</f>
        <v>Q</v>
      </c>
      <c r="U218" s="102" t="str">
        <f>MID(VLOOKUP($A218,Seqs!$A:$B,2,FALSE),VLOOKUP($A218,'NonXtal_SegEnds_Prot#'!A:AL,10,FALSE)+8,1)</f>
        <v>A</v>
      </c>
      <c r="V218" s="102" t="str">
        <f>MID(VLOOKUP($A218,Seqs!$A:$B,2,FALSE),VLOOKUP($A218,'NonXtal_SegEnds_Prot#'!A:AL,10,FALSE)+9,1)</f>
        <v>P</v>
      </c>
      <c r="W218" s="71" t="str">
        <f>MID(VLOOKUP($A218,Seqs!$A:$B,2,FALSE),VLOOKUP($A218,'NonXtal_SegEnds_Prot#'!$A:$AL,22,FALSE)+6,1)</f>
        <v>W</v>
      </c>
      <c r="X218" s="102" t="str">
        <f>MID(VLOOKUP($A218,Seqs!$A:$B,2,FALSE),VLOOKUP($A218,'NonXtal_SegEnds_Prot#'!$A:$AL,22,FALSE)+7,1)</f>
        <v>S</v>
      </c>
      <c r="Y218" s="102" t="str">
        <f>MID(VLOOKUP($A218,Seqs!$A:$B,2,FALSE),VLOOKUP($A218,'NonXtal_SegEnds_Prot#'!$A:$AL,22,FALSE)+8,1)</f>
        <v>L</v>
      </c>
      <c r="Z218" s="102" t="str">
        <f>MID(VLOOKUP($A218,Seqs!$A:$B,2,FALSE),VLOOKUP($A218,'NonXtal_SegEnds_Prot#'!$A:$AL,22,FALSE)+9,1)</f>
        <v>P</v>
      </c>
      <c r="AA218" s="102" t="str">
        <f>MID(VLOOKUP($A218,Seqs!$A:$B,2,FALSE),VLOOKUP($A218,'NonXtal_SegEnds_Prot#'!$A:$AL,22,FALSE)+10,1)</f>
        <v>P</v>
      </c>
      <c r="AB218" s="71" t="str">
        <f>MID(VLOOKUP($A218,Seqs!$A:$B,2,FALSE),VLOOKUP($A218,'NonXtal_SegEnds_Prot#'!$A:$AL,28,FALSE)-4,1)</f>
        <v>V</v>
      </c>
      <c r="AC218" s="102" t="str">
        <f>MID(VLOOKUP($A218,Seqs!$A:$B,2,FALSE),VLOOKUP($A218,'NonXtal_SegEnds_Prot#'!$A:$AL,28,FALSE),1)</f>
        <v>P</v>
      </c>
    </row>
    <row r="219" spans="1:29" s="2" customFormat="1" x14ac:dyDescent="0.2">
      <c r="A219" s="2" t="s">
        <v>528</v>
      </c>
      <c r="B219" s="2" t="s">
        <v>1116</v>
      </c>
      <c r="C219" s="2" t="str">
        <f>VLOOKUP(A219,Classification!A:D,2,FALSE)</f>
        <v>A</v>
      </c>
      <c r="E219" s="2" t="s">
        <v>20</v>
      </c>
      <c r="N219" s="2" t="s">
        <v>43</v>
      </c>
      <c r="P219" s="4" t="s">
        <v>51</v>
      </c>
      <c r="R219" s="71" t="str">
        <f>MID(VLOOKUP($A219,Seqs!$A:$B,2,FALSE),VLOOKUP($A219,'NonXtal_SegEnds_Prot#'!A:AL,10,FALSE),1)</f>
        <v>D</v>
      </c>
      <c r="S219" s="102" t="str">
        <f>MID(VLOOKUP($A219,Seqs!$A:$B,2,FALSE),VLOOKUP($A219,'NonXtal_SegEnds_Prot#'!A:AL,10,FALSE)+6,1)</f>
        <v>V</v>
      </c>
      <c r="T219" s="102" t="str">
        <f>MID(VLOOKUP($A219,Seqs!$A:$B,2,FALSE),VLOOKUP($A219,'NonXtal_SegEnds_Prot#'!A:AL,10,FALSE)+7,1)</f>
        <v>G</v>
      </c>
      <c r="U219" s="102" t="str">
        <f>MID(VLOOKUP($A219,Seqs!$A:$B,2,FALSE),VLOOKUP($A219,'NonXtal_SegEnds_Prot#'!A:AL,10,FALSE)+8,1)</f>
        <v>K</v>
      </c>
      <c r="V219" s="102" t="str">
        <f>MID(VLOOKUP($A219,Seqs!$A:$B,2,FALSE),VLOOKUP($A219,'NonXtal_SegEnds_Prot#'!A:AL,10,FALSE)+9,1)</f>
        <v>P</v>
      </c>
      <c r="W219" s="71" t="str">
        <f>MID(VLOOKUP($A219,Seqs!$A:$B,2,FALSE),VLOOKUP($A219,'NonXtal_SegEnds_Prot#'!$A:$AL,22,FALSE)+6,1)</f>
        <v>W</v>
      </c>
      <c r="X219" s="102" t="str">
        <f>MID(VLOOKUP($A219,Seqs!$A:$B,2,FALSE),VLOOKUP($A219,'NonXtal_SegEnds_Prot#'!$A:$AL,22,FALSE)+7,1)</f>
        <v>T</v>
      </c>
      <c r="Y219" s="102" t="str">
        <f>MID(VLOOKUP($A219,Seqs!$A:$B,2,FALSE),VLOOKUP($A219,'NonXtal_SegEnds_Prot#'!$A:$AL,22,FALSE)+8,1)</f>
        <v>T</v>
      </c>
      <c r="Z219" s="102" t="str">
        <f>MID(VLOOKUP($A219,Seqs!$A:$B,2,FALSE),VLOOKUP($A219,'NonXtal_SegEnds_Prot#'!$A:$AL,22,FALSE)+9,1)</f>
        <v>M</v>
      </c>
      <c r="AA219" s="102" t="str">
        <f>MID(VLOOKUP($A219,Seqs!$A:$B,2,FALSE),VLOOKUP($A219,'NonXtal_SegEnds_Prot#'!$A:$AL,22,FALSE)+10,1)</f>
        <v>P</v>
      </c>
      <c r="AB219" s="71" t="str">
        <f>MID(VLOOKUP($A219,Seqs!$A:$B,2,FALSE),VLOOKUP($A219,'NonXtal_SegEnds_Prot#'!$A:$AL,28,FALSE)-4,1)</f>
        <v>C</v>
      </c>
      <c r="AC219" s="102" t="str">
        <f>MID(VLOOKUP($A219,Seqs!$A:$B,2,FALSE),VLOOKUP($A219,'NonXtal_SegEnds_Prot#'!$A:$AL,28,FALSE),1)</f>
        <v>P</v>
      </c>
    </row>
    <row r="220" spans="1:29" s="2" customFormat="1" x14ac:dyDescent="0.2">
      <c r="A220" s="2" t="s">
        <v>529</v>
      </c>
      <c r="B220" s="2" t="str">
        <f>LOWER(VLOOKUP(A220,Xtal_Templ!A:B,2,FALSE))</f>
        <v>oprd_human</v>
      </c>
      <c r="C220" s="2" t="str">
        <f>VLOOKUP(A220,Classification!A:D,2,FALSE)</f>
        <v>A</v>
      </c>
      <c r="N220" s="2" t="s">
        <v>43</v>
      </c>
      <c r="P220" s="4" t="s">
        <v>51</v>
      </c>
      <c r="R220" s="71" t="str">
        <f>MID(VLOOKUP($A220,Seqs!$A:$B,2,FALSE),VLOOKUP($A220,'NonXtal_SegEnds_Prot#'!A:AL,10,FALSE),1)</f>
        <v>D</v>
      </c>
      <c r="S220" s="102" t="str">
        <f>MID(VLOOKUP($A220,Seqs!$A:$B,2,FALSE),VLOOKUP($A220,'NonXtal_SegEnds_Prot#'!A:AL,10,FALSE)+6,1)</f>
        <v>T</v>
      </c>
      <c r="T220" s="102" t="str">
        <f>MID(VLOOKUP($A220,Seqs!$A:$B,2,FALSE),VLOOKUP($A220,'NonXtal_SegEnds_Prot#'!A:AL,10,FALSE)+7,1)</f>
        <v>L</v>
      </c>
      <c r="U220" s="102" t="str">
        <f>MID(VLOOKUP($A220,Seqs!$A:$B,2,FALSE),VLOOKUP($A220,'NonXtal_SegEnds_Prot#'!A:AL,10,FALSE)+8,1)</f>
        <v>P</v>
      </c>
      <c r="V220" s="102" t="str">
        <f>MID(VLOOKUP($A220,Seqs!$A:$B,2,FALSE),VLOOKUP($A220,'NonXtal_SegEnds_Prot#'!A:AL,10,FALSE)+9,1)</f>
        <v>F</v>
      </c>
      <c r="W220" s="71" t="str">
        <f>MID(VLOOKUP($A220,Seqs!$A:$B,2,FALSE),VLOOKUP($A220,'NonXtal_SegEnds_Prot#'!$A:$AL,22,FALSE)+6,1)</f>
        <v>V</v>
      </c>
      <c r="X220" s="102" t="str">
        <f>MID(VLOOKUP($A220,Seqs!$A:$B,2,FALSE),VLOOKUP($A220,'NonXtal_SegEnds_Prot#'!$A:$AL,22,FALSE)+7,1)</f>
        <v>G</v>
      </c>
      <c r="Y220" s="102" t="str">
        <f>MID(VLOOKUP($A220,Seqs!$A:$B,2,FALSE),VLOOKUP($A220,'NonXtal_SegEnds_Prot#'!$A:$AL,22,FALSE)+8,1)</f>
        <v>V</v>
      </c>
      <c r="Z220" s="102" t="str">
        <f>MID(VLOOKUP($A220,Seqs!$A:$B,2,FALSE),VLOOKUP($A220,'NonXtal_SegEnds_Prot#'!$A:$AL,22,FALSE)+9,1)</f>
        <v>P</v>
      </c>
      <c r="AA220" s="102" t="str">
        <f>MID(VLOOKUP($A220,Seqs!$A:$B,2,FALSE),VLOOKUP($A220,'NonXtal_SegEnds_Prot#'!$A:$AL,22,FALSE)+10,1)</f>
        <v>I</v>
      </c>
      <c r="AB220" s="71" t="str">
        <f>MID(VLOOKUP($A220,Seqs!$A:$B,2,FALSE),VLOOKUP($A220,'NonXtal_SegEnds_Prot#'!$A:$AL,28,FALSE)-4,1)</f>
        <v>A</v>
      </c>
      <c r="AC220" s="102" t="str">
        <f>MID(VLOOKUP($A220,Seqs!$A:$B,2,FALSE),VLOOKUP($A220,'NonXtal_SegEnds_Prot#'!$A:$AL,28,FALSE),1)</f>
        <v>P</v>
      </c>
    </row>
    <row r="221" spans="1:29" s="2" customFormat="1" x14ac:dyDescent="0.2">
      <c r="A221" s="2" t="s">
        <v>1112</v>
      </c>
      <c r="B221" s="2" t="str">
        <f>LOWER(VLOOKUP(A221,Xtal_Templ!A:B,2,FALSE))</f>
        <v>oprd_mouse</v>
      </c>
      <c r="C221" s="2" t="str">
        <f>VLOOKUP(A221,Classification!A:D,2,FALSE)</f>
        <v>A</v>
      </c>
      <c r="N221" s="2" t="s">
        <v>43</v>
      </c>
      <c r="P221" s="4" t="s">
        <v>51</v>
      </c>
      <c r="R221" s="71" t="str">
        <f>MID(VLOOKUP($A221,Seqs!$A:$B,2,FALSE),VLOOKUP($A221,'NonXtal_SegEnds_Prot#'!A:AL,10,FALSE),1)</f>
        <v>D</v>
      </c>
      <c r="S221" s="102" t="str">
        <f>MID(VLOOKUP($A221,Seqs!$A:$B,2,FALSE),VLOOKUP($A221,'NonXtal_SegEnds_Prot#'!A:AL,10,FALSE)+6,1)</f>
        <v>T</v>
      </c>
      <c r="T221" s="102" t="str">
        <f>MID(VLOOKUP($A221,Seqs!$A:$B,2,FALSE),VLOOKUP($A221,'NonXtal_SegEnds_Prot#'!A:AL,10,FALSE)+7,1)</f>
        <v>L</v>
      </c>
      <c r="U221" s="102" t="str">
        <f>MID(VLOOKUP($A221,Seqs!$A:$B,2,FALSE),VLOOKUP($A221,'NonXtal_SegEnds_Prot#'!A:AL,10,FALSE)+8,1)</f>
        <v>P</v>
      </c>
      <c r="V221" s="102" t="str">
        <f>MID(VLOOKUP($A221,Seqs!$A:$B,2,FALSE),VLOOKUP($A221,'NonXtal_SegEnds_Prot#'!A:AL,10,FALSE)+9,1)</f>
        <v>F</v>
      </c>
      <c r="W221" s="71" t="str">
        <f>MID(VLOOKUP($A221,Seqs!$A:$B,2,FALSE),VLOOKUP($A221,'NonXtal_SegEnds_Prot#'!$A:$AL,22,FALSE)+6,1)</f>
        <v>V</v>
      </c>
      <c r="X221" s="102" t="str">
        <f>MID(VLOOKUP($A221,Seqs!$A:$B,2,FALSE),VLOOKUP($A221,'NonXtal_SegEnds_Prot#'!$A:$AL,22,FALSE)+7,1)</f>
        <v>G</v>
      </c>
      <c r="Y221" s="102" t="str">
        <f>MID(VLOOKUP($A221,Seqs!$A:$B,2,FALSE),VLOOKUP($A221,'NonXtal_SegEnds_Prot#'!$A:$AL,22,FALSE)+8,1)</f>
        <v>V</v>
      </c>
      <c r="Z221" s="102" t="str">
        <f>MID(VLOOKUP($A221,Seqs!$A:$B,2,FALSE),VLOOKUP($A221,'NonXtal_SegEnds_Prot#'!$A:$AL,22,FALSE)+9,1)</f>
        <v>P</v>
      </c>
      <c r="AA221" s="102" t="str">
        <f>MID(VLOOKUP($A221,Seqs!$A:$B,2,FALSE),VLOOKUP($A221,'NonXtal_SegEnds_Prot#'!$A:$AL,22,FALSE)+10,1)</f>
        <v>I</v>
      </c>
      <c r="AB221" s="71" t="str">
        <f>MID(VLOOKUP($A221,Seqs!$A:$B,2,FALSE),VLOOKUP($A221,'NonXtal_SegEnds_Prot#'!$A:$AL,28,FALSE)-4,1)</f>
        <v>A</v>
      </c>
      <c r="AC221" s="102" t="str">
        <f>MID(VLOOKUP($A221,Seqs!$A:$B,2,FALSE),VLOOKUP($A221,'NonXtal_SegEnds_Prot#'!$A:$AL,28,FALSE),1)</f>
        <v>P</v>
      </c>
    </row>
    <row r="222" spans="1:29" s="2" customFormat="1" x14ac:dyDescent="0.2">
      <c r="A222" s="2" t="s">
        <v>530</v>
      </c>
      <c r="B222" s="2" t="str">
        <f>LOWER(VLOOKUP(A222,Xtal_Templ!A:B,2,FALSE))</f>
        <v>oprk_human</v>
      </c>
      <c r="C222" s="2" t="str">
        <f>VLOOKUP(A222,Classification!A:D,2,FALSE)</f>
        <v>A</v>
      </c>
      <c r="N222" s="2" t="s">
        <v>43</v>
      </c>
      <c r="P222" s="4" t="s">
        <v>51</v>
      </c>
      <c r="R222" s="71" t="str">
        <f>MID(VLOOKUP($A222,Seqs!$A:$B,2,FALSE),VLOOKUP($A222,'NonXtal_SegEnds_Prot#'!A:AL,10,FALSE),1)</f>
        <v>D</v>
      </c>
      <c r="S222" s="102" t="str">
        <f>MID(VLOOKUP($A222,Seqs!$A:$B,2,FALSE),VLOOKUP($A222,'NonXtal_SegEnds_Prot#'!A:AL,10,FALSE)+6,1)</f>
        <v>T</v>
      </c>
      <c r="T222" s="102" t="str">
        <f>MID(VLOOKUP($A222,Seqs!$A:$B,2,FALSE),VLOOKUP($A222,'NonXtal_SegEnds_Prot#'!A:AL,10,FALSE)+7,1)</f>
        <v>M</v>
      </c>
      <c r="U222" s="102" t="str">
        <f>MID(VLOOKUP($A222,Seqs!$A:$B,2,FALSE),VLOOKUP($A222,'NonXtal_SegEnds_Prot#'!A:AL,10,FALSE)+8,1)</f>
        <v>P</v>
      </c>
      <c r="V222" s="102" t="str">
        <f>MID(VLOOKUP($A222,Seqs!$A:$B,2,FALSE),VLOOKUP($A222,'NonXtal_SegEnds_Prot#'!A:AL,10,FALSE)+9,1)</f>
        <v>F</v>
      </c>
      <c r="W222" s="71" t="str">
        <f>MID(VLOOKUP($A222,Seqs!$A:$B,2,FALSE),VLOOKUP($A222,'NonXtal_SegEnds_Prot#'!$A:$AL,22,FALSE)+6,1)</f>
        <v>V</v>
      </c>
      <c r="X222" s="102" t="str">
        <f>MID(VLOOKUP($A222,Seqs!$A:$B,2,FALSE),VLOOKUP($A222,'NonXtal_SegEnds_Prot#'!$A:$AL,22,FALSE)+7,1)</f>
        <v>G</v>
      </c>
      <c r="Y222" s="102" t="str">
        <f>MID(VLOOKUP($A222,Seqs!$A:$B,2,FALSE),VLOOKUP($A222,'NonXtal_SegEnds_Prot#'!$A:$AL,22,FALSE)+8,1)</f>
        <v>I</v>
      </c>
      <c r="Z222" s="102" t="str">
        <f>MID(VLOOKUP($A222,Seqs!$A:$B,2,FALSE),VLOOKUP($A222,'NonXtal_SegEnds_Prot#'!$A:$AL,22,FALSE)+9,1)</f>
        <v>S</v>
      </c>
      <c r="AA222" s="102" t="str">
        <f>MID(VLOOKUP($A222,Seqs!$A:$B,2,FALSE),VLOOKUP($A222,'NonXtal_SegEnds_Prot#'!$A:$AL,22,FALSE)+10,1)</f>
        <v>A</v>
      </c>
      <c r="AB222" s="71" t="str">
        <f>MID(VLOOKUP($A222,Seqs!$A:$B,2,FALSE),VLOOKUP($A222,'NonXtal_SegEnds_Prot#'!$A:$AL,28,FALSE)-4,1)</f>
        <v>A</v>
      </c>
      <c r="AC222" s="102" t="str">
        <f>MID(VLOOKUP($A222,Seqs!$A:$B,2,FALSE),VLOOKUP($A222,'NonXtal_SegEnds_Prot#'!$A:$AL,28,FALSE),1)</f>
        <v>P</v>
      </c>
    </row>
    <row r="223" spans="1:29" s="2" customFormat="1" x14ac:dyDescent="0.2">
      <c r="A223" s="2" t="s">
        <v>531</v>
      </c>
      <c r="B223" s="2" t="str">
        <f>LOWER(VLOOKUP(A223,Xtal_Templ!A:B,2,FALSE))</f>
        <v>oprm_mouse</v>
      </c>
      <c r="C223" s="2" t="str">
        <f>VLOOKUP(A223,Classification!A:D,2,FALSE)</f>
        <v>A</v>
      </c>
      <c r="N223" s="2" t="s">
        <v>43</v>
      </c>
      <c r="P223" s="4" t="s">
        <v>51</v>
      </c>
      <c r="R223" s="71" t="str">
        <f>MID(VLOOKUP($A223,Seqs!$A:$B,2,FALSE),VLOOKUP($A223,'NonXtal_SegEnds_Prot#'!A:AL,10,FALSE),1)</f>
        <v>D</v>
      </c>
      <c r="S223" s="102" t="str">
        <f>MID(VLOOKUP($A223,Seqs!$A:$B,2,FALSE),VLOOKUP($A223,'NonXtal_SegEnds_Prot#'!A:AL,10,FALSE)+6,1)</f>
        <v>T</v>
      </c>
      <c r="T223" s="102" t="str">
        <f>MID(VLOOKUP($A223,Seqs!$A:$B,2,FALSE),VLOOKUP($A223,'NonXtal_SegEnds_Prot#'!A:AL,10,FALSE)+7,1)</f>
        <v>L</v>
      </c>
      <c r="U223" s="102" t="str">
        <f>MID(VLOOKUP($A223,Seqs!$A:$B,2,FALSE),VLOOKUP($A223,'NonXtal_SegEnds_Prot#'!A:AL,10,FALSE)+8,1)</f>
        <v>P</v>
      </c>
      <c r="V223" s="102" t="str">
        <f>MID(VLOOKUP($A223,Seqs!$A:$B,2,FALSE),VLOOKUP($A223,'NonXtal_SegEnds_Prot#'!A:AL,10,FALSE)+9,1)</f>
        <v>F</v>
      </c>
      <c r="W223" s="71" t="str">
        <f>MID(VLOOKUP($A223,Seqs!$A:$B,2,FALSE),VLOOKUP($A223,'NonXtal_SegEnds_Prot#'!$A:$AL,22,FALSE)+6,1)</f>
        <v>I</v>
      </c>
      <c r="X223" s="102" t="str">
        <f>MID(VLOOKUP($A223,Seqs!$A:$B,2,FALSE),VLOOKUP($A223,'NonXtal_SegEnds_Prot#'!$A:$AL,22,FALSE)+7,1)</f>
        <v>G</v>
      </c>
      <c r="Y223" s="102" t="str">
        <f>MID(VLOOKUP($A223,Seqs!$A:$B,2,FALSE),VLOOKUP($A223,'NonXtal_SegEnds_Prot#'!$A:$AL,22,FALSE)+8,1)</f>
        <v>L</v>
      </c>
      <c r="Z223" s="102" t="str">
        <f>MID(VLOOKUP($A223,Seqs!$A:$B,2,FALSE),VLOOKUP($A223,'NonXtal_SegEnds_Prot#'!$A:$AL,22,FALSE)+9,1)</f>
        <v>P</v>
      </c>
      <c r="AA223" s="102" t="str">
        <f>MID(VLOOKUP($A223,Seqs!$A:$B,2,FALSE),VLOOKUP($A223,'NonXtal_SegEnds_Prot#'!$A:$AL,22,FALSE)+10,1)</f>
        <v>V</v>
      </c>
      <c r="AB223" s="71" t="str">
        <f>MID(VLOOKUP($A223,Seqs!$A:$B,2,FALSE),VLOOKUP($A223,'NonXtal_SegEnds_Prot#'!$A:$AL,28,FALSE)-4,1)</f>
        <v>A</v>
      </c>
      <c r="AC223" s="102" t="str">
        <f>MID(VLOOKUP($A223,Seqs!$A:$B,2,FALSE),VLOOKUP($A223,'NonXtal_SegEnds_Prot#'!$A:$AL,28,FALSE),1)</f>
        <v>P</v>
      </c>
    </row>
    <row r="224" spans="1:29" s="2" customFormat="1" x14ac:dyDescent="0.2">
      <c r="A224" s="2" t="s">
        <v>1114</v>
      </c>
      <c r="B224" s="2" t="str">
        <f>LOWER(VLOOKUP(A224,Xtal_Templ!A:B,2,FALSE))</f>
        <v>oprm_mouse</v>
      </c>
      <c r="C224" s="2" t="str">
        <f>VLOOKUP(A224,Classification!A:D,2,FALSE)</f>
        <v>A</v>
      </c>
      <c r="N224" s="2" t="s">
        <v>43</v>
      </c>
      <c r="P224" s="4" t="s">
        <v>51</v>
      </c>
      <c r="R224" s="71" t="str">
        <f>MID(VLOOKUP($A224,Seqs!$A:$B,2,FALSE),VLOOKUP($A224,'NonXtal_SegEnds_Prot#'!A:AL,10,FALSE),1)</f>
        <v>D</v>
      </c>
      <c r="S224" s="102" t="str">
        <f>MID(VLOOKUP($A224,Seqs!$A:$B,2,FALSE),VLOOKUP($A224,'NonXtal_SegEnds_Prot#'!A:AL,10,FALSE)+6,1)</f>
        <v>T</v>
      </c>
      <c r="T224" s="102" t="str">
        <f>MID(VLOOKUP($A224,Seqs!$A:$B,2,FALSE),VLOOKUP($A224,'NonXtal_SegEnds_Prot#'!A:AL,10,FALSE)+7,1)</f>
        <v>L</v>
      </c>
      <c r="U224" s="102" t="str">
        <f>MID(VLOOKUP($A224,Seqs!$A:$B,2,FALSE),VLOOKUP($A224,'NonXtal_SegEnds_Prot#'!A:AL,10,FALSE)+8,1)</f>
        <v>P</v>
      </c>
      <c r="V224" s="102" t="str">
        <f>MID(VLOOKUP($A224,Seqs!$A:$B,2,FALSE),VLOOKUP($A224,'NonXtal_SegEnds_Prot#'!A:AL,10,FALSE)+9,1)</f>
        <v>F</v>
      </c>
      <c r="W224" s="71" t="str">
        <f>MID(VLOOKUP($A224,Seqs!$A:$B,2,FALSE),VLOOKUP($A224,'NonXtal_SegEnds_Prot#'!$A:$AL,22,FALSE)+6,1)</f>
        <v>I</v>
      </c>
      <c r="X224" s="102" t="str">
        <f>MID(VLOOKUP($A224,Seqs!$A:$B,2,FALSE),VLOOKUP($A224,'NonXtal_SegEnds_Prot#'!$A:$AL,22,FALSE)+7,1)</f>
        <v>G</v>
      </c>
      <c r="Y224" s="102" t="str">
        <f>MID(VLOOKUP($A224,Seqs!$A:$B,2,FALSE),VLOOKUP($A224,'NonXtal_SegEnds_Prot#'!$A:$AL,22,FALSE)+8,1)</f>
        <v>L</v>
      </c>
      <c r="Z224" s="102" t="str">
        <f>MID(VLOOKUP($A224,Seqs!$A:$B,2,FALSE),VLOOKUP($A224,'NonXtal_SegEnds_Prot#'!$A:$AL,22,FALSE)+9,1)</f>
        <v>P</v>
      </c>
      <c r="AA224" s="102" t="str">
        <f>MID(VLOOKUP($A224,Seqs!$A:$B,2,FALSE),VLOOKUP($A224,'NonXtal_SegEnds_Prot#'!$A:$AL,22,FALSE)+10,1)</f>
        <v>V</v>
      </c>
      <c r="AB224" s="71" t="str">
        <f>MID(VLOOKUP($A224,Seqs!$A:$B,2,FALSE),VLOOKUP($A224,'NonXtal_SegEnds_Prot#'!$A:$AL,28,FALSE)-4,1)</f>
        <v>A</v>
      </c>
      <c r="AC224" s="102" t="str">
        <f>MID(VLOOKUP($A224,Seqs!$A:$B,2,FALSE),VLOOKUP($A224,'NonXtal_SegEnds_Prot#'!$A:$AL,28,FALSE),1)</f>
        <v>P</v>
      </c>
    </row>
    <row r="225" spans="1:29" s="2" customFormat="1" x14ac:dyDescent="0.2">
      <c r="A225" s="2" t="s">
        <v>1393</v>
      </c>
      <c r="B225" s="2" t="str">
        <f>LOWER(VLOOKUP(A225,Xtal_Templ!A:B,2,FALSE))</f>
        <v>oprx_human</v>
      </c>
      <c r="C225" s="2" t="str">
        <f>VLOOKUP(A225,Classification!A:D,2,FALSE)</f>
        <v>A</v>
      </c>
      <c r="N225" s="2" t="s">
        <v>43</v>
      </c>
      <c r="P225" s="4" t="s">
        <v>51</v>
      </c>
      <c r="R225" s="71" t="str">
        <f>MID(VLOOKUP($A225,Seqs!$A:$B,2,FALSE),VLOOKUP($A225,'NonXtal_SegEnds_Prot#'!A:AL,10,FALSE),1)</f>
        <v>D</v>
      </c>
      <c r="S225" s="102" t="str">
        <f>MID(VLOOKUP($A225,Seqs!$A:$B,2,FALSE),VLOOKUP($A225,'NonXtal_SegEnds_Prot#'!A:AL,10,FALSE)+6,1)</f>
        <v>T</v>
      </c>
      <c r="T225" s="102" t="str">
        <f>MID(VLOOKUP($A225,Seqs!$A:$B,2,FALSE),VLOOKUP($A225,'NonXtal_SegEnds_Prot#'!A:AL,10,FALSE)+7,1)</f>
        <v>L</v>
      </c>
      <c r="U225" s="102" t="str">
        <f>MID(VLOOKUP($A225,Seqs!$A:$B,2,FALSE),VLOOKUP($A225,'NonXtal_SegEnds_Prot#'!A:AL,10,FALSE)+8,1)</f>
        <v>P</v>
      </c>
      <c r="V225" s="102" t="str">
        <f>MID(VLOOKUP($A225,Seqs!$A:$B,2,FALSE),VLOOKUP($A225,'NonXtal_SegEnds_Prot#'!A:AL,10,FALSE)+9,1)</f>
        <v>F</v>
      </c>
      <c r="W225" s="71" t="str">
        <f>MID(VLOOKUP($A225,Seqs!$A:$B,2,FALSE),VLOOKUP($A225,'NonXtal_SegEnds_Prot#'!$A:$AL,22,FALSE)+6,1)</f>
        <v>V</v>
      </c>
      <c r="X225" s="102" t="str">
        <f>MID(VLOOKUP($A225,Seqs!$A:$B,2,FALSE),VLOOKUP($A225,'NonXtal_SegEnds_Prot#'!$A:$AL,22,FALSE)+7,1)</f>
        <v>G</v>
      </c>
      <c r="Y225" s="102" t="str">
        <f>MID(VLOOKUP($A225,Seqs!$A:$B,2,FALSE),VLOOKUP($A225,'NonXtal_SegEnds_Prot#'!$A:$AL,22,FALSE)+8,1)</f>
        <v>V</v>
      </c>
      <c r="Z225" s="102" t="str">
        <f>MID(VLOOKUP($A225,Seqs!$A:$B,2,FALSE),VLOOKUP($A225,'NonXtal_SegEnds_Prot#'!$A:$AL,22,FALSE)+9,1)</f>
        <v>P</v>
      </c>
      <c r="AA225" s="102" t="str">
        <f>MID(VLOOKUP($A225,Seqs!$A:$B,2,FALSE),VLOOKUP($A225,'NonXtal_SegEnds_Prot#'!$A:$AL,22,FALSE)+10,1)</f>
        <v>V</v>
      </c>
      <c r="AB225" s="71" t="str">
        <f>MID(VLOOKUP($A225,Seqs!$A:$B,2,FALSE),VLOOKUP($A225,'NonXtal_SegEnds_Prot#'!$A:$AL,28,FALSE)-4,1)</f>
        <v>S</v>
      </c>
      <c r="AC225" s="102" t="str">
        <f>MID(VLOOKUP($A225,Seqs!$A:$B,2,FALSE),VLOOKUP($A225,'NonXtal_SegEnds_Prot#'!$A:$AL,28,FALSE),1)</f>
        <v>P</v>
      </c>
    </row>
    <row r="226" spans="1:29" s="2" customFormat="1" x14ac:dyDescent="0.2">
      <c r="A226" s="2" t="s">
        <v>532</v>
      </c>
      <c r="B226" s="2" t="str">
        <f>LOWER(VLOOKUP(A226,Xtal_Templ!A:B,2,FALSE))</f>
        <v>opsd_human</v>
      </c>
      <c r="C226" s="2" t="str">
        <f>VLOOKUP(A226,Classification!A:D,2,FALSE)</f>
        <v>A</v>
      </c>
      <c r="N226" s="2" t="s">
        <v>43</v>
      </c>
      <c r="P226" s="4" t="s">
        <v>51</v>
      </c>
      <c r="R226" s="71" t="str">
        <f>MID(VLOOKUP($A226,Seqs!$A:$B,2,FALSE),VLOOKUP($A226,'NonXtal_SegEnds_Prot#'!A:AL,10,FALSE),1)</f>
        <v>G</v>
      </c>
      <c r="S226" s="102" t="str">
        <f>MID(VLOOKUP($A226,Seqs!$A:$B,2,FALSE),VLOOKUP($A226,'NonXtal_SegEnds_Prot#'!A:AL,10,FALSE)+6,1)</f>
        <v>F</v>
      </c>
      <c r="T226" s="102" t="str">
        <f>MID(VLOOKUP($A226,Seqs!$A:$B,2,FALSE),VLOOKUP($A226,'NonXtal_SegEnds_Prot#'!A:AL,10,FALSE)+7,1)</f>
        <v>S</v>
      </c>
      <c r="U226" s="102" t="str">
        <f>MID(VLOOKUP($A226,Seqs!$A:$B,2,FALSE),VLOOKUP($A226,'NonXtal_SegEnds_Prot#'!A:AL,10,FALSE)+8,1)</f>
        <v>V</v>
      </c>
      <c r="V226" s="102" t="str">
        <f>MID(VLOOKUP($A226,Seqs!$A:$B,2,FALSE),VLOOKUP($A226,'NonXtal_SegEnds_Prot#'!A:AL,10,FALSE)+9,1)</f>
        <v>F</v>
      </c>
      <c r="W226" s="71" t="str">
        <f>MID(VLOOKUP($A226,Seqs!$A:$B,2,FALSE),VLOOKUP($A226,'NonXtal_SegEnds_Prot#'!$A:$AL,22,FALSE)+6,1)</f>
        <v>V</v>
      </c>
      <c r="X226" s="102" t="str">
        <f>MID(VLOOKUP($A226,Seqs!$A:$B,2,FALSE),VLOOKUP($A226,'NonXtal_SegEnds_Prot#'!$A:$AL,22,FALSE)+7,1)</f>
        <v>S</v>
      </c>
      <c r="Y226" s="102" t="str">
        <f>MID(VLOOKUP($A226,Seqs!$A:$B,2,FALSE),VLOOKUP($A226,'NonXtal_SegEnds_Prot#'!$A:$AL,22,FALSE)+8,1)</f>
        <v>I</v>
      </c>
      <c r="Z226" s="102" t="str">
        <f>MID(VLOOKUP($A226,Seqs!$A:$B,2,FALSE),VLOOKUP($A226,'NonXtal_SegEnds_Prot#'!$A:$AL,22,FALSE)+9,1)</f>
        <v>P</v>
      </c>
      <c r="AA226" s="102" t="str">
        <f>MID(VLOOKUP($A226,Seqs!$A:$B,2,FALSE),VLOOKUP($A226,'NonXtal_SegEnds_Prot#'!$A:$AL,22,FALSE)+10,1)</f>
        <v>P</v>
      </c>
      <c r="AB226" s="71" t="str">
        <f>MID(VLOOKUP($A226,Seqs!$A:$B,2,FALSE),VLOOKUP($A226,'NonXtal_SegEnds_Prot#'!$A:$AL,28,FALSE)-4,1)</f>
        <v>C</v>
      </c>
      <c r="AC226" s="102" t="str">
        <f>MID(VLOOKUP($A226,Seqs!$A:$B,2,FALSE),VLOOKUP($A226,'NonXtal_SegEnds_Prot#'!$A:$AL,28,FALSE),1)</f>
        <v>P</v>
      </c>
    </row>
    <row r="227" spans="1:29" s="2" customFormat="1" x14ac:dyDescent="0.2">
      <c r="A227" s="2" t="s">
        <v>1116</v>
      </c>
      <c r="B227" s="2" t="str">
        <f>LOWER(VLOOKUP(A227,Xtal_Templ!A:B,2,FALSE))</f>
        <v>opsd_bovin</v>
      </c>
      <c r="C227" s="2" t="str">
        <f>VLOOKUP(A227,Classification!A:D,2,FALSE)</f>
        <v>A</v>
      </c>
      <c r="E227" s="2" t="s">
        <v>20</v>
      </c>
      <c r="N227" s="2" t="s">
        <v>43</v>
      </c>
      <c r="P227" s="4" t="s">
        <v>51</v>
      </c>
      <c r="R227" s="71" t="str">
        <f>MID(VLOOKUP($A227,Seqs!$A:$B,2,FALSE),VLOOKUP($A227,'NonXtal_SegEnds_Prot#'!A:AL,10,FALSE),1)</f>
        <v>D</v>
      </c>
      <c r="S227" s="102" t="str">
        <f>MID(VLOOKUP($A227,Seqs!$A:$B,2,FALSE),VLOOKUP($A227,'NonXtal_SegEnds_Prot#'!A:AL,10,FALSE)+6,1)</f>
        <v>G</v>
      </c>
      <c r="T227" s="102" t="str">
        <f>MID(VLOOKUP($A227,Seqs!$A:$B,2,FALSE),VLOOKUP($A227,'NonXtal_SegEnds_Prot#'!A:AL,10,FALSE)+7,1)</f>
        <v>G</v>
      </c>
      <c r="U227" s="102" t="str">
        <f>MID(VLOOKUP($A227,Seqs!$A:$B,2,FALSE),VLOOKUP($A227,'NonXtal_SegEnds_Prot#'!A:AL,10,FALSE)+8,1)</f>
        <v>F</v>
      </c>
      <c r="V227" s="102" t="str">
        <f>MID(VLOOKUP($A227,Seqs!$A:$B,2,FALSE),VLOOKUP($A227,'NonXtal_SegEnds_Prot#'!A:AL,10,FALSE)+9,1)</f>
        <v>T</v>
      </c>
      <c r="W227" s="71" t="str">
        <f>MID(VLOOKUP($A227,Seqs!$A:$B,2,FALSE),VLOOKUP($A227,'NonXtal_SegEnds_Prot#'!$A:$AL,22,FALSE)+6,1)</f>
        <v>C</v>
      </c>
      <c r="X227" s="102" t="str">
        <f>MID(VLOOKUP($A227,Seqs!$A:$B,2,FALSE),VLOOKUP($A227,'NonXtal_SegEnds_Prot#'!$A:$AL,22,FALSE)+7,1)</f>
        <v>A</v>
      </c>
      <c r="Y227" s="102" t="str">
        <f>MID(VLOOKUP($A227,Seqs!$A:$B,2,FALSE),VLOOKUP($A227,'NonXtal_SegEnds_Prot#'!$A:$AL,22,FALSE)+8,1)</f>
        <v>A</v>
      </c>
      <c r="Z227" s="102" t="str">
        <f>MID(VLOOKUP($A227,Seqs!$A:$B,2,FALSE),VLOOKUP($A227,'NonXtal_SegEnds_Prot#'!$A:$AL,22,FALSE)+9,1)</f>
        <v>P</v>
      </c>
      <c r="AA227" s="102" t="str">
        <f>MID(VLOOKUP($A227,Seqs!$A:$B,2,FALSE),VLOOKUP($A227,'NonXtal_SegEnds_Prot#'!$A:$AL,22,FALSE)+10,1)</f>
        <v>P</v>
      </c>
      <c r="AB227" s="71" t="str">
        <f>MID(VLOOKUP($A227,Seqs!$A:$B,2,FALSE),VLOOKUP($A227,'NonXtal_SegEnds_Prot#'!$A:$AL,28,FALSE)-4,1)</f>
        <v>H</v>
      </c>
      <c r="AC227" s="102" t="str">
        <f>MID(VLOOKUP($A227,Seqs!$A:$B,2,FALSE),VLOOKUP($A227,'NonXtal_SegEnds_Prot#'!$A:$AL,28,FALSE),1)</f>
        <v>P</v>
      </c>
    </row>
    <row r="228" spans="1:29" s="2" customFormat="1" x14ac:dyDescent="0.2">
      <c r="A228" s="2" t="s">
        <v>533</v>
      </c>
      <c r="B228" s="2" t="str">
        <f>LOWER(VLOOKUP(A228,Xtal_Templ!A:B,2,FALSE))</f>
        <v>opsd_human</v>
      </c>
      <c r="C228" s="2" t="str">
        <f>VLOOKUP(A228,Classification!A:D,2,FALSE)</f>
        <v>A</v>
      </c>
      <c r="E228" s="2" t="s">
        <v>20</v>
      </c>
      <c r="N228" s="2" t="s">
        <v>43</v>
      </c>
      <c r="P228" s="4" t="s">
        <v>51</v>
      </c>
      <c r="R228" s="71" t="str">
        <f>MID(VLOOKUP($A228,Seqs!$A:$B,2,FALSE),VLOOKUP($A228,'NonXtal_SegEnds_Prot#'!A:AL,10,FALSE),1)</f>
        <v>D</v>
      </c>
      <c r="S228" s="102" t="str">
        <f>MID(VLOOKUP($A228,Seqs!$A:$B,2,FALSE),VLOOKUP($A228,'NonXtal_SegEnds_Prot#'!A:AL,10,FALSE)+6,1)</f>
        <v>G</v>
      </c>
      <c r="T228" s="102" t="str">
        <f>MID(VLOOKUP($A228,Seqs!$A:$B,2,FALSE),VLOOKUP($A228,'NonXtal_SegEnds_Prot#'!A:AL,10,FALSE)+7,1)</f>
        <v>G</v>
      </c>
      <c r="U228" s="102" t="str">
        <f>MID(VLOOKUP($A228,Seqs!$A:$B,2,FALSE),VLOOKUP($A228,'NonXtal_SegEnds_Prot#'!A:AL,10,FALSE)+8,1)</f>
        <v>F</v>
      </c>
      <c r="V228" s="102" t="str">
        <f>MID(VLOOKUP($A228,Seqs!$A:$B,2,FALSE),VLOOKUP($A228,'NonXtal_SegEnds_Prot#'!A:AL,10,FALSE)+9,1)</f>
        <v>T</v>
      </c>
      <c r="W228" s="71" t="str">
        <f>MID(VLOOKUP($A228,Seqs!$A:$B,2,FALSE),VLOOKUP($A228,'NonXtal_SegEnds_Prot#'!$A:$AL,22,FALSE)+6,1)</f>
        <v>C</v>
      </c>
      <c r="X228" s="102" t="str">
        <f>MID(VLOOKUP($A228,Seqs!$A:$B,2,FALSE),VLOOKUP($A228,'NonXtal_SegEnds_Prot#'!$A:$AL,22,FALSE)+7,1)</f>
        <v>A</v>
      </c>
      <c r="Y228" s="102" t="str">
        <f>MID(VLOOKUP($A228,Seqs!$A:$B,2,FALSE),VLOOKUP($A228,'NonXtal_SegEnds_Prot#'!$A:$AL,22,FALSE)+8,1)</f>
        <v>A</v>
      </c>
      <c r="Z228" s="102" t="str">
        <f>MID(VLOOKUP($A228,Seqs!$A:$B,2,FALSE),VLOOKUP($A228,'NonXtal_SegEnds_Prot#'!$A:$AL,22,FALSE)+9,1)</f>
        <v>P</v>
      </c>
      <c r="AA228" s="102" t="str">
        <f>MID(VLOOKUP($A228,Seqs!$A:$B,2,FALSE),VLOOKUP($A228,'NonXtal_SegEnds_Prot#'!$A:$AL,22,FALSE)+10,1)</f>
        <v>P</v>
      </c>
      <c r="AB228" s="71" t="str">
        <f>MID(VLOOKUP($A228,Seqs!$A:$B,2,FALSE),VLOOKUP($A228,'NonXtal_SegEnds_Prot#'!$A:$AL,28,FALSE)-4,1)</f>
        <v>H</v>
      </c>
      <c r="AC228" s="102" t="str">
        <f>MID(VLOOKUP($A228,Seqs!$A:$B,2,FALSE),VLOOKUP($A228,'NonXtal_SegEnds_Prot#'!$A:$AL,28,FALSE),1)</f>
        <v>P</v>
      </c>
    </row>
    <row r="229" spans="1:29" s="2" customFormat="1" x14ac:dyDescent="0.2">
      <c r="A229" s="2" t="s">
        <v>1118</v>
      </c>
      <c r="B229" s="2" t="str">
        <f>LOWER(VLOOKUP(A229,Xtal_Templ!A:B,2,FALSE))</f>
        <v>opsd_todpa</v>
      </c>
      <c r="C229" s="2" t="str">
        <f>VLOOKUP(A229,Classification!A:D,2,FALSE)</f>
        <v>A</v>
      </c>
      <c r="N229" s="2" t="s">
        <v>43</v>
      </c>
      <c r="P229" s="4" t="s">
        <v>51</v>
      </c>
      <c r="R229" s="71" t="str">
        <f>MID(VLOOKUP($A229,Seqs!$A:$B,2,FALSE),VLOOKUP($A229,'NonXtal_SegEnds_Prot#'!A:AL,10,FALSE),1)</f>
        <v>D</v>
      </c>
      <c r="S229" s="102" t="str">
        <f>MID(VLOOKUP($A229,Seqs!$A:$B,2,FALSE),VLOOKUP($A229,'NonXtal_SegEnds_Prot#'!A:AL,10,FALSE)+6,1)</f>
        <v>V</v>
      </c>
      <c r="T229" s="102" t="str">
        <f>MID(VLOOKUP($A229,Seqs!$A:$B,2,FALSE),VLOOKUP($A229,'NonXtal_SegEnds_Prot#'!A:AL,10,FALSE)+7,1)</f>
        <v>N</v>
      </c>
      <c r="U229" s="102" t="str">
        <f>MID(VLOOKUP($A229,Seqs!$A:$B,2,FALSE),VLOOKUP($A229,'NonXtal_SegEnds_Prot#'!A:AL,10,FALSE)+8,1)</f>
        <v>G</v>
      </c>
      <c r="V229" s="102" t="str">
        <f>MID(VLOOKUP($A229,Seqs!$A:$B,2,FALSE),VLOOKUP($A229,'NonXtal_SegEnds_Prot#'!A:AL,10,FALSE)+9,1)</f>
        <v>F</v>
      </c>
      <c r="W229" s="71" t="str">
        <f>MID(VLOOKUP($A229,Seqs!$A:$B,2,FALSE),VLOOKUP($A229,'NonXtal_SegEnds_Prot#'!$A:$AL,22,FALSE)+6,1)</f>
        <v>W</v>
      </c>
      <c r="X229" s="102" t="str">
        <f>MID(VLOOKUP($A229,Seqs!$A:$B,2,FALSE),VLOOKUP($A229,'NonXtal_SegEnds_Prot#'!$A:$AL,22,FALSE)+7,1)</f>
        <v>A</v>
      </c>
      <c r="Y229" s="102" t="str">
        <f>MID(VLOOKUP($A229,Seqs!$A:$B,2,FALSE),VLOOKUP($A229,'NonXtal_SegEnds_Prot#'!$A:$AL,22,FALSE)+8,1)</f>
        <v>I</v>
      </c>
      <c r="Z229" s="102" t="str">
        <f>MID(VLOOKUP($A229,Seqs!$A:$B,2,FALSE),VLOOKUP($A229,'NonXtal_SegEnds_Prot#'!$A:$AL,22,FALSE)+9,1)</f>
        <v>G</v>
      </c>
      <c r="AA229" s="102" t="str">
        <f>MID(VLOOKUP($A229,Seqs!$A:$B,2,FALSE),VLOOKUP($A229,'NonXtal_SegEnds_Prot#'!$A:$AL,22,FALSE)+10,1)</f>
        <v>P</v>
      </c>
      <c r="AB229" s="71" t="str">
        <f>MID(VLOOKUP($A229,Seqs!$A:$B,2,FALSE),VLOOKUP($A229,'NonXtal_SegEnds_Prot#'!$A:$AL,28,FALSE)-4,1)</f>
        <v>G</v>
      </c>
      <c r="AC229" s="102" t="str">
        <f>MID(VLOOKUP($A229,Seqs!$A:$B,2,FALSE),VLOOKUP($A229,'NonXtal_SegEnds_Prot#'!$A:$AL,28,FALSE),1)</f>
        <v>P</v>
      </c>
    </row>
    <row r="230" spans="1:29" s="2" customFormat="1" x14ac:dyDescent="0.2">
      <c r="A230" s="2" t="s">
        <v>534</v>
      </c>
      <c r="B230" s="2" t="str">
        <f>LOWER(VLOOKUP(A230,Xtal_Templ!A:B,2,FALSE))</f>
        <v>opsd_human</v>
      </c>
      <c r="C230" s="2" t="str">
        <f>VLOOKUP(A230,Classification!A:D,2,FALSE)</f>
        <v>A</v>
      </c>
      <c r="N230" s="2" t="s">
        <v>43</v>
      </c>
      <c r="P230" s="4" t="s">
        <v>51</v>
      </c>
      <c r="R230" s="71" t="str">
        <f>MID(VLOOKUP($A230,Seqs!$A:$B,2,FALSE),VLOOKUP($A230,'NonXtal_SegEnds_Prot#'!A:AL,10,FALSE),1)</f>
        <v>D</v>
      </c>
      <c r="S230" s="102" t="str">
        <f>MID(VLOOKUP($A230,Seqs!$A:$B,2,FALSE),VLOOKUP($A230,'NonXtal_SegEnds_Prot#'!A:AL,10,FALSE)+6,1)</f>
        <v>I</v>
      </c>
      <c r="T230" s="102" t="str">
        <f>MID(VLOOKUP($A230,Seqs!$A:$B,2,FALSE),VLOOKUP($A230,'NonXtal_SegEnds_Prot#'!A:AL,10,FALSE)+7,1)</f>
        <v>A</v>
      </c>
      <c r="U230" s="102" t="str">
        <f>MID(VLOOKUP($A230,Seqs!$A:$B,2,FALSE),VLOOKUP($A230,'NonXtal_SegEnds_Prot#'!A:AL,10,FALSE)+8,1)</f>
        <v>S</v>
      </c>
      <c r="V230" s="102" t="str">
        <f>MID(VLOOKUP($A230,Seqs!$A:$B,2,FALSE),VLOOKUP($A230,'NonXtal_SegEnds_Prot#'!A:AL,10,FALSE)+9,1)</f>
        <v>T</v>
      </c>
      <c r="W230" s="71" t="str">
        <f>MID(VLOOKUP($A230,Seqs!$A:$B,2,FALSE),VLOOKUP($A230,'NonXtal_SegEnds_Prot#'!$A:$AL,22,FALSE)+6,1)</f>
        <v>W</v>
      </c>
      <c r="X230" s="102" t="str">
        <f>MID(VLOOKUP($A230,Seqs!$A:$B,2,FALSE),VLOOKUP($A230,'NonXtal_SegEnds_Prot#'!$A:$AL,22,FALSE)+7,1)</f>
        <v>T</v>
      </c>
      <c r="Y230" s="102" t="str">
        <f>MID(VLOOKUP($A230,Seqs!$A:$B,2,FALSE),VLOOKUP($A230,'NonXtal_SegEnds_Prot#'!$A:$AL,22,FALSE)+8,1)</f>
        <v>A</v>
      </c>
      <c r="Z230" s="102" t="str">
        <f>MID(VLOOKUP($A230,Seqs!$A:$B,2,FALSE),VLOOKUP($A230,'NonXtal_SegEnds_Prot#'!$A:$AL,22,FALSE)+9,1)</f>
        <v>P</v>
      </c>
      <c r="AA230" s="102" t="str">
        <f>MID(VLOOKUP($A230,Seqs!$A:$B,2,FALSE),VLOOKUP($A230,'NonXtal_SegEnds_Prot#'!$A:$AL,22,FALSE)+10,1)</f>
        <v>P</v>
      </c>
      <c r="AB230" s="71" t="str">
        <f>MID(VLOOKUP($A230,Seqs!$A:$B,2,FALSE),VLOOKUP($A230,'NonXtal_SegEnds_Prot#'!$A:$AL,28,FALSE)-4,1)</f>
        <v>C</v>
      </c>
      <c r="AC230" s="102" t="str">
        <f>MID(VLOOKUP($A230,Seqs!$A:$B,2,FALSE),VLOOKUP($A230,'NonXtal_SegEnds_Prot#'!$A:$AL,28,FALSE),1)</f>
        <v>P</v>
      </c>
    </row>
    <row r="231" spans="1:29" s="2" customFormat="1" x14ac:dyDescent="0.2">
      <c r="A231" s="2" t="s">
        <v>535</v>
      </c>
      <c r="B231" s="2" t="str">
        <f>LOWER(VLOOKUP(A231,Xtal_Templ!A:B,2,FALSE))</f>
        <v>opsd_human</v>
      </c>
      <c r="C231" s="2" t="str">
        <f>VLOOKUP(A231,Classification!A:D,2,FALSE)</f>
        <v>A</v>
      </c>
      <c r="N231" s="2" t="s">
        <v>43</v>
      </c>
      <c r="P231" s="4" t="s">
        <v>51</v>
      </c>
      <c r="R231" s="71" t="str">
        <f>MID(VLOOKUP($A231,Seqs!$A:$B,2,FALSE),VLOOKUP($A231,'NonXtal_SegEnds_Prot#'!A:AL,10,FALSE),1)</f>
        <v>D</v>
      </c>
      <c r="S231" s="102" t="str">
        <f>MID(VLOOKUP($A231,Seqs!$A:$B,2,FALSE),VLOOKUP($A231,'NonXtal_SegEnds_Prot#'!A:AL,10,FALSE)+6,1)</f>
        <v>I</v>
      </c>
      <c r="T231" s="102" t="str">
        <f>MID(VLOOKUP($A231,Seqs!$A:$B,2,FALSE),VLOOKUP($A231,'NonXtal_SegEnds_Prot#'!A:AL,10,FALSE)+7,1)</f>
        <v>A</v>
      </c>
      <c r="U231" s="102" t="str">
        <f>MID(VLOOKUP($A231,Seqs!$A:$B,2,FALSE),VLOOKUP($A231,'NonXtal_SegEnds_Prot#'!A:AL,10,FALSE)+8,1)</f>
        <v>S</v>
      </c>
      <c r="V231" s="102" t="str">
        <f>MID(VLOOKUP($A231,Seqs!$A:$B,2,FALSE),VLOOKUP($A231,'NonXtal_SegEnds_Prot#'!A:AL,10,FALSE)+9,1)</f>
        <v>T</v>
      </c>
      <c r="W231" s="71" t="str">
        <f>MID(VLOOKUP($A231,Seqs!$A:$B,2,FALSE),VLOOKUP($A231,'NonXtal_SegEnds_Prot#'!$A:$AL,22,FALSE)+6,1)</f>
        <v>W</v>
      </c>
      <c r="X231" s="102" t="str">
        <f>MID(VLOOKUP($A231,Seqs!$A:$B,2,FALSE),VLOOKUP($A231,'NonXtal_SegEnds_Prot#'!$A:$AL,22,FALSE)+7,1)</f>
        <v>T</v>
      </c>
      <c r="Y231" s="102" t="str">
        <f>MID(VLOOKUP($A231,Seqs!$A:$B,2,FALSE),VLOOKUP($A231,'NonXtal_SegEnds_Prot#'!$A:$AL,22,FALSE)+8,1)</f>
        <v>A</v>
      </c>
      <c r="Z231" s="102" t="str">
        <f>MID(VLOOKUP($A231,Seqs!$A:$B,2,FALSE),VLOOKUP($A231,'NonXtal_SegEnds_Prot#'!$A:$AL,22,FALSE)+9,1)</f>
        <v>P</v>
      </c>
      <c r="AA231" s="102" t="str">
        <f>MID(VLOOKUP($A231,Seqs!$A:$B,2,FALSE),VLOOKUP($A231,'NonXtal_SegEnds_Prot#'!$A:$AL,22,FALSE)+10,1)</f>
        <v>P</v>
      </c>
      <c r="AB231" s="71" t="str">
        <f>MID(VLOOKUP($A231,Seqs!$A:$B,2,FALSE),VLOOKUP($A231,'NonXtal_SegEnds_Prot#'!$A:$AL,28,FALSE)-4,1)</f>
        <v>C</v>
      </c>
      <c r="AC231" s="102" t="str">
        <f>MID(VLOOKUP($A231,Seqs!$A:$B,2,FALSE),VLOOKUP($A231,'NonXtal_SegEnds_Prot#'!$A:$AL,28,FALSE),1)</f>
        <v>P</v>
      </c>
    </row>
    <row r="232" spans="1:29" s="2" customFormat="1" x14ac:dyDescent="0.2">
      <c r="A232" s="2" t="s">
        <v>1394</v>
      </c>
      <c r="B232" s="2" t="str">
        <f>LOWER(VLOOKUP(A232,Xtal_Templ!A:B,2,FALSE))</f>
        <v>ox1r_human</v>
      </c>
      <c r="C232" s="2" t="str">
        <f>VLOOKUP(A232,Classification!A:D,2,FALSE)</f>
        <v>A</v>
      </c>
      <c r="E232" s="2" t="s">
        <v>20</v>
      </c>
      <c r="K232" s="2" t="s">
        <v>59</v>
      </c>
      <c r="N232" s="2" t="s">
        <v>43</v>
      </c>
      <c r="P232" s="4" t="s">
        <v>51</v>
      </c>
      <c r="R232" s="71" t="str">
        <f>MID(VLOOKUP($A232,Seqs!$A:$B,2,FALSE),VLOOKUP($A232,'NonXtal_SegEnds_Prot#'!A:AL,10,FALSE),1)</f>
        <v>D</v>
      </c>
      <c r="S232" s="102" t="str">
        <f>MID(VLOOKUP($A232,Seqs!$A:$B,2,FALSE),VLOOKUP($A232,'NonXtal_SegEnds_Prot#'!A:AL,10,FALSE)+6,1)</f>
        <v>I</v>
      </c>
      <c r="T232" s="102" t="str">
        <f>MID(VLOOKUP($A232,Seqs!$A:$B,2,FALSE),VLOOKUP($A232,'NonXtal_SegEnds_Prot#'!A:AL,10,FALSE)+7,1)</f>
        <v>C</v>
      </c>
      <c r="U232" s="102" t="str">
        <f>MID(VLOOKUP($A232,Seqs!$A:$B,2,FALSE),VLOOKUP($A232,'NonXtal_SegEnds_Prot#'!A:AL,10,FALSE)+8,1)</f>
        <v>L</v>
      </c>
      <c r="V232" s="102" t="str">
        <f>MID(VLOOKUP($A232,Seqs!$A:$B,2,FALSE),VLOOKUP($A232,'NonXtal_SegEnds_Prot#'!A:AL,10,FALSE)+9,1)</f>
        <v>P</v>
      </c>
      <c r="W232" s="71" t="str">
        <f>MID(VLOOKUP($A232,Seqs!$A:$B,2,FALSE),VLOOKUP($A232,'NonXtal_SegEnds_Prot#'!$A:$AL,22,FALSE)+6,1)</f>
        <v>I</v>
      </c>
      <c r="X232" s="102" t="str">
        <f>MID(VLOOKUP($A232,Seqs!$A:$B,2,FALSE),VLOOKUP($A232,'NonXtal_SegEnds_Prot#'!$A:$AL,22,FALSE)+7,1)</f>
        <v>M</v>
      </c>
      <c r="Y232" s="102" t="str">
        <f>MID(VLOOKUP($A232,Seqs!$A:$B,2,FALSE),VLOOKUP($A232,'NonXtal_SegEnds_Prot#'!$A:$AL,22,FALSE)+8,1)</f>
        <v>V</v>
      </c>
      <c r="Z232" s="102" t="str">
        <f>MID(VLOOKUP($A232,Seqs!$A:$B,2,FALSE),VLOOKUP($A232,'NonXtal_SegEnds_Prot#'!$A:$AL,22,FALSE)+9,1)</f>
        <v>P</v>
      </c>
      <c r="AA232" s="102" t="str">
        <f>MID(VLOOKUP($A232,Seqs!$A:$B,2,FALSE),VLOOKUP($A232,'NonXtal_SegEnds_Prot#'!$A:$AL,22,FALSE)+10,1)</f>
        <v>Q</v>
      </c>
      <c r="AB232" s="71" t="str">
        <f>MID(VLOOKUP($A232,Seqs!$A:$B,2,FALSE),VLOOKUP($A232,'NonXtal_SegEnds_Prot#'!$A:$AL,28,FALSE)-4,1)</f>
        <v>T</v>
      </c>
      <c r="AC232" s="102" t="str">
        <f>MID(VLOOKUP($A232,Seqs!$A:$B,2,FALSE),VLOOKUP($A232,'NonXtal_SegEnds_Prot#'!$A:$AL,28,FALSE),1)</f>
        <v>P</v>
      </c>
    </row>
    <row r="233" spans="1:29" s="2" customFormat="1" x14ac:dyDescent="0.2">
      <c r="A233" s="2" t="s">
        <v>1395</v>
      </c>
      <c r="B233" s="2" t="str">
        <f>LOWER(VLOOKUP(A233,Xtal_Templ!A:B,2,FALSE))</f>
        <v>ox2r_human</v>
      </c>
      <c r="C233" s="2" t="str">
        <f>VLOOKUP(A233,Classification!A:D,2,FALSE)</f>
        <v>A</v>
      </c>
      <c r="E233" s="2" t="s">
        <v>20</v>
      </c>
      <c r="K233" s="2" t="s">
        <v>59</v>
      </c>
      <c r="N233" s="2" t="s">
        <v>43</v>
      </c>
      <c r="P233" s="4" t="s">
        <v>51</v>
      </c>
      <c r="R233" s="71" t="str">
        <f>MID(VLOOKUP($A233,Seqs!$A:$B,2,FALSE),VLOOKUP($A233,'NonXtal_SegEnds_Prot#'!A:AL,10,FALSE),1)</f>
        <v>D</v>
      </c>
      <c r="S233" s="102" t="str">
        <f>MID(VLOOKUP($A233,Seqs!$A:$B,2,FALSE),VLOOKUP($A233,'NonXtal_SegEnds_Prot#'!A:AL,10,FALSE)+6,1)</f>
        <v>T</v>
      </c>
      <c r="T233" s="102" t="str">
        <f>MID(VLOOKUP($A233,Seqs!$A:$B,2,FALSE),VLOOKUP($A233,'NonXtal_SegEnds_Prot#'!A:AL,10,FALSE)+7,1)</f>
        <v>C</v>
      </c>
      <c r="U233" s="102" t="str">
        <f>MID(VLOOKUP($A233,Seqs!$A:$B,2,FALSE),VLOOKUP($A233,'NonXtal_SegEnds_Prot#'!A:AL,10,FALSE)+8,1)</f>
        <v>L</v>
      </c>
      <c r="V233" s="102" t="str">
        <f>MID(VLOOKUP($A233,Seqs!$A:$B,2,FALSE),VLOOKUP($A233,'NonXtal_SegEnds_Prot#'!A:AL,10,FALSE)+9,1)</f>
        <v>P</v>
      </c>
      <c r="W233" s="71" t="str">
        <f>MID(VLOOKUP($A233,Seqs!$A:$B,2,FALSE),VLOOKUP($A233,'NonXtal_SegEnds_Prot#'!$A:$AL,22,FALSE)+6,1)</f>
        <v>I</v>
      </c>
      <c r="X233" s="102" t="str">
        <f>MID(VLOOKUP($A233,Seqs!$A:$B,2,FALSE),VLOOKUP($A233,'NonXtal_SegEnds_Prot#'!$A:$AL,22,FALSE)+7,1)</f>
        <v>M</v>
      </c>
      <c r="Y233" s="102" t="str">
        <f>MID(VLOOKUP($A233,Seqs!$A:$B,2,FALSE),VLOOKUP($A233,'NonXtal_SegEnds_Prot#'!$A:$AL,22,FALSE)+8,1)</f>
        <v>I</v>
      </c>
      <c r="Z233" s="102" t="str">
        <f>MID(VLOOKUP($A233,Seqs!$A:$B,2,FALSE),VLOOKUP($A233,'NonXtal_SegEnds_Prot#'!$A:$AL,22,FALSE)+9,1)</f>
        <v>P</v>
      </c>
      <c r="AA233" s="102" t="str">
        <f>MID(VLOOKUP($A233,Seqs!$A:$B,2,FALSE),VLOOKUP($A233,'NonXtal_SegEnds_Prot#'!$A:$AL,22,FALSE)+10,1)</f>
        <v>Q</v>
      </c>
      <c r="AB233" s="71" t="str">
        <f>MID(VLOOKUP($A233,Seqs!$A:$B,2,FALSE),VLOOKUP($A233,'NonXtal_SegEnds_Prot#'!$A:$AL,28,FALSE)-4,1)</f>
        <v>T</v>
      </c>
      <c r="AC233" s="102" t="str">
        <f>MID(VLOOKUP($A233,Seqs!$A:$B,2,FALSE),VLOOKUP($A233,'NonXtal_SegEnds_Prot#'!$A:$AL,28,FALSE),1)</f>
        <v>P</v>
      </c>
    </row>
    <row r="234" spans="1:29" s="2" customFormat="1" x14ac:dyDescent="0.2">
      <c r="A234" s="2" t="s">
        <v>536</v>
      </c>
      <c r="B234" s="2" t="str">
        <f>LOWER(VLOOKUP(A234,Xtal_Templ!A:B,2,FALSE))</f>
        <v>oprk_human</v>
      </c>
      <c r="C234" s="2" t="str">
        <f>VLOOKUP(A234,Classification!A:D,2,FALSE)</f>
        <v>A</v>
      </c>
      <c r="N234" s="2" t="s">
        <v>43</v>
      </c>
      <c r="P234" s="4" t="s">
        <v>51</v>
      </c>
      <c r="R234" s="71" t="str">
        <f>MID(VLOOKUP($A234,Seqs!$A:$B,2,FALSE),VLOOKUP($A234,'NonXtal_SegEnds_Prot#'!A:AL,10,FALSE),1)</f>
        <v>D</v>
      </c>
      <c r="S234" s="102" t="str">
        <f>MID(VLOOKUP($A234,Seqs!$A:$B,2,FALSE),VLOOKUP($A234,'NonXtal_SegEnds_Prot#'!A:AL,10,FALSE)+6,1)</f>
        <v>N</v>
      </c>
      <c r="T234" s="102" t="str">
        <f>MID(VLOOKUP($A234,Seqs!$A:$B,2,FALSE),VLOOKUP($A234,'NonXtal_SegEnds_Prot#'!A:AL,10,FALSE)+7,1)</f>
        <v>L</v>
      </c>
      <c r="U234" s="102" t="str">
        <f>MID(VLOOKUP($A234,Seqs!$A:$B,2,FALSE),VLOOKUP($A234,'NonXtal_SegEnds_Prot#'!A:AL,10,FALSE)+8,1)</f>
        <v>P</v>
      </c>
      <c r="V234" s="102" t="str">
        <f>MID(VLOOKUP($A234,Seqs!$A:$B,2,FALSE),VLOOKUP($A234,'NonXtal_SegEnds_Prot#'!A:AL,10,FALSE)+9,1)</f>
        <v>L</v>
      </c>
      <c r="W234" s="71" t="str">
        <f>MID(VLOOKUP($A234,Seqs!$A:$B,2,FALSE),VLOOKUP($A234,'NonXtal_SegEnds_Prot#'!$A:$AL,22,FALSE)+6,1)</f>
        <v>L</v>
      </c>
      <c r="X234" s="102" t="str">
        <f>MID(VLOOKUP($A234,Seqs!$A:$B,2,FALSE),VLOOKUP($A234,'NonXtal_SegEnds_Prot#'!$A:$AL,22,FALSE)+7,1)</f>
        <v>N</v>
      </c>
      <c r="Y234" s="102" t="str">
        <f>MID(VLOOKUP($A234,Seqs!$A:$B,2,FALSE),VLOOKUP($A234,'NonXtal_SegEnds_Prot#'!$A:$AL,22,FALSE)+8,1)</f>
        <v>G</v>
      </c>
      <c r="Z234" s="102" t="str">
        <f>MID(VLOOKUP($A234,Seqs!$A:$B,2,FALSE),VLOOKUP($A234,'NonXtal_SegEnds_Prot#'!$A:$AL,22,FALSE)+9,1)</f>
        <v>H</v>
      </c>
      <c r="AA234" s="102" t="str">
        <f>MID(VLOOKUP($A234,Seqs!$A:$B,2,FALSE),VLOOKUP($A234,'NonXtal_SegEnds_Prot#'!$A:$AL,22,FALSE)+10,1)</f>
        <v>L</v>
      </c>
      <c r="AB234" s="71" t="str">
        <f>MID(VLOOKUP($A234,Seqs!$A:$B,2,FALSE),VLOOKUP($A234,'NonXtal_SegEnds_Prot#'!$A:$AL,28,FALSE)-4,1)</f>
        <v>E</v>
      </c>
      <c r="AC234" s="102" t="str">
        <f>MID(VLOOKUP($A234,Seqs!$A:$B,2,FALSE),VLOOKUP($A234,'NonXtal_SegEnds_Prot#'!$A:$AL,28,FALSE),1)</f>
        <v>P</v>
      </c>
    </row>
    <row r="235" spans="1:29" s="2" customFormat="1" x14ac:dyDescent="0.2">
      <c r="A235" s="2" t="s">
        <v>537</v>
      </c>
      <c r="B235" s="2" t="str">
        <f>LOWER(VLOOKUP(A235,Xtal_Templ!A:B,2,FALSE))</f>
        <v>p2ry1_human</v>
      </c>
      <c r="C235" s="2" t="str">
        <f>VLOOKUP(A235,Classification!A:D,2,FALSE)</f>
        <v>A</v>
      </c>
      <c r="K235" s="2" t="s">
        <v>59</v>
      </c>
      <c r="N235" s="2" t="s">
        <v>43</v>
      </c>
      <c r="P235" s="4" t="s">
        <v>51</v>
      </c>
      <c r="R235" s="71" t="str">
        <f>MID(VLOOKUP($A235,Seqs!$A:$B,2,FALSE),VLOOKUP($A235,'NonXtal_SegEnds_Prot#'!A:AL,10,FALSE),1)</f>
        <v>D</v>
      </c>
      <c r="S235" s="102" t="str">
        <f>MID(VLOOKUP($A235,Seqs!$A:$B,2,FALSE),VLOOKUP($A235,'NonXtal_SegEnds_Prot#'!A:AL,10,FALSE)+6,1)</f>
        <v>S</v>
      </c>
      <c r="T235" s="102" t="str">
        <f>MID(VLOOKUP($A235,Seqs!$A:$B,2,FALSE),VLOOKUP($A235,'NonXtal_SegEnds_Prot#'!A:AL,10,FALSE)+7,1)</f>
        <v>L</v>
      </c>
      <c r="U235" s="102" t="str">
        <f>MID(VLOOKUP($A235,Seqs!$A:$B,2,FALSE),VLOOKUP($A235,'NonXtal_SegEnds_Prot#'!A:AL,10,FALSE)+8,1)</f>
        <v>P</v>
      </c>
      <c r="V235" s="102" t="str">
        <f>MID(VLOOKUP($A235,Seqs!$A:$B,2,FALSE),VLOOKUP($A235,'NonXtal_SegEnds_Prot#'!A:AL,10,FALSE)+9,1)</f>
        <v>F</v>
      </c>
      <c r="W235" s="71" t="str">
        <f>MID(VLOOKUP($A235,Seqs!$A:$B,2,FALSE),VLOOKUP($A235,'NonXtal_SegEnds_Prot#'!$A:$AL,22,FALSE)+6,1)</f>
        <v>A</v>
      </c>
      <c r="X235" s="102" t="str">
        <f>MID(VLOOKUP($A235,Seqs!$A:$B,2,FALSE),VLOOKUP($A235,'NonXtal_SegEnds_Prot#'!$A:$AL,22,FALSE)+7,1)</f>
        <v>V</v>
      </c>
      <c r="Y235" s="102" t="str">
        <f>MID(VLOOKUP($A235,Seqs!$A:$B,2,FALSE),VLOOKUP($A235,'NonXtal_SegEnds_Prot#'!$A:$AL,22,FALSE)+8,1)</f>
        <v>I</v>
      </c>
      <c r="Z235" s="102" t="str">
        <f>MID(VLOOKUP($A235,Seqs!$A:$B,2,FALSE),VLOOKUP($A235,'NonXtal_SegEnds_Prot#'!$A:$AL,22,FALSE)+9,1)</f>
        <v>P</v>
      </c>
      <c r="AA235" s="102" t="str">
        <f>MID(VLOOKUP($A235,Seqs!$A:$B,2,FALSE),VLOOKUP($A235,'NonXtal_SegEnds_Prot#'!$A:$AL,22,FALSE)+10,1)</f>
        <v>M</v>
      </c>
      <c r="AB235" s="71" t="str">
        <f>MID(VLOOKUP($A235,Seqs!$A:$B,2,FALSE),VLOOKUP($A235,'NonXtal_SegEnds_Prot#'!$A:$AL,28,FALSE)-4,1)</f>
        <v>T</v>
      </c>
      <c r="AC235" s="102" t="str">
        <f>MID(VLOOKUP($A235,Seqs!$A:$B,2,FALSE),VLOOKUP($A235,'NonXtal_SegEnds_Prot#'!$A:$AL,28,FALSE),1)</f>
        <v>P</v>
      </c>
    </row>
    <row r="236" spans="1:29" s="2" customFormat="1" x14ac:dyDescent="0.2">
      <c r="A236" s="2" t="s">
        <v>538</v>
      </c>
      <c r="B236" s="2" t="str">
        <f>LOWER(VLOOKUP(A236,Xtal_Templ!A:B,2,FALSE))</f>
        <v>ox1r_human</v>
      </c>
      <c r="C236" s="2" t="str">
        <f>VLOOKUP(A236,Classification!A:D,2,FALSE)</f>
        <v>A</v>
      </c>
      <c r="K236" s="2" t="s">
        <v>59</v>
      </c>
      <c r="N236" s="2" t="s">
        <v>43</v>
      </c>
      <c r="P236" s="4" t="s">
        <v>51</v>
      </c>
      <c r="R236" s="71" t="str">
        <f>MID(VLOOKUP($A236,Seqs!$A:$B,2,FALSE),VLOOKUP($A236,'NonXtal_SegEnds_Prot#'!A:AL,10,FALSE),1)</f>
        <v>D</v>
      </c>
      <c r="S236" s="102" t="str">
        <f>MID(VLOOKUP($A236,Seqs!$A:$B,2,FALSE),VLOOKUP($A236,'NonXtal_SegEnds_Prot#'!A:AL,10,FALSE)+6,1)</f>
        <v>F</v>
      </c>
      <c r="T236" s="102" t="str">
        <f>MID(VLOOKUP($A236,Seqs!$A:$B,2,FALSE),VLOOKUP($A236,'NonXtal_SegEnds_Prot#'!A:AL,10,FALSE)+7,1)</f>
        <v>Q</v>
      </c>
      <c r="U236" s="102" t="str">
        <f>MID(VLOOKUP($A236,Seqs!$A:$B,2,FALSE),VLOOKUP($A236,'NonXtal_SegEnds_Prot#'!A:AL,10,FALSE)+8,1)</f>
        <v>V</v>
      </c>
      <c r="V236" s="102" t="str">
        <f>MID(VLOOKUP($A236,Seqs!$A:$B,2,FALSE),VLOOKUP($A236,'NonXtal_SegEnds_Prot#'!A:AL,10,FALSE)+9,1)</f>
        <v>L</v>
      </c>
      <c r="W236" s="71" t="str">
        <f>MID(VLOOKUP($A236,Seqs!$A:$B,2,FALSE),VLOOKUP($A236,'NonXtal_SegEnds_Prot#'!$A:$AL,22,FALSE)+6,1)</f>
        <v>A</v>
      </c>
      <c r="X236" s="102" t="str">
        <f>MID(VLOOKUP($A236,Seqs!$A:$B,2,FALSE),VLOOKUP($A236,'NonXtal_SegEnds_Prot#'!$A:$AL,22,FALSE)+7,1)</f>
        <v>S</v>
      </c>
      <c r="Y236" s="102" t="str">
        <f>MID(VLOOKUP($A236,Seqs!$A:$B,2,FALSE),VLOOKUP($A236,'NonXtal_SegEnds_Prot#'!$A:$AL,22,FALSE)+8,1)</f>
        <v>A</v>
      </c>
      <c r="Z236" s="102" t="str">
        <f>MID(VLOOKUP($A236,Seqs!$A:$B,2,FALSE),VLOOKUP($A236,'NonXtal_SegEnds_Prot#'!$A:$AL,22,FALSE)+9,1)</f>
        <v>P</v>
      </c>
      <c r="AA236" s="102" t="str">
        <f>MID(VLOOKUP($A236,Seqs!$A:$B,2,FALSE),VLOOKUP($A236,'NonXtal_SegEnds_Prot#'!$A:$AL,22,FALSE)+10,1)</f>
        <v>Q</v>
      </c>
      <c r="AB236" s="71" t="str">
        <f>MID(VLOOKUP($A236,Seqs!$A:$B,2,FALSE),VLOOKUP($A236,'NonXtal_SegEnds_Prot#'!$A:$AL,28,FALSE)-4,1)</f>
        <v>V</v>
      </c>
      <c r="AC236" s="102" t="str">
        <f>MID(VLOOKUP($A236,Seqs!$A:$B,2,FALSE),VLOOKUP($A236,'NonXtal_SegEnds_Prot#'!$A:$AL,28,FALSE),1)</f>
        <v>P</v>
      </c>
    </row>
    <row r="237" spans="1:29" s="2" customFormat="1" x14ac:dyDescent="0.2">
      <c r="A237" s="2" t="s">
        <v>539</v>
      </c>
      <c r="B237" s="2" t="str">
        <f>LOWER(VLOOKUP(A237,Xtal_Templ!A:B,2,FALSE))</f>
        <v>p2ry1_human</v>
      </c>
      <c r="C237" s="2" t="str">
        <f>VLOOKUP(A237,Classification!A:D,2,FALSE)</f>
        <v>A</v>
      </c>
      <c r="N237" s="2" t="s">
        <v>43</v>
      </c>
      <c r="O237" s="2" t="s">
        <v>1554</v>
      </c>
      <c r="P237" s="4" t="s">
        <v>51</v>
      </c>
      <c r="R237" s="71" t="str">
        <f>MID(VLOOKUP($A237,Seqs!$A:$B,2,FALSE),VLOOKUP($A237,'NonXtal_SegEnds_Prot#'!A:AL,10,FALSE),1)</f>
        <v>D</v>
      </c>
      <c r="S237" s="102" t="str">
        <f>MID(VLOOKUP($A237,Seqs!$A:$B,2,FALSE),VLOOKUP($A237,'NonXtal_SegEnds_Prot#'!A:AL,10,FALSE)+6,1)</f>
        <v>T</v>
      </c>
      <c r="T237" s="102" t="str">
        <f>MID(VLOOKUP($A237,Seqs!$A:$B,2,FALSE),VLOOKUP($A237,'NonXtal_SegEnds_Prot#'!A:AL,10,FALSE)+7,1)</f>
        <v>L</v>
      </c>
      <c r="U237" s="102" t="str">
        <f>MID(VLOOKUP($A237,Seqs!$A:$B,2,FALSE),VLOOKUP($A237,'NonXtal_SegEnds_Prot#'!A:AL,10,FALSE)+8,1)</f>
        <v>P</v>
      </c>
      <c r="V237" s="102" t="str">
        <f>MID(VLOOKUP($A237,Seqs!$A:$B,2,FALSE),VLOOKUP($A237,'NonXtal_SegEnds_Prot#'!A:AL,10,FALSE)+9,1)</f>
        <v>A</v>
      </c>
      <c r="W237" s="71" t="str">
        <f>MID(VLOOKUP($A237,Seqs!$A:$B,2,FALSE),VLOOKUP($A237,'NonXtal_SegEnds_Prot#'!$A:$AL,22,FALSE)+6,1)</f>
        <v>A</v>
      </c>
      <c r="X237" s="102" t="str">
        <f>MID(VLOOKUP($A237,Seqs!$A:$B,2,FALSE),VLOOKUP($A237,'NonXtal_SegEnds_Prot#'!$A:$AL,22,FALSE)+7,1)</f>
        <v>I</v>
      </c>
      <c r="Y237" s="102" t="str">
        <f>MID(VLOOKUP($A237,Seqs!$A:$B,2,FALSE),VLOOKUP($A237,'NonXtal_SegEnds_Prot#'!$A:$AL,22,FALSE)+8,1)</f>
        <v>S</v>
      </c>
      <c r="Z237" s="102" t="str">
        <f>MID(VLOOKUP($A237,Seqs!$A:$B,2,FALSE),VLOOKUP($A237,'NonXtal_SegEnds_Prot#'!$A:$AL,22,FALSE)+9,1)</f>
        <v>P</v>
      </c>
      <c r="AA237" s="102" t="str">
        <f>MID(VLOOKUP($A237,Seqs!$A:$B,2,FALSE),VLOOKUP($A237,'NonXtal_SegEnds_Prot#'!$A:$AL,22,FALSE)+10,1)</f>
        <v>I</v>
      </c>
      <c r="AB237" s="71" t="str">
        <f>MID(VLOOKUP($A237,Seqs!$A:$B,2,FALSE),VLOOKUP($A237,'NonXtal_SegEnds_Prot#'!$A:$AL,28,FALSE)-4,1)</f>
        <v>M</v>
      </c>
      <c r="AC237" s="102" t="str">
        <f>MID(VLOOKUP($A237,Seqs!$A:$B,2,FALSE),VLOOKUP($A237,'NonXtal_SegEnds_Prot#'!$A:$AL,28,FALSE),1)</f>
        <v>P</v>
      </c>
    </row>
    <row r="238" spans="1:29" s="2" customFormat="1" x14ac:dyDescent="0.2">
      <c r="A238" s="2" t="s">
        <v>540</v>
      </c>
      <c r="B238" s="2" t="str">
        <f>LOWER(VLOOKUP(A238,Xtal_Templ!A:B,2,FALSE))</f>
        <v>p2ry1_human</v>
      </c>
      <c r="C238" s="2" t="str">
        <f>VLOOKUP(A238,Classification!A:D,2,FALSE)</f>
        <v>A</v>
      </c>
      <c r="N238" s="2" t="s">
        <v>43</v>
      </c>
      <c r="O238" s="2" t="s">
        <v>1554</v>
      </c>
      <c r="P238" s="4" t="s">
        <v>51</v>
      </c>
      <c r="R238" s="71" t="str">
        <f>MID(VLOOKUP($A238,Seqs!$A:$B,2,FALSE),VLOOKUP($A238,'NonXtal_SegEnds_Prot#'!A:AL,10,FALSE),1)</f>
        <v>D</v>
      </c>
      <c r="S238" s="102" t="str">
        <f>MID(VLOOKUP($A238,Seqs!$A:$B,2,FALSE),VLOOKUP($A238,'NonXtal_SegEnds_Prot#'!A:AL,10,FALSE)+6,1)</f>
        <v>S</v>
      </c>
      <c r="T238" s="102" t="str">
        <f>MID(VLOOKUP($A238,Seqs!$A:$B,2,FALSE),VLOOKUP($A238,'NonXtal_SegEnds_Prot#'!A:AL,10,FALSE)+7,1)</f>
        <v>L</v>
      </c>
      <c r="U238" s="102" t="str">
        <f>MID(VLOOKUP($A238,Seqs!$A:$B,2,FALSE),VLOOKUP($A238,'NonXtal_SegEnds_Prot#'!A:AL,10,FALSE)+8,1)</f>
        <v>P</v>
      </c>
      <c r="V238" s="102" t="str">
        <f>MID(VLOOKUP($A238,Seqs!$A:$B,2,FALSE),VLOOKUP($A238,'NonXtal_SegEnds_Prot#'!A:AL,10,FALSE)+9,1)</f>
        <v>L</v>
      </c>
      <c r="W238" s="71" t="str">
        <f>MID(VLOOKUP($A238,Seqs!$A:$B,2,FALSE),VLOOKUP($A238,'NonXtal_SegEnds_Prot#'!$A:$AL,22,FALSE)+6,1)</f>
        <v>C</v>
      </c>
      <c r="X238" s="102" t="str">
        <f>MID(VLOOKUP($A238,Seqs!$A:$B,2,FALSE),VLOOKUP($A238,'NonXtal_SegEnds_Prot#'!$A:$AL,22,FALSE)+7,1)</f>
        <v>Q</v>
      </c>
      <c r="Y238" s="102" t="str">
        <f>MID(VLOOKUP($A238,Seqs!$A:$B,2,FALSE),VLOOKUP($A238,'NonXtal_SegEnds_Prot#'!$A:$AL,22,FALSE)+8,1)</f>
        <v>A</v>
      </c>
      <c r="Z238" s="102" t="str">
        <f>MID(VLOOKUP($A238,Seqs!$A:$B,2,FALSE),VLOOKUP($A238,'NonXtal_SegEnds_Prot#'!$A:$AL,22,FALSE)+9,1)</f>
        <v>P</v>
      </c>
      <c r="AA238" s="102" t="str">
        <f>MID(VLOOKUP($A238,Seqs!$A:$B,2,FALSE),VLOOKUP($A238,'NonXtal_SegEnds_Prot#'!$A:$AL,22,FALSE)+10,1)</f>
        <v>V</v>
      </c>
      <c r="AB238" s="71" t="str">
        <f>MID(VLOOKUP($A238,Seqs!$A:$B,2,FALSE),VLOOKUP($A238,'NonXtal_SegEnds_Prot#'!$A:$AL,28,FALSE)-4,1)</f>
        <v>L</v>
      </c>
      <c r="AC238" s="102" t="str">
        <f>MID(VLOOKUP($A238,Seqs!$A:$B,2,FALSE),VLOOKUP($A238,'NonXtal_SegEnds_Prot#'!$A:$AL,28,FALSE),1)</f>
        <v>P</v>
      </c>
    </row>
    <row r="239" spans="1:29" s="2" customFormat="1" x14ac:dyDescent="0.2">
      <c r="A239" s="2" t="s">
        <v>541</v>
      </c>
      <c r="B239" s="2" t="str">
        <f>LOWER(VLOOKUP(A239,Xtal_Templ!A:B,2,FALSE))</f>
        <v>p2ry1_human</v>
      </c>
      <c r="C239" s="2" t="str">
        <f>VLOOKUP(A239,Classification!A:D,2,FALSE)</f>
        <v>A</v>
      </c>
      <c r="N239" s="2" t="s">
        <v>43</v>
      </c>
      <c r="O239" s="2" t="s">
        <v>1554</v>
      </c>
      <c r="P239" s="4" t="s">
        <v>51</v>
      </c>
      <c r="R239" s="71" t="str">
        <f>MID(VLOOKUP($A239,Seqs!$A:$B,2,FALSE),VLOOKUP($A239,'NonXtal_SegEnds_Prot#'!A:AL,10,FALSE),1)</f>
        <v>D</v>
      </c>
      <c r="S239" s="102" t="str">
        <f>MID(VLOOKUP($A239,Seqs!$A:$B,2,FALSE),VLOOKUP($A239,'NonXtal_SegEnds_Prot#'!A:AL,10,FALSE)+6,1)</f>
        <v>S</v>
      </c>
      <c r="T239" s="102" t="str">
        <f>MID(VLOOKUP($A239,Seqs!$A:$B,2,FALSE),VLOOKUP($A239,'NonXtal_SegEnds_Prot#'!A:AL,10,FALSE)+7,1)</f>
        <v>L</v>
      </c>
      <c r="U239" s="102" t="str">
        <f>MID(VLOOKUP($A239,Seqs!$A:$B,2,FALSE),VLOOKUP($A239,'NonXtal_SegEnds_Prot#'!A:AL,10,FALSE)+8,1)</f>
        <v>P</v>
      </c>
      <c r="V239" s="102" t="str">
        <f>MID(VLOOKUP($A239,Seqs!$A:$B,2,FALSE),VLOOKUP($A239,'NonXtal_SegEnds_Prot#'!A:AL,10,FALSE)+9,1)</f>
        <v>T</v>
      </c>
      <c r="W239" s="71" t="str">
        <f>MID(VLOOKUP($A239,Seqs!$A:$B,2,FALSE),VLOOKUP($A239,'NonXtal_SegEnds_Prot#'!$A:$AL,22,FALSE)+6,1)</f>
        <v>C</v>
      </c>
      <c r="X239" s="102" t="str">
        <f>MID(VLOOKUP($A239,Seqs!$A:$B,2,FALSE),VLOOKUP($A239,'NonXtal_SegEnds_Prot#'!$A:$AL,22,FALSE)+7,1)</f>
        <v>L</v>
      </c>
      <c r="Y239" s="102" t="str">
        <f>MID(VLOOKUP($A239,Seqs!$A:$B,2,FALSE),VLOOKUP($A239,'NonXtal_SegEnds_Prot#'!$A:$AL,22,FALSE)+8,1)</f>
        <v>V</v>
      </c>
      <c r="Z239" s="102" t="str">
        <f>MID(VLOOKUP($A239,Seqs!$A:$B,2,FALSE),VLOOKUP($A239,'NonXtal_SegEnds_Prot#'!$A:$AL,22,FALSE)+9,1)</f>
        <v>P</v>
      </c>
      <c r="AA239" s="102" t="str">
        <f>MID(VLOOKUP($A239,Seqs!$A:$B,2,FALSE),VLOOKUP($A239,'NonXtal_SegEnds_Prot#'!$A:$AL,22,FALSE)+10,1)</f>
        <v>N</v>
      </c>
      <c r="AB239" s="71" t="str">
        <f>MID(VLOOKUP($A239,Seqs!$A:$B,2,FALSE),VLOOKUP($A239,'NonXtal_SegEnds_Prot#'!$A:$AL,28,FALSE)-4,1)</f>
        <v>L</v>
      </c>
      <c r="AC239" s="102" t="str">
        <f>MID(VLOOKUP($A239,Seqs!$A:$B,2,FALSE),VLOOKUP($A239,'NonXtal_SegEnds_Prot#'!$A:$AL,28,FALSE),1)</f>
        <v>P</v>
      </c>
    </row>
    <row r="240" spans="1:29" s="2" customFormat="1" x14ac:dyDescent="0.2">
      <c r="A240" s="2" t="s">
        <v>542</v>
      </c>
      <c r="B240" s="2" t="str">
        <f>LOWER(VLOOKUP(A240,Xtal_Templ!A:B,2,FALSE))</f>
        <v>p2ry1_human</v>
      </c>
      <c r="C240" s="2" t="str">
        <f>VLOOKUP(A240,Classification!A:D,2,FALSE)</f>
        <v>A</v>
      </c>
      <c r="N240" s="2" t="s">
        <v>43</v>
      </c>
      <c r="O240" s="2" t="s">
        <v>1554</v>
      </c>
      <c r="P240" s="4" t="s">
        <v>51</v>
      </c>
      <c r="R240" s="71" t="str">
        <f>MID(VLOOKUP($A240,Seqs!$A:$B,2,FALSE),VLOOKUP($A240,'NonXtal_SegEnds_Prot#'!A:AL,10,FALSE),1)</f>
        <v>D</v>
      </c>
      <c r="S240" s="102" t="str">
        <f>MID(VLOOKUP($A240,Seqs!$A:$B,2,FALSE),VLOOKUP($A240,'NonXtal_SegEnds_Prot#'!A:AL,10,FALSE)+6,1)</f>
        <v>S</v>
      </c>
      <c r="T240" s="102" t="str">
        <f>MID(VLOOKUP($A240,Seqs!$A:$B,2,FALSE),VLOOKUP($A240,'NonXtal_SegEnds_Prot#'!A:AL,10,FALSE)+7,1)</f>
        <v>L</v>
      </c>
      <c r="U240" s="102" t="str">
        <f>MID(VLOOKUP($A240,Seqs!$A:$B,2,FALSE),VLOOKUP($A240,'NonXtal_SegEnds_Prot#'!A:AL,10,FALSE)+8,1)</f>
        <v>P</v>
      </c>
      <c r="V240" s="102" t="str">
        <f>MID(VLOOKUP($A240,Seqs!$A:$B,2,FALSE),VLOOKUP($A240,'NonXtal_SegEnds_Prot#'!A:AL,10,FALSE)+9,1)</f>
        <v>L</v>
      </c>
      <c r="W240" s="71" t="str">
        <f>MID(VLOOKUP($A240,Seqs!$A:$B,2,FALSE),VLOOKUP($A240,'NonXtal_SegEnds_Prot#'!$A:$AL,22,FALSE)+6,1)</f>
        <v>Q</v>
      </c>
      <c r="X240" s="102" t="str">
        <f>MID(VLOOKUP($A240,Seqs!$A:$B,2,FALSE),VLOOKUP($A240,'NonXtal_SegEnds_Prot#'!$A:$AL,22,FALSE)+7,1)</f>
        <v>C</v>
      </c>
      <c r="Y240" s="102" t="str">
        <f>MID(VLOOKUP($A240,Seqs!$A:$B,2,FALSE),VLOOKUP($A240,'NonXtal_SegEnds_Prot#'!$A:$AL,22,FALSE)+8,1)</f>
        <v>L</v>
      </c>
      <c r="Z240" s="102" t="str">
        <f>MID(VLOOKUP($A240,Seqs!$A:$B,2,FALSE),VLOOKUP($A240,'NonXtal_SegEnds_Prot#'!$A:$AL,22,FALSE)+9,1)</f>
        <v>P</v>
      </c>
      <c r="AA240" s="102" t="str">
        <f>MID(VLOOKUP($A240,Seqs!$A:$B,2,FALSE),VLOOKUP($A240,'NonXtal_SegEnds_Prot#'!$A:$AL,22,FALSE)+10,1)</f>
        <v>T</v>
      </c>
      <c r="AB240" s="71" t="str">
        <f>MID(VLOOKUP($A240,Seqs!$A:$B,2,FALSE),VLOOKUP($A240,'NonXtal_SegEnds_Prot#'!$A:$AL,28,FALSE)-4,1)</f>
        <v>G</v>
      </c>
      <c r="AC240" s="102" t="str">
        <f>MID(VLOOKUP($A240,Seqs!$A:$B,2,FALSE),VLOOKUP($A240,'NonXtal_SegEnds_Prot#'!$A:$AL,28,FALSE),1)</f>
        <v>P</v>
      </c>
    </row>
    <row r="241" spans="1:29" s="2" customFormat="1" x14ac:dyDescent="0.2">
      <c r="A241" s="2" t="s">
        <v>543</v>
      </c>
      <c r="B241" s="2" t="str">
        <f>LOWER(VLOOKUP(A241,Xtal_Templ!A:B,2,FALSE))</f>
        <v>par1_human</v>
      </c>
      <c r="C241" s="2" t="str">
        <f>VLOOKUP(A241,Classification!A:D,2,FALSE)</f>
        <v>A</v>
      </c>
      <c r="N241" s="2" t="s">
        <v>43</v>
      </c>
      <c r="O241" s="2" t="s">
        <v>1554</v>
      </c>
      <c r="P241" s="4" t="s">
        <v>51</v>
      </c>
      <c r="R241" s="71" t="str">
        <f>MID(VLOOKUP($A241,Seqs!$A:$B,2,FALSE),VLOOKUP($A241,'NonXtal_SegEnds_Prot#'!A:AL,10,FALSE),1)</f>
        <v>D</v>
      </c>
      <c r="S241" s="102" t="str">
        <f>MID(VLOOKUP($A241,Seqs!$A:$B,2,FALSE),VLOOKUP($A241,'NonXtal_SegEnds_Prot#'!A:AL,10,FALSE)+6,1)</f>
        <v>V</v>
      </c>
      <c r="T241" s="102" t="str">
        <f>MID(VLOOKUP($A241,Seqs!$A:$B,2,FALSE),VLOOKUP($A241,'NonXtal_SegEnds_Prot#'!A:AL,10,FALSE)+7,1)</f>
        <v>L</v>
      </c>
      <c r="U241" s="102" t="str">
        <f>MID(VLOOKUP($A241,Seqs!$A:$B,2,FALSE),VLOOKUP($A241,'NonXtal_SegEnds_Prot#'!A:AL,10,FALSE)+8,1)</f>
        <v>P</v>
      </c>
      <c r="V241" s="102" t="str">
        <f>MID(VLOOKUP($A241,Seqs!$A:$B,2,FALSE),VLOOKUP($A241,'NonXtal_SegEnds_Prot#'!A:AL,10,FALSE)+9,1)</f>
        <v>F</v>
      </c>
      <c r="W241" s="71" t="str">
        <f>MID(VLOOKUP($A241,Seqs!$A:$B,2,FALSE),VLOOKUP($A241,'NonXtal_SegEnds_Prot#'!$A:$AL,22,FALSE)+6,1)</f>
        <v>A</v>
      </c>
      <c r="X241" s="102" t="str">
        <f>MID(VLOOKUP($A241,Seqs!$A:$B,2,FALSE),VLOOKUP($A241,'NonXtal_SegEnds_Prot#'!$A:$AL,22,FALSE)+7,1)</f>
        <v>L</v>
      </c>
      <c r="Y241" s="102" t="str">
        <f>MID(VLOOKUP($A241,Seqs!$A:$B,2,FALSE),VLOOKUP($A241,'NonXtal_SegEnds_Prot#'!$A:$AL,22,FALSE)+8,1)</f>
        <v>S</v>
      </c>
      <c r="Z241" s="102" t="str">
        <f>MID(VLOOKUP($A241,Seqs!$A:$B,2,FALSE),VLOOKUP($A241,'NonXtal_SegEnds_Prot#'!$A:$AL,22,FALSE)+9,1)</f>
        <v>P</v>
      </c>
      <c r="AA241" s="102" t="str">
        <f>MID(VLOOKUP($A241,Seqs!$A:$B,2,FALSE),VLOOKUP($A241,'NonXtal_SegEnds_Prot#'!$A:$AL,22,FALSE)+10,1)</f>
        <v>L</v>
      </c>
      <c r="AB241" s="71" t="str">
        <f>MID(VLOOKUP($A241,Seqs!$A:$B,2,FALSE),VLOOKUP($A241,'NonXtal_SegEnds_Prot#'!$A:$AL,28,FALSE)-4,1)</f>
        <v>L</v>
      </c>
      <c r="AC241" s="102" t="str">
        <f>MID(VLOOKUP($A241,Seqs!$A:$B,2,FALSE),VLOOKUP($A241,'NonXtal_SegEnds_Prot#'!$A:$AL,28,FALSE),1)</f>
        <v>P</v>
      </c>
    </row>
    <row r="242" spans="1:29" s="2" customFormat="1" x14ac:dyDescent="0.2">
      <c r="A242" s="2" t="s">
        <v>544</v>
      </c>
      <c r="B242" s="2" t="str">
        <f>LOWER(VLOOKUP(A242,Xtal_Templ!A:B,2,FALSE))</f>
        <v>p2ry1_human</v>
      </c>
      <c r="C242" s="2" t="str">
        <f>VLOOKUP(A242,Classification!A:D,2,FALSE)</f>
        <v>A</v>
      </c>
      <c r="N242" s="2" t="s">
        <v>43</v>
      </c>
      <c r="O242" s="2" t="s">
        <v>1554</v>
      </c>
      <c r="P242" s="4" t="s">
        <v>51</v>
      </c>
      <c r="R242" s="71" t="str">
        <f>MID(VLOOKUP($A242,Seqs!$A:$B,2,FALSE),VLOOKUP($A242,'NonXtal_SegEnds_Prot#'!A:AL,10,FALSE),1)</f>
        <v>D</v>
      </c>
      <c r="S242" s="102" t="str">
        <f>MID(VLOOKUP($A242,Seqs!$A:$B,2,FALSE),VLOOKUP($A242,'NonXtal_SegEnds_Prot#'!A:AL,10,FALSE)+6,1)</f>
        <v>S</v>
      </c>
      <c r="T242" s="102" t="str">
        <f>MID(VLOOKUP($A242,Seqs!$A:$B,2,FALSE),VLOOKUP($A242,'NonXtal_SegEnds_Prot#'!A:AL,10,FALSE)+7,1)</f>
        <v>L</v>
      </c>
      <c r="U242" s="102" t="str">
        <f>MID(VLOOKUP($A242,Seqs!$A:$B,2,FALSE),VLOOKUP($A242,'NonXtal_SegEnds_Prot#'!A:AL,10,FALSE)+8,1)</f>
        <v>P</v>
      </c>
      <c r="V242" s="102" t="str">
        <f>MID(VLOOKUP($A242,Seqs!$A:$B,2,FALSE),VLOOKUP($A242,'NonXtal_SegEnds_Prot#'!A:AL,10,FALSE)+9,1)</f>
        <v>L</v>
      </c>
      <c r="W242" s="71" t="str">
        <f>MID(VLOOKUP($A242,Seqs!$A:$B,2,FALSE),VLOOKUP($A242,'NonXtal_SegEnds_Prot#'!$A:$AL,22,FALSE)+6,1)</f>
        <v>A</v>
      </c>
      <c r="X242" s="102" t="str">
        <f>MID(VLOOKUP($A242,Seqs!$A:$B,2,FALSE),VLOOKUP($A242,'NonXtal_SegEnds_Prot#'!$A:$AL,22,FALSE)+7,1)</f>
        <v>C</v>
      </c>
      <c r="Y242" s="102" t="str">
        <f>MID(VLOOKUP($A242,Seqs!$A:$B,2,FALSE),VLOOKUP($A242,'NonXtal_SegEnds_Prot#'!$A:$AL,22,FALSE)+8,1)</f>
        <v>L</v>
      </c>
      <c r="Z242" s="102" t="str">
        <f>MID(VLOOKUP($A242,Seqs!$A:$B,2,FALSE),VLOOKUP($A242,'NonXtal_SegEnds_Prot#'!$A:$AL,22,FALSE)+9,1)</f>
        <v>P</v>
      </c>
      <c r="AA242" s="102" t="str">
        <f>MID(VLOOKUP($A242,Seqs!$A:$B,2,FALSE),VLOOKUP($A242,'NonXtal_SegEnds_Prot#'!$A:$AL,22,FALSE)+10,1)</f>
        <v>F</v>
      </c>
      <c r="AB242" s="71" t="str">
        <f>MID(VLOOKUP($A242,Seqs!$A:$B,2,FALSE),VLOOKUP($A242,'NonXtal_SegEnds_Prot#'!$A:$AL,28,FALSE)-4,1)</f>
        <v>G</v>
      </c>
      <c r="AC242" s="102" t="str">
        <f>MID(VLOOKUP($A242,Seqs!$A:$B,2,FALSE),VLOOKUP($A242,'NonXtal_SegEnds_Prot#'!$A:$AL,28,FALSE),1)</f>
        <v>P</v>
      </c>
    </row>
    <row r="243" spans="1:29" s="2" customFormat="1" x14ac:dyDescent="0.2">
      <c r="A243" s="2" t="s">
        <v>545</v>
      </c>
      <c r="B243" s="2" t="str">
        <f>LOWER(VLOOKUP(A243,Xtal_Templ!A:B,2,FALSE))</f>
        <v>p2ry1_human</v>
      </c>
      <c r="C243" s="2" t="str">
        <f>VLOOKUP(A243,Classification!A:D,2,FALSE)</f>
        <v>A</v>
      </c>
      <c r="N243" s="2" t="s">
        <v>43</v>
      </c>
      <c r="O243" s="2" t="s">
        <v>1554</v>
      </c>
      <c r="P243" s="4" t="s">
        <v>51</v>
      </c>
      <c r="R243" s="71" t="str">
        <f>MID(VLOOKUP($A243,Seqs!$A:$B,2,FALSE),VLOOKUP($A243,'NonXtal_SegEnds_Prot#'!A:AL,10,FALSE),1)</f>
        <v>D</v>
      </c>
      <c r="S243" s="102" t="str">
        <f>MID(VLOOKUP($A243,Seqs!$A:$B,2,FALSE),VLOOKUP($A243,'NonXtal_SegEnds_Prot#'!A:AL,10,FALSE)+6,1)</f>
        <v>T</v>
      </c>
      <c r="T243" s="102" t="str">
        <f>MID(VLOOKUP($A243,Seqs!$A:$B,2,FALSE),VLOOKUP($A243,'NonXtal_SegEnds_Prot#'!A:AL,10,FALSE)+7,1)</f>
        <v>L</v>
      </c>
      <c r="U243" s="102" t="str">
        <f>MID(VLOOKUP($A243,Seqs!$A:$B,2,FALSE),VLOOKUP($A243,'NonXtal_SegEnds_Prot#'!A:AL,10,FALSE)+8,1)</f>
        <v>P</v>
      </c>
      <c r="V243" s="102" t="str">
        <f>MID(VLOOKUP($A243,Seqs!$A:$B,2,FALSE),VLOOKUP($A243,'NonXtal_SegEnds_Prot#'!A:AL,10,FALSE)+9,1)</f>
        <v>P</v>
      </c>
      <c r="W243" s="71" t="str">
        <f>MID(VLOOKUP($A243,Seqs!$A:$B,2,FALSE),VLOOKUP($A243,'NonXtal_SegEnds_Prot#'!$A:$AL,22,FALSE)+6,1)</f>
        <v>L</v>
      </c>
      <c r="X243" s="102" t="str">
        <f>MID(VLOOKUP($A243,Seqs!$A:$B,2,FALSE),VLOOKUP($A243,'NonXtal_SegEnds_Prot#'!$A:$AL,22,FALSE)+7,1)</f>
        <v>A</v>
      </c>
      <c r="Y243" s="102" t="str">
        <f>MID(VLOOKUP($A243,Seqs!$A:$B,2,FALSE),VLOOKUP($A243,'NonXtal_SegEnds_Prot#'!$A:$AL,22,FALSE)+8,1)</f>
        <v>M</v>
      </c>
      <c r="Z243" s="102" t="str">
        <f>MID(VLOOKUP($A243,Seqs!$A:$B,2,FALSE),VLOOKUP($A243,'NonXtal_SegEnds_Prot#'!$A:$AL,22,FALSE)+9,1)</f>
        <v>P</v>
      </c>
      <c r="AA243" s="102" t="str">
        <f>MID(VLOOKUP($A243,Seqs!$A:$B,2,FALSE),VLOOKUP($A243,'NonXtal_SegEnds_Prot#'!$A:$AL,22,FALSE)+10,1)</f>
        <v>T</v>
      </c>
      <c r="AB243" s="71" t="str">
        <f>MID(VLOOKUP($A243,Seqs!$A:$B,2,FALSE),VLOOKUP($A243,'NonXtal_SegEnds_Prot#'!$A:$AL,28,FALSE)-4,1)</f>
        <v>G</v>
      </c>
      <c r="AC243" s="102" t="str">
        <f>MID(VLOOKUP($A243,Seqs!$A:$B,2,FALSE),VLOOKUP($A243,'NonXtal_SegEnds_Prot#'!$A:$AL,28,FALSE),1)</f>
        <v>P</v>
      </c>
    </row>
    <row r="244" spans="1:29" s="2" customFormat="1" x14ac:dyDescent="0.2">
      <c r="A244" s="2" t="s">
        <v>546</v>
      </c>
      <c r="B244" s="2" t="str">
        <f>LOWER(VLOOKUP(A244,Xtal_Templ!A:B,2,FALSE))</f>
        <v>p2y12_human</v>
      </c>
      <c r="C244" s="2" t="str">
        <f>VLOOKUP(A244,Classification!A:D,2,FALSE)</f>
        <v>A</v>
      </c>
      <c r="O244" s="2" t="s">
        <v>1554</v>
      </c>
      <c r="P244" s="4" t="s">
        <v>51</v>
      </c>
      <c r="R244" s="71" t="str">
        <f>MID(VLOOKUP($A244,Seqs!$A:$B,2,FALSE),VLOOKUP($A244,'NonXtal_SegEnds_Prot#'!A:AL,10,FALSE),1)</f>
        <v>D</v>
      </c>
      <c r="S244" s="102" t="str">
        <f>MID(VLOOKUP($A244,Seqs!$A:$B,2,FALSE),VLOOKUP($A244,'NonXtal_SegEnds_Prot#'!A:AL,10,FALSE)+6,1)</f>
        <v>T</v>
      </c>
      <c r="T244" s="102" t="str">
        <f>MID(VLOOKUP($A244,Seqs!$A:$B,2,FALSE),VLOOKUP($A244,'NonXtal_SegEnds_Prot#'!A:AL,10,FALSE)+7,1)</f>
        <v>F</v>
      </c>
      <c r="U244" s="102" t="str">
        <f>MID(VLOOKUP($A244,Seqs!$A:$B,2,FALSE),VLOOKUP($A244,'NonXtal_SegEnds_Prot#'!A:AL,10,FALSE)+8,1)</f>
        <v>P</v>
      </c>
      <c r="V244" s="102" t="str">
        <f>MID(VLOOKUP($A244,Seqs!$A:$B,2,FALSE),VLOOKUP($A244,'NonXtal_SegEnds_Prot#'!A:AL,10,FALSE)+9,1)</f>
        <v>F</v>
      </c>
      <c r="W244" s="71" t="str">
        <f>MID(VLOOKUP($A244,Seqs!$A:$B,2,FALSE),VLOOKUP($A244,'NonXtal_SegEnds_Prot#'!$A:$AL,22,FALSE)+6,1)</f>
        <v>L</v>
      </c>
      <c r="X244" s="102" t="str">
        <f>MID(VLOOKUP($A244,Seqs!$A:$B,2,FALSE),VLOOKUP($A244,'NonXtal_SegEnds_Prot#'!$A:$AL,22,FALSE)+7,1)</f>
        <v>S</v>
      </c>
      <c r="Y244" s="102" t="str">
        <f>MID(VLOOKUP($A244,Seqs!$A:$B,2,FALSE),VLOOKUP($A244,'NonXtal_SegEnds_Prot#'!$A:$AL,22,FALSE)+8,1)</f>
        <v>L</v>
      </c>
      <c r="Z244" s="102" t="str">
        <f>MID(VLOOKUP($A244,Seqs!$A:$B,2,FALSE),VLOOKUP($A244,'NonXtal_SegEnds_Prot#'!$A:$AL,22,FALSE)+9,1)</f>
        <v>P</v>
      </c>
      <c r="AA244" s="102" t="str">
        <f>MID(VLOOKUP($A244,Seqs!$A:$B,2,FALSE),VLOOKUP($A244,'NonXtal_SegEnds_Prot#'!$A:$AL,22,FALSE)+10,1)</f>
        <v>N</v>
      </c>
      <c r="AB244" s="71" t="str">
        <f>MID(VLOOKUP($A244,Seqs!$A:$B,2,FALSE),VLOOKUP($A244,'NonXtal_SegEnds_Prot#'!$A:$AL,28,FALSE)-4,1)</f>
        <v>I</v>
      </c>
      <c r="AC244" s="102" t="str">
        <f>MID(VLOOKUP($A244,Seqs!$A:$B,2,FALSE),VLOOKUP($A244,'NonXtal_SegEnds_Prot#'!$A:$AL,28,FALSE),1)</f>
        <v>N</v>
      </c>
    </row>
    <row r="245" spans="1:29" s="2" customFormat="1" x14ac:dyDescent="0.2">
      <c r="A245" s="2" t="s">
        <v>547</v>
      </c>
      <c r="B245" s="2" t="str">
        <f>LOWER(VLOOKUP(A245,Xtal_Templ!A:B,2,FALSE))</f>
        <v>p2y12_human</v>
      </c>
      <c r="C245" s="2" t="str">
        <f>VLOOKUP(A245,Classification!A:D,2,FALSE)</f>
        <v>A</v>
      </c>
      <c r="O245" s="2" t="s">
        <v>1554</v>
      </c>
      <c r="P245" s="4" t="s">
        <v>51</v>
      </c>
      <c r="R245" s="71" t="str">
        <f>MID(VLOOKUP($A245,Seqs!$A:$B,2,FALSE),VLOOKUP($A245,'NonXtal_SegEnds_Prot#'!A:AL,10,FALSE),1)</f>
        <v>D</v>
      </c>
      <c r="S245" s="102" t="str">
        <f>MID(VLOOKUP($A245,Seqs!$A:$B,2,FALSE),VLOOKUP($A245,'NonXtal_SegEnds_Prot#'!A:AL,10,FALSE)+6,1)</f>
        <v>M</v>
      </c>
      <c r="T245" s="102" t="str">
        <f>MID(VLOOKUP($A245,Seqs!$A:$B,2,FALSE),VLOOKUP($A245,'NonXtal_SegEnds_Prot#'!A:AL,10,FALSE)+7,1)</f>
        <v>L</v>
      </c>
      <c r="U245" s="102" t="str">
        <f>MID(VLOOKUP($A245,Seqs!$A:$B,2,FALSE),VLOOKUP($A245,'NonXtal_SegEnds_Prot#'!A:AL,10,FALSE)+8,1)</f>
        <v>P</v>
      </c>
      <c r="V245" s="102" t="str">
        <f>MID(VLOOKUP($A245,Seqs!$A:$B,2,FALSE),VLOOKUP($A245,'NonXtal_SegEnds_Prot#'!A:AL,10,FALSE)+9,1)</f>
        <v>F</v>
      </c>
      <c r="W245" s="71" t="str">
        <f>MID(VLOOKUP($A245,Seqs!$A:$B,2,FALSE),VLOOKUP($A245,'NonXtal_SegEnds_Prot#'!$A:$AL,22,FALSE)+6,1)</f>
        <v>I</v>
      </c>
      <c r="X245" s="102" t="str">
        <f>MID(VLOOKUP($A245,Seqs!$A:$B,2,FALSE),VLOOKUP($A245,'NonXtal_SegEnds_Prot#'!$A:$AL,22,FALSE)+7,1)</f>
        <v>S</v>
      </c>
      <c r="Y245" s="102" t="str">
        <f>MID(VLOOKUP($A245,Seqs!$A:$B,2,FALSE),VLOOKUP($A245,'NonXtal_SegEnds_Prot#'!$A:$AL,22,FALSE)+8,1)</f>
        <v>L</v>
      </c>
      <c r="Z245" s="102" t="str">
        <f>MID(VLOOKUP($A245,Seqs!$A:$B,2,FALSE),VLOOKUP($A245,'NonXtal_SegEnds_Prot#'!$A:$AL,22,FALSE)+9,1)</f>
        <v>P</v>
      </c>
      <c r="AA245" s="102" t="str">
        <f>MID(VLOOKUP($A245,Seqs!$A:$B,2,FALSE),VLOOKUP($A245,'NonXtal_SegEnds_Prot#'!$A:$AL,22,FALSE)+10,1)</f>
        <v>N</v>
      </c>
      <c r="AB245" s="71" t="str">
        <f>MID(VLOOKUP($A245,Seqs!$A:$B,2,FALSE),VLOOKUP($A245,'NonXtal_SegEnds_Prot#'!$A:$AL,28,FALSE)-4,1)</f>
        <v>I</v>
      </c>
      <c r="AC245" s="102" t="str">
        <f>MID(VLOOKUP($A245,Seqs!$A:$B,2,FALSE),VLOOKUP($A245,'NonXtal_SegEnds_Prot#'!$A:$AL,28,FALSE),1)</f>
        <v>V</v>
      </c>
    </row>
    <row r="246" spans="1:29" s="2" customFormat="1" x14ac:dyDescent="0.2">
      <c r="A246" s="2" t="s">
        <v>548</v>
      </c>
      <c r="B246" s="2" t="str">
        <f>LOWER(VLOOKUP(A246,Xtal_Templ!A:B,2,FALSE))</f>
        <v>p2y12_human</v>
      </c>
      <c r="C246" s="2" t="str">
        <f>VLOOKUP(A246,Classification!A:D,2,FALSE)</f>
        <v>A</v>
      </c>
      <c r="O246" s="2" t="s">
        <v>1554</v>
      </c>
      <c r="P246" s="4" t="s">
        <v>51</v>
      </c>
      <c r="R246" s="71" t="str">
        <f>MID(VLOOKUP($A246,Seqs!$A:$B,2,FALSE),VLOOKUP($A246,'NonXtal_SegEnds_Prot#'!A:AL,10,FALSE),1)</f>
        <v>D</v>
      </c>
      <c r="S246" s="102" t="str">
        <f>MID(VLOOKUP($A246,Seqs!$A:$B,2,FALSE),VLOOKUP($A246,'NonXtal_SegEnds_Prot#'!A:AL,10,FALSE)+6,1)</f>
        <v>T</v>
      </c>
      <c r="T246" s="102" t="str">
        <f>MID(VLOOKUP($A246,Seqs!$A:$B,2,FALSE),VLOOKUP($A246,'NonXtal_SegEnds_Prot#'!A:AL,10,FALSE)+7,1)</f>
        <v>F</v>
      </c>
      <c r="U246" s="102" t="str">
        <f>MID(VLOOKUP($A246,Seqs!$A:$B,2,FALSE),VLOOKUP($A246,'NonXtal_SegEnds_Prot#'!A:AL,10,FALSE)+8,1)</f>
        <v>P</v>
      </c>
      <c r="V246" s="102" t="str">
        <f>MID(VLOOKUP($A246,Seqs!$A:$B,2,FALSE),VLOOKUP($A246,'NonXtal_SegEnds_Prot#'!A:AL,10,FALSE)+9,1)</f>
        <v>F</v>
      </c>
      <c r="W246" s="71" t="str">
        <f>MID(VLOOKUP($A246,Seqs!$A:$B,2,FALSE),VLOOKUP($A246,'NonXtal_SegEnds_Prot#'!$A:$AL,22,FALSE)+6,1)</f>
        <v>L</v>
      </c>
      <c r="X246" s="102" t="str">
        <f>MID(VLOOKUP($A246,Seqs!$A:$B,2,FALSE),VLOOKUP($A246,'NonXtal_SegEnds_Prot#'!$A:$AL,22,FALSE)+7,1)</f>
        <v>A</v>
      </c>
      <c r="Y246" s="102" t="str">
        <f>MID(VLOOKUP($A246,Seqs!$A:$B,2,FALSE),VLOOKUP($A246,'NonXtal_SegEnds_Prot#'!$A:$AL,22,FALSE)+8,1)</f>
        <v>V</v>
      </c>
      <c r="Z246" s="102" t="str">
        <f>MID(VLOOKUP($A246,Seqs!$A:$B,2,FALSE),VLOOKUP($A246,'NonXtal_SegEnds_Prot#'!$A:$AL,22,FALSE)+9,1)</f>
        <v>P</v>
      </c>
      <c r="AA246" s="102" t="str">
        <f>MID(VLOOKUP($A246,Seqs!$A:$B,2,FALSE),VLOOKUP($A246,'NonXtal_SegEnds_Prot#'!$A:$AL,22,FALSE)+10,1)</f>
        <v>N</v>
      </c>
      <c r="AB246" s="71" t="str">
        <f>MID(VLOOKUP($A246,Seqs!$A:$B,2,FALSE),VLOOKUP($A246,'NonXtal_SegEnds_Prot#'!$A:$AL,28,FALSE)-4,1)</f>
        <v>I</v>
      </c>
      <c r="AC246" s="102" t="str">
        <f>MID(VLOOKUP($A246,Seqs!$A:$B,2,FALSE),VLOOKUP($A246,'NonXtal_SegEnds_Prot#'!$A:$AL,28,FALSE),1)</f>
        <v>V</v>
      </c>
    </row>
    <row r="247" spans="1:29" s="2" customFormat="1" x14ac:dyDescent="0.2">
      <c r="A247" s="2" t="s">
        <v>549</v>
      </c>
      <c r="B247" s="2" t="str">
        <f>LOWER(VLOOKUP(A247,Xtal_Templ!A:B,2,FALSE))</f>
        <v>par1_human</v>
      </c>
      <c r="C247" s="2" t="str">
        <f>VLOOKUP(A247,Classification!A:D,2,FALSE)</f>
        <v>A</v>
      </c>
      <c r="K247" s="2" t="s">
        <v>59</v>
      </c>
      <c r="O247" s="2" t="s">
        <v>1554</v>
      </c>
      <c r="P247" s="4" t="s">
        <v>51</v>
      </c>
      <c r="R247" s="71" t="str">
        <f>MID(VLOOKUP($A247,Seqs!$A:$B,2,FALSE),VLOOKUP($A247,'NonXtal_SegEnds_Prot#'!A:AL,10,FALSE),1)</f>
        <v>D</v>
      </c>
      <c r="S247" s="102" t="str">
        <f>MID(VLOOKUP($A247,Seqs!$A:$B,2,FALSE),VLOOKUP($A247,'NonXtal_SegEnds_Prot#'!A:AL,10,FALSE)+6,1)</f>
        <v>V</v>
      </c>
      <c r="T247" s="102" t="str">
        <f>MID(VLOOKUP($A247,Seqs!$A:$B,2,FALSE),VLOOKUP($A247,'NonXtal_SegEnds_Prot#'!A:AL,10,FALSE)+7,1)</f>
        <v>L</v>
      </c>
      <c r="U247" s="102" t="str">
        <f>MID(VLOOKUP($A247,Seqs!$A:$B,2,FALSE),VLOOKUP($A247,'NonXtal_SegEnds_Prot#'!A:AL,10,FALSE)+8,1)</f>
        <v>P</v>
      </c>
      <c r="V247" s="102" t="str">
        <f>MID(VLOOKUP($A247,Seqs!$A:$B,2,FALSE),VLOOKUP($A247,'NonXtal_SegEnds_Prot#'!A:AL,10,FALSE)+9,1)</f>
        <v>F</v>
      </c>
      <c r="W247" s="71" t="str">
        <f>MID(VLOOKUP($A247,Seqs!$A:$B,2,FALSE),VLOOKUP($A247,'NonXtal_SegEnds_Prot#'!$A:$AL,22,FALSE)+6,1)</f>
        <v>G</v>
      </c>
      <c r="X247" s="102" t="str">
        <f>MID(VLOOKUP($A247,Seqs!$A:$B,2,FALSE),VLOOKUP($A247,'NonXtal_SegEnds_Prot#'!$A:$AL,22,FALSE)+7,1)</f>
        <v>V</v>
      </c>
      <c r="Y247" s="102" t="str">
        <f>MID(VLOOKUP($A247,Seqs!$A:$B,2,FALSE),VLOOKUP($A247,'NonXtal_SegEnds_Prot#'!$A:$AL,22,FALSE)+8,1)</f>
        <v>V</v>
      </c>
      <c r="Z247" s="102" t="str">
        <f>MID(VLOOKUP($A247,Seqs!$A:$B,2,FALSE),VLOOKUP($A247,'NonXtal_SegEnds_Prot#'!$A:$AL,22,FALSE)+9,1)</f>
        <v>P</v>
      </c>
      <c r="AA247" s="102" t="str">
        <f>MID(VLOOKUP($A247,Seqs!$A:$B,2,FALSE),VLOOKUP($A247,'NonXtal_SegEnds_Prot#'!$A:$AL,22,FALSE)+10,1)</f>
        <v>L</v>
      </c>
      <c r="AB247" s="71" t="str">
        <f>MID(VLOOKUP($A247,Seqs!$A:$B,2,FALSE),VLOOKUP($A247,'NonXtal_SegEnds_Prot#'!$A:$AL,28,FALSE)-4,1)</f>
        <v>F</v>
      </c>
      <c r="AC247" s="102" t="str">
        <f>MID(VLOOKUP($A247,Seqs!$A:$B,2,FALSE),VLOOKUP($A247,'NonXtal_SegEnds_Prot#'!$A:$AL,28,FALSE),1)</f>
        <v>P</v>
      </c>
    </row>
    <row r="248" spans="1:29" s="2" customFormat="1" x14ac:dyDescent="0.2">
      <c r="A248" s="2" t="s">
        <v>550</v>
      </c>
      <c r="B248" s="2" t="str">
        <f>LOWER(VLOOKUP(A248,Xtal_Templ!A:B,2,FALSE))</f>
        <v>par1_human</v>
      </c>
      <c r="C248" s="2" t="str">
        <f>VLOOKUP(A248,Classification!A:D,2,FALSE)</f>
        <v>A</v>
      </c>
      <c r="K248" s="2" t="s">
        <v>59</v>
      </c>
      <c r="N248" s="2" t="s">
        <v>43</v>
      </c>
      <c r="O248" s="2" t="s">
        <v>1554</v>
      </c>
      <c r="P248" s="4" t="s">
        <v>51</v>
      </c>
      <c r="R248" s="71" t="str">
        <f>MID(VLOOKUP($A248,Seqs!$A:$B,2,FALSE),VLOOKUP($A248,'NonXtal_SegEnds_Prot#'!A:AL,10,FALSE),1)</f>
        <v>D</v>
      </c>
      <c r="S248" s="102" t="str">
        <f>MID(VLOOKUP($A248,Seqs!$A:$B,2,FALSE),VLOOKUP($A248,'NonXtal_SegEnds_Prot#'!A:AL,10,FALSE)+6,1)</f>
        <v>W</v>
      </c>
      <c r="T248" s="102" t="str">
        <f>MID(VLOOKUP($A248,Seqs!$A:$B,2,FALSE),VLOOKUP($A248,'NonXtal_SegEnds_Prot#'!A:AL,10,FALSE)+7,1)</f>
        <v>F</v>
      </c>
      <c r="U248" s="102" t="str">
        <f>MID(VLOOKUP($A248,Seqs!$A:$B,2,FALSE),VLOOKUP($A248,'NonXtal_SegEnds_Prot#'!A:AL,10,FALSE)+8,1)</f>
        <v>P</v>
      </c>
      <c r="V248" s="102" t="str">
        <f>MID(VLOOKUP($A248,Seqs!$A:$B,2,FALSE),VLOOKUP($A248,'NonXtal_SegEnds_Prot#'!A:AL,10,FALSE)+9,1)</f>
        <v>L</v>
      </c>
      <c r="W248" s="71" t="str">
        <f>MID(VLOOKUP($A248,Seqs!$A:$B,2,FALSE),VLOOKUP($A248,'NonXtal_SegEnds_Prot#'!$A:$AL,22,FALSE)+6,1)</f>
        <v>V</v>
      </c>
      <c r="X248" s="102" t="str">
        <f>MID(VLOOKUP($A248,Seqs!$A:$B,2,FALSE),VLOOKUP($A248,'NonXtal_SegEnds_Prot#'!$A:$AL,22,FALSE)+7,1)</f>
        <v>T</v>
      </c>
      <c r="Y248" s="102" t="str">
        <f>MID(VLOOKUP($A248,Seqs!$A:$B,2,FALSE),VLOOKUP($A248,'NonXtal_SegEnds_Prot#'!$A:$AL,22,FALSE)+8,1)</f>
        <v>I</v>
      </c>
      <c r="Z248" s="102" t="str">
        <f>MID(VLOOKUP($A248,Seqs!$A:$B,2,FALSE),VLOOKUP($A248,'NonXtal_SegEnds_Prot#'!$A:$AL,22,FALSE)+9,1)</f>
        <v>P</v>
      </c>
      <c r="AA248" s="102" t="str">
        <f>MID(VLOOKUP($A248,Seqs!$A:$B,2,FALSE),VLOOKUP($A248,'NonXtal_SegEnds_Prot#'!$A:$AL,22,FALSE)+10,1)</f>
        <v>L</v>
      </c>
      <c r="AB248" s="71" t="str">
        <f>MID(VLOOKUP($A248,Seqs!$A:$B,2,FALSE),VLOOKUP($A248,'NonXtal_SegEnds_Prot#'!$A:$AL,28,FALSE)-4,1)</f>
        <v>V</v>
      </c>
      <c r="AC248" s="102" t="str">
        <f>MID(VLOOKUP($A248,Seqs!$A:$B,2,FALSE),VLOOKUP($A248,'NonXtal_SegEnds_Prot#'!$A:$AL,28,FALSE),1)</f>
        <v>P</v>
      </c>
    </row>
    <row r="249" spans="1:29" s="2" customFormat="1" x14ac:dyDescent="0.2">
      <c r="A249" s="2" t="s">
        <v>551</v>
      </c>
      <c r="B249" s="2" t="str">
        <f>LOWER(VLOOKUP(A249,Xtal_Templ!A:B,2,FALSE))</f>
        <v>par1_human</v>
      </c>
      <c r="C249" s="2" t="str">
        <f>VLOOKUP(A249,Classification!A:D,2,FALSE)</f>
        <v>A</v>
      </c>
      <c r="K249" s="2" t="s">
        <v>59</v>
      </c>
      <c r="N249" s="2" t="s">
        <v>43</v>
      </c>
      <c r="O249" s="2" t="s">
        <v>1554</v>
      </c>
      <c r="P249" s="4" t="s">
        <v>51</v>
      </c>
      <c r="R249" s="71" t="str">
        <f>MID(VLOOKUP($A249,Seqs!$A:$B,2,FALSE),VLOOKUP($A249,'NonXtal_SegEnds_Prot#'!A:AL,10,FALSE),1)</f>
        <v>D</v>
      </c>
      <c r="S249" s="102" t="str">
        <f>MID(VLOOKUP($A249,Seqs!$A:$B,2,FALSE),VLOOKUP($A249,'NonXtal_SegEnds_Prot#'!A:AL,10,FALSE)+6,1)</f>
        <v>T</v>
      </c>
      <c r="T249" s="102" t="str">
        <f>MID(VLOOKUP($A249,Seqs!$A:$B,2,FALSE),VLOOKUP($A249,'NonXtal_SegEnds_Prot#'!A:AL,10,FALSE)+7,1)</f>
        <v>L</v>
      </c>
      <c r="U249" s="102" t="str">
        <f>MID(VLOOKUP($A249,Seqs!$A:$B,2,FALSE),VLOOKUP($A249,'NonXtal_SegEnds_Prot#'!A:AL,10,FALSE)+8,1)</f>
        <v>P</v>
      </c>
      <c r="V249" s="102" t="str">
        <f>MID(VLOOKUP($A249,Seqs!$A:$B,2,FALSE),VLOOKUP($A249,'NonXtal_SegEnds_Prot#'!A:AL,10,FALSE)+9,1)</f>
        <v>F</v>
      </c>
      <c r="W249" s="71" t="str">
        <f>MID(VLOOKUP($A249,Seqs!$A:$B,2,FALSE),VLOOKUP($A249,'NonXtal_SegEnds_Prot#'!$A:$AL,22,FALSE)+6,1)</f>
        <v>Y</v>
      </c>
      <c r="X249" s="102" t="str">
        <f>MID(VLOOKUP($A249,Seqs!$A:$B,2,FALSE),VLOOKUP($A249,'NonXtal_SegEnds_Prot#'!$A:$AL,22,FALSE)+7,1)</f>
        <v>M</v>
      </c>
      <c r="Y249" s="102" t="str">
        <f>MID(VLOOKUP($A249,Seqs!$A:$B,2,FALSE),VLOOKUP($A249,'NonXtal_SegEnds_Prot#'!$A:$AL,22,FALSE)+8,1)</f>
        <v>L</v>
      </c>
      <c r="Z249" s="102" t="str">
        <f>MID(VLOOKUP($A249,Seqs!$A:$B,2,FALSE),VLOOKUP($A249,'NonXtal_SegEnds_Prot#'!$A:$AL,22,FALSE)+9,1)</f>
        <v>P</v>
      </c>
      <c r="AA249" s="102" t="str">
        <f>MID(VLOOKUP($A249,Seqs!$A:$B,2,FALSE),VLOOKUP($A249,'NonXtal_SegEnds_Prot#'!$A:$AL,22,FALSE)+10,1)</f>
        <v>F</v>
      </c>
      <c r="AB249" s="71" t="str">
        <f>MID(VLOOKUP($A249,Seqs!$A:$B,2,FALSE),VLOOKUP($A249,'NonXtal_SegEnds_Prot#'!$A:$AL,28,FALSE)-4,1)</f>
        <v>G</v>
      </c>
      <c r="AC249" s="102" t="str">
        <f>MID(VLOOKUP($A249,Seqs!$A:$B,2,FALSE),VLOOKUP($A249,'NonXtal_SegEnds_Prot#'!$A:$AL,28,FALSE),1)</f>
        <v>P</v>
      </c>
    </row>
    <row r="250" spans="1:29" s="2" customFormat="1" x14ac:dyDescent="0.2">
      <c r="A250" s="2" t="s">
        <v>552</v>
      </c>
      <c r="B250" s="2" t="str">
        <f>LOWER(VLOOKUP(A250,Xtal_Templ!A:B,2,FALSE))</f>
        <v>par1_human</v>
      </c>
      <c r="C250" s="2" t="str">
        <f>VLOOKUP(A250,Classification!A:D,2,FALSE)</f>
        <v>A</v>
      </c>
      <c r="K250" s="2" t="s">
        <v>59</v>
      </c>
      <c r="N250" s="2" t="s">
        <v>43</v>
      </c>
      <c r="O250" s="2" t="s">
        <v>1554</v>
      </c>
      <c r="P250" s="4" t="s">
        <v>51</v>
      </c>
      <c r="R250" s="71" t="str">
        <f>MID(VLOOKUP($A250,Seqs!$A:$B,2,FALSE),VLOOKUP($A250,'NonXtal_SegEnds_Prot#'!A:AL,10,FALSE),1)</f>
        <v>D</v>
      </c>
      <c r="S250" s="102" t="str">
        <f>MID(VLOOKUP($A250,Seqs!$A:$B,2,FALSE),VLOOKUP($A250,'NonXtal_SegEnds_Prot#'!A:AL,10,FALSE)+6,1)</f>
        <v>A</v>
      </c>
      <c r="T250" s="102" t="str">
        <f>MID(VLOOKUP($A250,Seqs!$A:$B,2,FALSE),VLOOKUP($A250,'NonXtal_SegEnds_Prot#'!A:AL,10,FALSE)+7,1)</f>
        <v>L</v>
      </c>
      <c r="U250" s="102" t="str">
        <f>MID(VLOOKUP($A250,Seqs!$A:$B,2,FALSE),VLOOKUP($A250,'NonXtal_SegEnds_Prot#'!A:AL,10,FALSE)+8,1)</f>
        <v>P</v>
      </c>
      <c r="V250" s="102" t="str">
        <f>MID(VLOOKUP($A250,Seqs!$A:$B,2,FALSE),VLOOKUP($A250,'NonXtal_SegEnds_Prot#'!A:AL,10,FALSE)+9,1)</f>
        <v>P</v>
      </c>
      <c r="W250" s="71" t="str">
        <f>MID(VLOOKUP($A250,Seqs!$A:$B,2,FALSE),VLOOKUP($A250,'NonXtal_SegEnds_Prot#'!$A:$AL,22,FALSE)+6,1)</f>
        <v>L</v>
      </c>
      <c r="X250" s="102" t="str">
        <f>MID(VLOOKUP($A250,Seqs!$A:$B,2,FALSE),VLOOKUP($A250,'NonXtal_SegEnds_Prot#'!$A:$AL,22,FALSE)+7,1)</f>
        <v>A</v>
      </c>
      <c r="Y250" s="102" t="str">
        <f>MID(VLOOKUP($A250,Seqs!$A:$B,2,FALSE),VLOOKUP($A250,'NonXtal_SegEnds_Prot#'!$A:$AL,22,FALSE)+8,1)</f>
        <v>L</v>
      </c>
      <c r="Z250" s="102" t="str">
        <f>MID(VLOOKUP($A250,Seqs!$A:$B,2,FALSE),VLOOKUP($A250,'NonXtal_SegEnds_Prot#'!$A:$AL,22,FALSE)+9,1)</f>
        <v>P</v>
      </c>
      <c r="AA250" s="102" t="str">
        <f>MID(VLOOKUP($A250,Seqs!$A:$B,2,FALSE),VLOOKUP($A250,'NonXtal_SegEnds_Prot#'!$A:$AL,22,FALSE)+10,1)</f>
        <v>L</v>
      </c>
      <c r="AB250" s="71" t="str">
        <f>MID(VLOOKUP($A250,Seqs!$A:$B,2,FALSE),VLOOKUP($A250,'NonXtal_SegEnds_Prot#'!$A:$AL,28,FALSE)-4,1)</f>
        <v>G</v>
      </c>
      <c r="AC250" s="102" t="str">
        <f>MID(VLOOKUP($A250,Seqs!$A:$B,2,FALSE),VLOOKUP($A250,'NonXtal_SegEnds_Prot#'!$A:$AL,28,FALSE),1)</f>
        <v>P</v>
      </c>
    </row>
    <row r="251" spans="1:29" s="2" customFormat="1" x14ac:dyDescent="0.2">
      <c r="A251" s="2" t="s">
        <v>553</v>
      </c>
      <c r="B251" s="2" t="str">
        <f>LOWER(VLOOKUP(A251,Xtal_Templ!A:B,2,FALSE))</f>
        <v>ox2r_human</v>
      </c>
      <c r="C251" s="2" t="str">
        <f>VLOOKUP(A251,Classification!A:D,2,FALSE)</f>
        <v>A</v>
      </c>
      <c r="E251" s="2" t="s">
        <v>20</v>
      </c>
      <c r="P251" s="4" t="s">
        <v>51</v>
      </c>
      <c r="R251" s="71" t="str">
        <f>MID(VLOOKUP($A251,Seqs!$A:$B,2,FALSE),VLOOKUP($A251,'NonXtal_SegEnds_Prot#'!A:AL,10,FALSE),1)</f>
        <v>D</v>
      </c>
      <c r="S251" s="102" t="str">
        <f>MID(VLOOKUP($A251,Seqs!$A:$B,2,FALSE),VLOOKUP($A251,'NonXtal_SegEnds_Prot#'!A:AL,10,FALSE)+6,1)</f>
        <v>L</v>
      </c>
      <c r="T251" s="102" t="str">
        <f>MID(VLOOKUP($A251,Seqs!$A:$B,2,FALSE),VLOOKUP($A251,'NonXtal_SegEnds_Prot#'!A:AL,10,FALSE)+7,1)</f>
        <v>L</v>
      </c>
      <c r="U251" s="102" t="str">
        <f>MID(VLOOKUP($A251,Seqs!$A:$B,2,FALSE),VLOOKUP($A251,'NonXtal_SegEnds_Prot#'!A:AL,10,FALSE)+8,1)</f>
        <v>S</v>
      </c>
      <c r="V251" s="102" t="str">
        <f>MID(VLOOKUP($A251,Seqs!$A:$B,2,FALSE),VLOOKUP($A251,'NonXtal_SegEnds_Prot#'!A:AL,10,FALSE)+9,1)</f>
        <v>P</v>
      </c>
      <c r="W251" s="71" t="str">
        <f>MID(VLOOKUP($A251,Seqs!$A:$B,2,FALSE),VLOOKUP($A251,'NonXtal_SegEnds_Prot#'!$A:$AL,22,FALSE)+6,1)</f>
        <v>F</v>
      </c>
      <c r="X251" s="102" t="str">
        <f>MID(VLOOKUP($A251,Seqs!$A:$B,2,FALSE),VLOOKUP($A251,'NonXtal_SegEnds_Prot#'!$A:$AL,22,FALSE)+7,1)</f>
        <v>C</v>
      </c>
      <c r="Y251" s="102" t="str">
        <f>MID(VLOOKUP($A251,Seqs!$A:$B,2,FALSE),VLOOKUP($A251,'NonXtal_SegEnds_Prot#'!$A:$AL,22,FALSE)+8,1)</f>
        <v>A</v>
      </c>
      <c r="Z251" s="102" t="str">
        <f>MID(VLOOKUP($A251,Seqs!$A:$B,2,FALSE),VLOOKUP($A251,'NonXtal_SegEnds_Prot#'!$A:$AL,22,FALSE)+9,1)</f>
        <v>L</v>
      </c>
      <c r="AA251" s="102" t="str">
        <f>MID(VLOOKUP($A251,Seqs!$A:$B,2,FALSE),VLOOKUP($A251,'NonXtal_SegEnds_Prot#'!$A:$AL,22,FALSE)+10,1)</f>
        <v>P</v>
      </c>
      <c r="AB251" s="71" t="str">
        <f>MID(VLOOKUP($A251,Seqs!$A:$B,2,FALSE),VLOOKUP($A251,'NonXtal_SegEnds_Prot#'!$A:$AL,28,FALSE)-4,1)</f>
        <v>A</v>
      </c>
      <c r="AC251" s="102" t="str">
        <f>MID(VLOOKUP($A251,Seqs!$A:$B,2,FALSE),VLOOKUP($A251,'NonXtal_SegEnds_Prot#'!$A:$AL,28,FALSE),1)</f>
        <v>L</v>
      </c>
    </row>
    <row r="252" spans="1:29" s="2" customFormat="1" x14ac:dyDescent="0.2">
      <c r="A252" s="2" t="s">
        <v>554</v>
      </c>
      <c r="B252" s="2" t="str">
        <f>LOWER(VLOOKUP(A252,Xtal_Templ!A:B,2,FALSE))</f>
        <v>oprd_mouse</v>
      </c>
      <c r="C252" s="2" t="str">
        <f>VLOOKUP(A252,Classification!A:D,2,FALSE)</f>
        <v>A</v>
      </c>
      <c r="K252" s="2" t="s">
        <v>59</v>
      </c>
      <c r="N252" s="2" t="s">
        <v>43</v>
      </c>
      <c r="P252" s="4" t="s">
        <v>51</v>
      </c>
      <c r="R252" s="71" t="str">
        <f>MID(VLOOKUP($A252,Seqs!$A:$B,2,FALSE),VLOOKUP($A252,'NonXtal_SegEnds_Prot#'!A:AL,10,FALSE),1)</f>
        <v>D</v>
      </c>
      <c r="S252" s="102" t="str">
        <f>MID(VLOOKUP($A252,Seqs!$A:$B,2,FALSE),VLOOKUP($A252,'NonXtal_SegEnds_Prot#'!A:AL,10,FALSE)+6,1)</f>
        <v>S</v>
      </c>
      <c r="T252" s="102" t="str">
        <f>MID(VLOOKUP($A252,Seqs!$A:$B,2,FALSE),VLOOKUP($A252,'NonXtal_SegEnds_Prot#'!A:AL,10,FALSE)+7,1)</f>
        <v>L</v>
      </c>
      <c r="U252" s="102" t="str">
        <f>MID(VLOOKUP($A252,Seqs!$A:$B,2,FALSE),VLOOKUP($A252,'NonXtal_SegEnds_Prot#'!A:AL,10,FALSE)+8,1)</f>
        <v>P</v>
      </c>
      <c r="V252" s="102" t="str">
        <f>MID(VLOOKUP($A252,Seqs!$A:$B,2,FALSE),VLOOKUP($A252,'NonXtal_SegEnds_Prot#'!A:AL,10,FALSE)+9,1)</f>
        <v>F</v>
      </c>
      <c r="W252" s="71" t="str">
        <f>MID(VLOOKUP($A252,Seqs!$A:$B,2,FALSE),VLOOKUP($A252,'NonXtal_SegEnds_Prot#'!$A:$AL,22,FALSE)+6,1)</f>
        <v>N</v>
      </c>
      <c r="X252" s="102" t="str">
        <f>MID(VLOOKUP($A252,Seqs!$A:$B,2,FALSE),VLOOKUP($A252,'NonXtal_SegEnds_Prot#'!$A:$AL,22,FALSE)+7,1)</f>
        <v>T</v>
      </c>
      <c r="Y252" s="102" t="str">
        <f>MID(VLOOKUP($A252,Seqs!$A:$B,2,FALSE),VLOOKUP($A252,'NonXtal_SegEnds_Prot#'!$A:$AL,22,FALSE)+8,1)</f>
        <v>V</v>
      </c>
      <c r="Z252" s="102" t="str">
        <f>MID(VLOOKUP($A252,Seqs!$A:$B,2,FALSE),VLOOKUP($A252,'NonXtal_SegEnds_Prot#'!$A:$AL,22,FALSE)+9,1)</f>
        <v>P</v>
      </c>
      <c r="AA252" s="102" t="str">
        <f>MID(VLOOKUP($A252,Seqs!$A:$B,2,FALSE),VLOOKUP($A252,'NonXtal_SegEnds_Prot#'!$A:$AL,22,FALSE)+10,1)</f>
        <v>Y</v>
      </c>
      <c r="AB252" s="71" t="str">
        <f>MID(VLOOKUP($A252,Seqs!$A:$B,2,FALSE),VLOOKUP($A252,'NonXtal_SegEnds_Prot#'!$A:$AL,28,FALSE)-4,1)</f>
        <v>A</v>
      </c>
      <c r="AC252" s="102" t="str">
        <f>MID(VLOOKUP($A252,Seqs!$A:$B,2,FALSE),VLOOKUP($A252,'NonXtal_SegEnds_Prot#'!$A:$AL,28,FALSE),1)</f>
        <v>P</v>
      </c>
    </row>
    <row r="253" spans="1:29" s="2" customFormat="1" x14ac:dyDescent="0.2">
      <c r="A253" s="2" t="s">
        <v>555</v>
      </c>
      <c r="B253" s="2" t="str">
        <f>LOWER(VLOOKUP(A253,Xtal_Templ!A:B,2,FALSE))</f>
        <v>aa2ar_human</v>
      </c>
      <c r="C253" s="2" t="str">
        <f>VLOOKUP(A253,Classification!A:D,2,FALSE)</f>
        <v>A</v>
      </c>
      <c r="P253" s="4" t="s">
        <v>51</v>
      </c>
      <c r="R253" s="71" t="str">
        <f>MID(VLOOKUP($A253,Seqs!$A:$B,2,FALSE),VLOOKUP($A253,'NonXtal_SegEnds_Prot#'!A:AL,10,FALSE),1)</f>
        <v>D</v>
      </c>
      <c r="S253" s="102" t="str">
        <f>MID(VLOOKUP($A253,Seqs!$A:$B,2,FALSE),VLOOKUP($A253,'NonXtal_SegEnds_Prot#'!A:AL,10,FALSE)+6,1)</f>
        <v>I</v>
      </c>
      <c r="T253" s="102" t="str">
        <f>MID(VLOOKUP($A253,Seqs!$A:$B,2,FALSE),VLOOKUP($A253,'NonXtal_SegEnds_Prot#'!A:AL,10,FALSE)+7,1)</f>
        <v>P</v>
      </c>
      <c r="U253" s="102" t="str">
        <f>MID(VLOOKUP($A253,Seqs!$A:$B,2,FALSE),VLOOKUP($A253,'NonXtal_SegEnds_Prot#'!A:AL,10,FALSE)+8,1)</f>
        <v>G</v>
      </c>
      <c r="V253" s="102" t="str">
        <f>MID(VLOOKUP($A253,Seqs!$A:$B,2,FALSE),VLOOKUP($A253,'NonXtal_SegEnds_Prot#'!A:AL,10,FALSE)+9,1)</f>
        <v>A</v>
      </c>
      <c r="W253" s="71" t="str">
        <f>MID(VLOOKUP($A253,Seqs!$A:$B,2,FALSE),VLOOKUP($A253,'NonXtal_SegEnds_Prot#'!$A:$AL,22,FALSE)+6,1)</f>
        <v>V</v>
      </c>
      <c r="X253" s="102" t="str">
        <f>MID(VLOOKUP($A253,Seqs!$A:$B,2,FALSE),VLOOKUP($A253,'NonXtal_SegEnds_Prot#'!$A:$AL,22,FALSE)+7,1)</f>
        <v>A</v>
      </c>
      <c r="Y253" s="102" t="str">
        <f>MID(VLOOKUP($A253,Seqs!$A:$B,2,FALSE),VLOOKUP($A253,'NonXtal_SegEnds_Prot#'!$A:$AL,22,FALSE)+8,1)</f>
        <v>L</v>
      </c>
      <c r="Z253" s="102" t="str">
        <f>MID(VLOOKUP($A253,Seqs!$A:$B,2,FALSE),VLOOKUP($A253,'NonXtal_SegEnds_Prot#'!$A:$AL,22,FALSE)+9,1)</f>
        <v>L</v>
      </c>
      <c r="AA253" s="102" t="str">
        <f>MID(VLOOKUP($A253,Seqs!$A:$B,2,FALSE),VLOOKUP($A253,'NonXtal_SegEnds_Prot#'!$A:$AL,22,FALSE)+10,1)</f>
        <v>P</v>
      </c>
      <c r="AB253" s="71" t="str">
        <f>MID(VLOOKUP($A253,Seqs!$A:$B,2,FALSE),VLOOKUP($A253,'NonXtal_SegEnds_Prot#'!$A:$AL,28,FALSE)-4,1)</f>
        <v>L</v>
      </c>
      <c r="AC253" s="102" t="str">
        <f>MID(VLOOKUP($A253,Seqs!$A:$B,2,FALSE),VLOOKUP($A253,'NonXtal_SegEnds_Prot#'!$A:$AL,28,FALSE),1)</f>
        <v>L</v>
      </c>
    </row>
    <row r="254" spans="1:29" s="2" customFormat="1" x14ac:dyDescent="0.2">
      <c r="A254" s="2" t="s">
        <v>556</v>
      </c>
      <c r="B254" s="2" t="str">
        <f>LOWER(VLOOKUP(A254,Xtal_Templ!A:B,2,FALSE))</f>
        <v>ntr1_rat</v>
      </c>
      <c r="C254" s="2" t="str">
        <f>VLOOKUP(A254,Classification!A:D,2,FALSE)</f>
        <v>A</v>
      </c>
      <c r="E254" s="2" t="s">
        <v>20</v>
      </c>
      <c r="P254" s="4" t="s">
        <v>51</v>
      </c>
      <c r="R254" s="71" t="str">
        <f>MID(VLOOKUP($A254,Seqs!$A:$B,2,FALSE),VLOOKUP($A254,'NonXtal_SegEnds_Prot#'!A:AL,10,FALSE),1)</f>
        <v>D</v>
      </c>
      <c r="S254" s="102" t="str">
        <f>MID(VLOOKUP($A254,Seqs!$A:$B,2,FALSE),VLOOKUP($A254,'NonXtal_SegEnds_Prot#'!A:AL,10,FALSE)+6,1)</f>
        <v>L</v>
      </c>
      <c r="T254" s="102" t="str">
        <f>MID(VLOOKUP($A254,Seqs!$A:$B,2,FALSE),VLOOKUP($A254,'NonXtal_SegEnds_Prot#'!A:AL,10,FALSE)+7,1)</f>
        <v>I</v>
      </c>
      <c r="U254" s="102" t="str">
        <f>MID(VLOOKUP($A254,Seqs!$A:$B,2,FALSE),VLOOKUP($A254,'NonXtal_SegEnds_Prot#'!A:AL,10,FALSE)+8,1)</f>
        <v>S</v>
      </c>
      <c r="V254" s="102" t="str">
        <f>MID(VLOOKUP($A254,Seqs!$A:$B,2,FALSE),VLOOKUP($A254,'NonXtal_SegEnds_Prot#'!A:AL,10,FALSE)+9,1)</f>
        <v>P</v>
      </c>
      <c r="W254" s="71" t="str">
        <f>MID(VLOOKUP($A254,Seqs!$A:$B,2,FALSE),VLOOKUP($A254,'NonXtal_SegEnds_Prot#'!$A:$AL,22,FALSE)+6,1)</f>
        <v>F</v>
      </c>
      <c r="X254" s="102" t="str">
        <f>MID(VLOOKUP($A254,Seqs!$A:$B,2,FALSE),VLOOKUP($A254,'NonXtal_SegEnds_Prot#'!$A:$AL,22,FALSE)+7,1)</f>
        <v>C</v>
      </c>
      <c r="Y254" s="102" t="str">
        <f>MID(VLOOKUP($A254,Seqs!$A:$B,2,FALSE),VLOOKUP($A254,'NonXtal_SegEnds_Prot#'!$A:$AL,22,FALSE)+8,1)</f>
        <v>S</v>
      </c>
      <c r="Z254" s="102" t="str">
        <f>MID(VLOOKUP($A254,Seqs!$A:$B,2,FALSE),VLOOKUP($A254,'NonXtal_SegEnds_Prot#'!$A:$AL,22,FALSE)+9,1)</f>
        <v>L</v>
      </c>
      <c r="AA254" s="102" t="str">
        <f>MID(VLOOKUP($A254,Seqs!$A:$B,2,FALSE),VLOOKUP($A254,'NonXtal_SegEnds_Prot#'!$A:$AL,22,FALSE)+10,1)</f>
        <v>P</v>
      </c>
      <c r="AB254" s="71" t="str">
        <f>MID(VLOOKUP($A254,Seqs!$A:$B,2,FALSE),VLOOKUP($A254,'NonXtal_SegEnds_Prot#'!$A:$AL,28,FALSE)-4,1)</f>
        <v>L</v>
      </c>
      <c r="AC254" s="102" t="str">
        <f>MID(VLOOKUP($A254,Seqs!$A:$B,2,FALSE),VLOOKUP($A254,'NonXtal_SegEnds_Prot#'!$A:$AL,28,FALSE),1)</f>
        <v>V</v>
      </c>
    </row>
    <row r="255" spans="1:29" s="2" customFormat="1" x14ac:dyDescent="0.2">
      <c r="A255" s="2" t="s">
        <v>557</v>
      </c>
      <c r="B255" s="2" t="str">
        <f>LOWER(VLOOKUP(A255,Xtal_Templ!A:B,2,FALSE))</f>
        <v>s1pr1_human</v>
      </c>
      <c r="C255" s="2" t="str">
        <f>VLOOKUP(A255,Classification!A:D,2,FALSE)</f>
        <v>A</v>
      </c>
      <c r="E255" s="2" t="s">
        <v>20</v>
      </c>
      <c r="P255" s="4" t="s">
        <v>51</v>
      </c>
      <c r="R255" s="71" t="str">
        <f>MID(VLOOKUP($A255,Seqs!$A:$B,2,FALSE),VLOOKUP($A255,'NonXtal_SegEnds_Prot#'!A:AL,10,FALSE),1)</f>
        <v>D</v>
      </c>
      <c r="S255" s="102" t="str">
        <f>MID(VLOOKUP($A255,Seqs!$A:$B,2,FALSE),VLOOKUP($A255,'NonXtal_SegEnds_Prot#'!A:AL,10,FALSE)+6,1)</f>
        <v>L</v>
      </c>
      <c r="T255" s="102" t="str">
        <f>MID(VLOOKUP($A255,Seqs!$A:$B,2,FALSE),VLOOKUP($A255,'NonXtal_SegEnds_Prot#'!A:AL,10,FALSE)+7,1)</f>
        <v>T</v>
      </c>
      <c r="U255" s="102" t="str">
        <f>MID(VLOOKUP($A255,Seqs!$A:$B,2,FALSE),VLOOKUP($A255,'NonXtal_SegEnds_Prot#'!A:AL,10,FALSE)+8,1)</f>
        <v>T</v>
      </c>
      <c r="V255" s="102" t="str">
        <f>MID(VLOOKUP($A255,Seqs!$A:$B,2,FALSE),VLOOKUP($A255,'NonXtal_SegEnds_Prot#'!A:AL,10,FALSE)+9,1)</f>
        <v>P</v>
      </c>
      <c r="W255" s="71" t="str">
        <f>MID(VLOOKUP($A255,Seqs!$A:$B,2,FALSE),VLOOKUP($A255,'NonXtal_SegEnds_Prot#'!$A:$AL,22,FALSE)+6,1)</f>
        <v>F</v>
      </c>
      <c r="X255" s="102" t="str">
        <f>MID(VLOOKUP($A255,Seqs!$A:$B,2,FALSE),VLOOKUP($A255,'NonXtal_SegEnds_Prot#'!$A:$AL,22,FALSE)+7,1)</f>
        <v>A</v>
      </c>
      <c r="Y255" s="102" t="str">
        <f>MID(VLOOKUP($A255,Seqs!$A:$B,2,FALSE),VLOOKUP($A255,'NonXtal_SegEnds_Prot#'!$A:$AL,22,FALSE)+8,1)</f>
        <v>L</v>
      </c>
      <c r="Z255" s="102" t="str">
        <f>MID(VLOOKUP($A255,Seqs!$A:$B,2,FALSE),VLOOKUP($A255,'NonXtal_SegEnds_Prot#'!$A:$AL,22,FALSE)+9,1)</f>
        <v>L</v>
      </c>
      <c r="AA255" s="102" t="str">
        <f>MID(VLOOKUP($A255,Seqs!$A:$B,2,FALSE),VLOOKUP($A255,'NonXtal_SegEnds_Prot#'!$A:$AL,22,FALSE)+10,1)</f>
        <v>P</v>
      </c>
      <c r="AB255" s="71" t="str">
        <f>MID(VLOOKUP($A255,Seqs!$A:$B,2,FALSE),VLOOKUP($A255,'NonXtal_SegEnds_Prot#'!$A:$AL,28,FALSE)-4,1)</f>
        <v>L</v>
      </c>
      <c r="AC255" s="102" t="str">
        <f>MID(VLOOKUP($A255,Seqs!$A:$B,2,FALSE),VLOOKUP($A255,'NonXtal_SegEnds_Prot#'!$A:$AL,28,FALSE),1)</f>
        <v>T</v>
      </c>
    </row>
    <row r="256" spans="1:29" s="2" customFormat="1" x14ac:dyDescent="0.2">
      <c r="A256" s="2" t="s">
        <v>558</v>
      </c>
      <c r="B256" s="2" t="str">
        <f>LOWER(VLOOKUP(A256,Xtal_Templ!A:B,2,FALSE))</f>
        <v>p2y12_human</v>
      </c>
      <c r="C256" s="2" t="str">
        <f>VLOOKUP(A256,Classification!A:D,2,FALSE)</f>
        <v>A</v>
      </c>
      <c r="E256" s="2" t="s">
        <v>20</v>
      </c>
      <c r="P256" s="4" t="s">
        <v>51</v>
      </c>
      <c r="R256" s="71" t="str">
        <f>MID(VLOOKUP($A256,Seqs!$A:$B,2,FALSE),VLOOKUP($A256,'NonXtal_SegEnds_Prot#'!A:AL,10,FALSE),1)</f>
        <v>D</v>
      </c>
      <c r="S256" s="102" t="str">
        <f>MID(VLOOKUP($A256,Seqs!$A:$B,2,FALSE),VLOOKUP($A256,'NonXtal_SegEnds_Prot#'!A:AL,10,FALSE)+6,1)</f>
        <v>L</v>
      </c>
      <c r="T256" s="102" t="str">
        <f>MID(VLOOKUP($A256,Seqs!$A:$B,2,FALSE),VLOOKUP($A256,'NonXtal_SegEnds_Prot#'!A:AL,10,FALSE)+7,1)</f>
        <v>V</v>
      </c>
      <c r="U256" s="102" t="str">
        <f>MID(VLOOKUP($A256,Seqs!$A:$B,2,FALSE),VLOOKUP($A256,'NonXtal_SegEnds_Prot#'!A:AL,10,FALSE)+8,1)</f>
        <v>S</v>
      </c>
      <c r="V256" s="102" t="str">
        <f>MID(VLOOKUP($A256,Seqs!$A:$B,2,FALSE),VLOOKUP($A256,'NonXtal_SegEnds_Prot#'!A:AL,10,FALSE)+9,1)</f>
        <v>P</v>
      </c>
      <c r="W256" s="71" t="str">
        <f>MID(VLOOKUP($A256,Seqs!$A:$B,2,FALSE),VLOOKUP($A256,'NonXtal_SegEnds_Prot#'!$A:$AL,22,FALSE)+6,1)</f>
        <v>F</v>
      </c>
      <c r="X256" s="102" t="str">
        <f>MID(VLOOKUP($A256,Seqs!$A:$B,2,FALSE),VLOOKUP($A256,'NonXtal_SegEnds_Prot#'!$A:$AL,22,FALSE)+7,1)</f>
        <v>C</v>
      </c>
      <c r="Y256" s="102" t="str">
        <f>MID(VLOOKUP($A256,Seqs!$A:$B,2,FALSE),VLOOKUP($A256,'NonXtal_SegEnds_Prot#'!$A:$AL,22,FALSE)+8,1)</f>
        <v>A</v>
      </c>
      <c r="Z256" s="102" t="str">
        <f>MID(VLOOKUP($A256,Seqs!$A:$B,2,FALSE),VLOOKUP($A256,'NonXtal_SegEnds_Prot#'!$A:$AL,22,FALSE)+9,1)</f>
        <v>L</v>
      </c>
      <c r="AA256" s="102" t="str">
        <f>MID(VLOOKUP($A256,Seqs!$A:$B,2,FALSE),VLOOKUP($A256,'NonXtal_SegEnds_Prot#'!$A:$AL,22,FALSE)+10,1)</f>
        <v>P</v>
      </c>
      <c r="AB256" s="71" t="str">
        <f>MID(VLOOKUP($A256,Seqs!$A:$B,2,FALSE),VLOOKUP($A256,'NonXtal_SegEnds_Prot#'!$A:$AL,28,FALSE)-4,1)</f>
        <v>S</v>
      </c>
      <c r="AC256" s="102" t="str">
        <f>MID(VLOOKUP($A256,Seqs!$A:$B,2,FALSE),VLOOKUP($A256,'NonXtal_SegEnds_Prot#'!$A:$AL,28,FALSE),1)</f>
        <v>L</v>
      </c>
    </row>
    <row r="257" spans="1:29" s="2" customFormat="1" x14ac:dyDescent="0.2">
      <c r="A257" s="2" t="s">
        <v>559</v>
      </c>
      <c r="B257" s="2" t="str">
        <f>LOWER(VLOOKUP(A257,Xtal_Templ!A:B,2,FALSE))</f>
        <v>p2y12_human</v>
      </c>
      <c r="C257" s="2" t="str">
        <f>VLOOKUP(A257,Classification!A:D,2,FALSE)</f>
        <v>A</v>
      </c>
      <c r="P257" s="4" t="s">
        <v>51</v>
      </c>
      <c r="R257" s="71" t="str">
        <f>MID(VLOOKUP($A257,Seqs!$A:$B,2,FALSE),VLOOKUP($A257,'NonXtal_SegEnds_Prot#'!A:AL,10,FALSE),1)</f>
        <v>D</v>
      </c>
      <c r="S257" s="102" t="str">
        <f>MID(VLOOKUP($A257,Seqs!$A:$B,2,FALSE),VLOOKUP($A257,'NonXtal_SegEnds_Prot#'!A:AL,10,FALSE)+6,1)</f>
        <v>I</v>
      </c>
      <c r="T257" s="102" t="str">
        <f>MID(VLOOKUP($A257,Seqs!$A:$B,2,FALSE),VLOOKUP($A257,'NonXtal_SegEnds_Prot#'!A:AL,10,FALSE)+7,1)</f>
        <v>N</v>
      </c>
      <c r="U257" s="102" t="str">
        <f>MID(VLOOKUP($A257,Seqs!$A:$B,2,FALSE),VLOOKUP($A257,'NonXtal_SegEnds_Prot#'!A:AL,10,FALSE)+8,1)</f>
        <v>G</v>
      </c>
      <c r="V257" s="102" t="str">
        <f>MID(VLOOKUP($A257,Seqs!$A:$B,2,FALSE),VLOOKUP($A257,'NonXtal_SegEnds_Prot#'!A:AL,10,FALSE)+9,1)</f>
        <v>A</v>
      </c>
      <c r="W257" s="71" t="str">
        <f>MID(VLOOKUP($A257,Seqs!$A:$B,2,FALSE),VLOOKUP($A257,'NonXtal_SegEnds_Prot#'!$A:$AL,22,FALSE)+6,1)</f>
        <v>I</v>
      </c>
      <c r="X257" s="102" t="str">
        <f>MID(VLOOKUP($A257,Seqs!$A:$B,2,FALSE),VLOOKUP($A257,'NonXtal_SegEnds_Prot#'!$A:$AL,22,FALSE)+7,1)</f>
        <v>A</v>
      </c>
      <c r="Y257" s="102" t="str">
        <f>MID(VLOOKUP($A257,Seqs!$A:$B,2,FALSE),VLOOKUP($A257,'NonXtal_SegEnds_Prot#'!$A:$AL,22,FALSE)+8,1)</f>
        <v>L</v>
      </c>
      <c r="Z257" s="102" t="str">
        <f>MID(VLOOKUP($A257,Seqs!$A:$B,2,FALSE),VLOOKUP($A257,'NonXtal_SegEnds_Prot#'!$A:$AL,22,FALSE)+9,1)</f>
        <v>L</v>
      </c>
      <c r="AA257" s="102" t="str">
        <f>MID(VLOOKUP($A257,Seqs!$A:$B,2,FALSE),VLOOKUP($A257,'NonXtal_SegEnds_Prot#'!$A:$AL,22,FALSE)+10,1)</f>
        <v>P</v>
      </c>
      <c r="AB257" s="71" t="str">
        <f>MID(VLOOKUP($A257,Seqs!$A:$B,2,FALSE),VLOOKUP($A257,'NonXtal_SegEnds_Prot#'!$A:$AL,28,FALSE)-4,1)</f>
        <v>L</v>
      </c>
      <c r="AC257" s="102" t="str">
        <f>MID(VLOOKUP($A257,Seqs!$A:$B,2,FALSE),VLOOKUP($A257,'NonXtal_SegEnds_Prot#'!$A:$AL,28,FALSE),1)</f>
        <v>G</v>
      </c>
    </row>
    <row r="258" spans="1:29" s="2" customFormat="1" x14ac:dyDescent="0.2">
      <c r="A258" s="2" t="s">
        <v>560</v>
      </c>
      <c r="B258" s="2" t="str">
        <f>LOWER(VLOOKUP(A258,Xtal_Templ!A:B,2,FALSE))</f>
        <v>drd3_human</v>
      </c>
      <c r="C258" s="2" t="str">
        <f>VLOOKUP(A258,Classification!A:D,2,FALSE)</f>
        <v>A</v>
      </c>
      <c r="E258" s="2" t="s">
        <v>20</v>
      </c>
      <c r="P258" s="4" t="s">
        <v>51</v>
      </c>
      <c r="R258" s="71" t="str">
        <f>MID(VLOOKUP($A258,Seqs!$A:$B,2,FALSE),VLOOKUP($A258,'NonXtal_SegEnds_Prot#'!A:AL,10,FALSE),1)</f>
        <v>D</v>
      </c>
      <c r="S258" s="102" t="str">
        <f>MID(VLOOKUP($A258,Seqs!$A:$B,2,FALSE),VLOOKUP($A258,'NonXtal_SegEnds_Prot#'!A:AL,10,FALSE)+6,1)</f>
        <v>F</v>
      </c>
      <c r="T258" s="102" t="str">
        <f>MID(VLOOKUP($A258,Seqs!$A:$B,2,FALSE),VLOOKUP($A258,'NonXtal_SegEnds_Prot#'!A:AL,10,FALSE)+7,1)</f>
        <v>L</v>
      </c>
      <c r="U258" s="102" t="str">
        <f>MID(VLOOKUP($A258,Seqs!$A:$B,2,FALSE),VLOOKUP($A258,'NonXtal_SegEnds_Prot#'!A:AL,10,FALSE)+8,1)</f>
        <v>S</v>
      </c>
      <c r="V258" s="102" t="str">
        <f>MID(VLOOKUP($A258,Seqs!$A:$B,2,FALSE),VLOOKUP($A258,'NonXtal_SegEnds_Prot#'!A:AL,10,FALSE)+9,1)</f>
        <v>P</v>
      </c>
      <c r="W258" s="71" t="str">
        <f>MID(VLOOKUP($A258,Seqs!$A:$B,2,FALSE),VLOOKUP($A258,'NonXtal_SegEnds_Prot#'!$A:$AL,22,FALSE)+6,1)</f>
        <v>F</v>
      </c>
      <c r="X258" s="102" t="str">
        <f>MID(VLOOKUP($A258,Seqs!$A:$B,2,FALSE),VLOOKUP($A258,'NonXtal_SegEnds_Prot#'!$A:$AL,22,FALSE)+7,1)</f>
        <v>C</v>
      </c>
      <c r="Y258" s="102" t="str">
        <f>MID(VLOOKUP($A258,Seqs!$A:$B,2,FALSE),VLOOKUP($A258,'NonXtal_SegEnds_Prot#'!$A:$AL,22,FALSE)+8,1)</f>
        <v>A</v>
      </c>
      <c r="Z258" s="102" t="str">
        <f>MID(VLOOKUP($A258,Seqs!$A:$B,2,FALSE),VLOOKUP($A258,'NonXtal_SegEnds_Prot#'!$A:$AL,22,FALSE)+9,1)</f>
        <v>L</v>
      </c>
      <c r="AA258" s="102" t="str">
        <f>MID(VLOOKUP($A258,Seqs!$A:$B,2,FALSE),VLOOKUP($A258,'NonXtal_SegEnds_Prot#'!$A:$AL,22,FALSE)+10,1)</f>
        <v>P</v>
      </c>
      <c r="AB258" s="71" t="str">
        <f>MID(VLOOKUP($A258,Seqs!$A:$B,2,FALSE),VLOOKUP($A258,'NonXtal_SegEnds_Prot#'!$A:$AL,28,FALSE)-4,1)</f>
        <v>A</v>
      </c>
      <c r="AC258" s="102" t="str">
        <f>MID(VLOOKUP($A258,Seqs!$A:$B,2,FALSE),VLOOKUP($A258,'NonXtal_SegEnds_Prot#'!$A:$AL,28,FALSE),1)</f>
        <v>A</v>
      </c>
    </row>
    <row r="259" spans="1:29" s="2" customFormat="1" x14ac:dyDescent="0.2">
      <c r="A259" s="2" t="s">
        <v>561</v>
      </c>
      <c r="B259" s="2" t="str">
        <f>LOWER(VLOOKUP(A259,Xtal_Templ!A:B,2,FALSE))</f>
        <v>ox2r_human</v>
      </c>
      <c r="C259" s="2" t="str">
        <f>VLOOKUP(A259,Classification!A:D,2,FALSE)</f>
        <v>A</v>
      </c>
      <c r="E259" s="2" t="s">
        <v>20</v>
      </c>
      <c r="K259" s="2" t="s">
        <v>59</v>
      </c>
      <c r="N259" s="2" t="s">
        <v>43</v>
      </c>
      <c r="P259" s="4" t="s">
        <v>51</v>
      </c>
      <c r="R259" s="71" t="str">
        <f>MID(VLOOKUP($A259,Seqs!$A:$B,2,FALSE),VLOOKUP($A259,'NonXtal_SegEnds_Prot#'!A:AL,10,FALSE),1)</f>
        <v>D</v>
      </c>
      <c r="S259" s="102" t="str">
        <f>MID(VLOOKUP($A259,Seqs!$A:$B,2,FALSE),VLOOKUP($A259,'NonXtal_SegEnds_Prot#'!A:AL,10,FALSE)+6,1)</f>
        <v>V</v>
      </c>
      <c r="T259" s="102" t="str">
        <f>MID(VLOOKUP($A259,Seqs!$A:$B,2,FALSE),VLOOKUP($A259,'NonXtal_SegEnds_Prot#'!A:AL,10,FALSE)+7,1)</f>
        <v>C</v>
      </c>
      <c r="U259" s="102" t="str">
        <f>MID(VLOOKUP($A259,Seqs!$A:$B,2,FALSE),VLOOKUP($A259,'NonXtal_SegEnds_Prot#'!A:AL,10,FALSE)+8,1)</f>
        <v>C</v>
      </c>
      <c r="V259" s="102" t="str">
        <f>MID(VLOOKUP($A259,Seqs!$A:$B,2,FALSE),VLOOKUP($A259,'NonXtal_SegEnds_Prot#'!A:AL,10,FALSE)+9,1)</f>
        <v>P</v>
      </c>
      <c r="W259" s="71" t="str">
        <f>MID(VLOOKUP($A259,Seqs!$A:$B,2,FALSE),VLOOKUP($A259,'NonXtal_SegEnds_Prot#'!$A:$AL,22,FALSE)+6,1)</f>
        <v>I</v>
      </c>
      <c r="X259" s="102" t="str">
        <f>MID(VLOOKUP($A259,Seqs!$A:$B,2,FALSE),VLOOKUP($A259,'NonXtal_SegEnds_Prot#'!$A:$AL,22,FALSE)+7,1)</f>
        <v>A</v>
      </c>
      <c r="Y259" s="102" t="str">
        <f>MID(VLOOKUP($A259,Seqs!$A:$B,2,FALSE),VLOOKUP($A259,'NonXtal_SegEnds_Prot#'!$A:$AL,22,FALSE)+8,1)</f>
        <v>I</v>
      </c>
      <c r="Z259" s="102" t="str">
        <f>MID(VLOOKUP($A259,Seqs!$A:$B,2,FALSE),VLOOKUP($A259,'NonXtal_SegEnds_Prot#'!$A:$AL,22,FALSE)+9,1)</f>
        <v>P</v>
      </c>
      <c r="AA259" s="102" t="str">
        <f>MID(VLOOKUP($A259,Seqs!$A:$B,2,FALSE),VLOOKUP($A259,'NonXtal_SegEnds_Prot#'!$A:$AL,22,FALSE)+10,1)</f>
        <v>S</v>
      </c>
      <c r="AB259" s="71" t="str">
        <f>MID(VLOOKUP($A259,Seqs!$A:$B,2,FALSE),VLOOKUP($A259,'NonXtal_SegEnds_Prot#'!$A:$AL,28,FALSE)-4,1)</f>
        <v>E</v>
      </c>
      <c r="AC259" s="102" t="str">
        <f>MID(VLOOKUP($A259,Seqs!$A:$B,2,FALSE),VLOOKUP($A259,'NonXtal_SegEnds_Prot#'!$A:$AL,28,FALSE),1)</f>
        <v>P</v>
      </c>
    </row>
    <row r="260" spans="1:29" s="2" customFormat="1" x14ac:dyDescent="0.2">
      <c r="A260" s="2" t="s">
        <v>562</v>
      </c>
      <c r="B260" s="2" t="str">
        <f>LOWER(VLOOKUP(A260,Xtal_Templ!A:B,2,FALSE))</f>
        <v>ox2r_human</v>
      </c>
      <c r="C260" s="2" t="str">
        <f>VLOOKUP(A260,Classification!A:D,2,FALSE)</f>
        <v>A</v>
      </c>
      <c r="E260" s="2" t="s">
        <v>20</v>
      </c>
      <c r="K260" s="2" t="s">
        <v>59</v>
      </c>
      <c r="N260" s="2" t="s">
        <v>43</v>
      </c>
      <c r="P260" s="4" t="s">
        <v>51</v>
      </c>
      <c r="R260" s="71" t="str">
        <f>MID(VLOOKUP($A260,Seqs!$A:$B,2,FALSE),VLOOKUP($A260,'NonXtal_SegEnds_Prot#'!A:AL,10,FALSE),1)</f>
        <v>D</v>
      </c>
      <c r="S260" s="102" t="str">
        <f>MID(VLOOKUP($A260,Seqs!$A:$B,2,FALSE),VLOOKUP($A260,'NonXtal_SegEnds_Prot#'!A:AL,10,FALSE)+6,1)</f>
        <v>I</v>
      </c>
      <c r="T260" s="102" t="str">
        <f>MID(VLOOKUP($A260,Seqs!$A:$B,2,FALSE),VLOOKUP($A260,'NonXtal_SegEnds_Prot#'!A:AL,10,FALSE)+7,1)</f>
        <v>C</v>
      </c>
      <c r="U260" s="102" t="str">
        <f>MID(VLOOKUP($A260,Seqs!$A:$B,2,FALSE),VLOOKUP($A260,'NonXtal_SegEnds_Prot#'!A:AL,10,FALSE)+8,1)</f>
        <v>C</v>
      </c>
      <c r="V260" s="102" t="str">
        <f>MID(VLOOKUP($A260,Seqs!$A:$B,2,FALSE),VLOOKUP($A260,'NonXtal_SegEnds_Prot#'!A:AL,10,FALSE)+9,1)</f>
        <v>P</v>
      </c>
      <c r="W260" s="71" t="str">
        <f>MID(VLOOKUP($A260,Seqs!$A:$B,2,FALSE),VLOOKUP($A260,'NonXtal_SegEnds_Prot#'!$A:$AL,22,FALSE)+6,1)</f>
        <v>I</v>
      </c>
      <c r="X260" s="102" t="str">
        <f>MID(VLOOKUP($A260,Seqs!$A:$B,2,FALSE),VLOOKUP($A260,'NonXtal_SegEnds_Prot#'!$A:$AL,22,FALSE)+7,1)</f>
        <v>A</v>
      </c>
      <c r="Y260" s="102" t="str">
        <f>MID(VLOOKUP($A260,Seqs!$A:$B,2,FALSE),VLOOKUP($A260,'NonXtal_SegEnds_Prot#'!$A:$AL,22,FALSE)+8,1)</f>
        <v>I</v>
      </c>
      <c r="Z260" s="102" t="str">
        <f>MID(VLOOKUP($A260,Seqs!$A:$B,2,FALSE),VLOOKUP($A260,'NonXtal_SegEnds_Prot#'!$A:$AL,22,FALSE)+9,1)</f>
        <v>P</v>
      </c>
      <c r="AA260" s="102" t="str">
        <f>MID(VLOOKUP($A260,Seqs!$A:$B,2,FALSE),VLOOKUP($A260,'NonXtal_SegEnds_Prot#'!$A:$AL,22,FALSE)+10,1)</f>
        <v>S</v>
      </c>
      <c r="AB260" s="71" t="str">
        <f>MID(VLOOKUP($A260,Seqs!$A:$B,2,FALSE),VLOOKUP($A260,'NonXtal_SegEnds_Prot#'!$A:$AL,28,FALSE)-4,1)</f>
        <v>E</v>
      </c>
      <c r="AC260" s="102" t="str">
        <f>MID(VLOOKUP($A260,Seqs!$A:$B,2,FALSE),VLOOKUP($A260,'NonXtal_SegEnds_Prot#'!$A:$AL,28,FALSE),1)</f>
        <v>P</v>
      </c>
    </row>
    <row r="261" spans="1:29" s="2" customFormat="1" x14ac:dyDescent="0.2">
      <c r="A261" s="2" t="s">
        <v>563</v>
      </c>
      <c r="B261" s="2" t="str">
        <f>LOWER(VLOOKUP(A261,Xtal_Templ!A:B,2,FALSE))</f>
        <v>ox2r_human</v>
      </c>
      <c r="C261" s="2" t="str">
        <f>VLOOKUP(A261,Classification!A:D,2,FALSE)</f>
        <v>A</v>
      </c>
      <c r="E261" s="2" t="s">
        <v>20</v>
      </c>
      <c r="K261" s="2" t="s">
        <v>59</v>
      </c>
      <c r="N261" s="2" t="s">
        <v>43</v>
      </c>
      <c r="P261" s="4" t="s">
        <v>51</v>
      </c>
      <c r="R261" s="71" t="str">
        <f>MID(VLOOKUP($A261,Seqs!$A:$B,2,FALSE),VLOOKUP($A261,'NonXtal_SegEnds_Prot#'!A:AL,10,FALSE),1)</f>
        <v>D</v>
      </c>
      <c r="S261" s="102" t="str">
        <f>MID(VLOOKUP($A261,Seqs!$A:$B,2,FALSE),VLOOKUP($A261,'NonXtal_SegEnds_Prot#'!A:AL,10,FALSE)+6,1)</f>
        <v>A</v>
      </c>
      <c r="T261" s="102" t="str">
        <f>MID(VLOOKUP($A261,Seqs!$A:$B,2,FALSE),VLOOKUP($A261,'NonXtal_SegEnds_Prot#'!A:AL,10,FALSE)+7,1)</f>
        <v>C</v>
      </c>
      <c r="U261" s="102" t="str">
        <f>MID(VLOOKUP($A261,Seqs!$A:$B,2,FALSE),VLOOKUP($A261,'NonXtal_SegEnds_Prot#'!A:AL,10,FALSE)+8,1)</f>
        <v>V</v>
      </c>
      <c r="V261" s="102" t="str">
        <f>MID(VLOOKUP($A261,Seqs!$A:$B,2,FALSE),VLOOKUP($A261,'NonXtal_SegEnds_Prot#'!A:AL,10,FALSE)+9,1)</f>
        <v>P</v>
      </c>
      <c r="W261" s="71" t="str">
        <f>MID(VLOOKUP($A261,Seqs!$A:$B,2,FALSE),VLOOKUP($A261,'NonXtal_SegEnds_Prot#'!$A:$AL,22,FALSE)+6,1)</f>
        <v>L</v>
      </c>
      <c r="X261" s="102" t="str">
        <f>MID(VLOOKUP($A261,Seqs!$A:$B,2,FALSE),VLOOKUP($A261,'NonXtal_SegEnds_Prot#'!$A:$AL,22,FALSE)+7,1)</f>
        <v>A</v>
      </c>
      <c r="Y261" s="102" t="str">
        <f>MID(VLOOKUP($A261,Seqs!$A:$B,2,FALSE),VLOOKUP($A261,'NonXtal_SegEnds_Prot#'!$A:$AL,22,FALSE)+8,1)</f>
        <v>L</v>
      </c>
      <c r="Z261" s="102" t="str">
        <f>MID(VLOOKUP($A261,Seqs!$A:$B,2,FALSE),VLOOKUP($A261,'NonXtal_SegEnds_Prot#'!$A:$AL,22,FALSE)+9,1)</f>
        <v>P</v>
      </c>
      <c r="AA261" s="102" t="str">
        <f>MID(VLOOKUP($A261,Seqs!$A:$B,2,FALSE),VLOOKUP($A261,'NonXtal_SegEnds_Prot#'!$A:$AL,22,FALSE)+10,1)</f>
        <v>A</v>
      </c>
      <c r="AB261" s="71" t="str">
        <f>MID(VLOOKUP($A261,Seqs!$A:$B,2,FALSE),VLOOKUP($A261,'NonXtal_SegEnds_Prot#'!$A:$AL,28,FALSE)-4,1)</f>
        <v>T</v>
      </c>
      <c r="AC261" s="102" t="str">
        <f>MID(VLOOKUP($A261,Seqs!$A:$B,2,FALSE),VLOOKUP($A261,'NonXtal_SegEnds_Prot#'!$A:$AL,28,FALSE),1)</f>
        <v>P</v>
      </c>
    </row>
    <row r="262" spans="1:29" s="2" customFormat="1" x14ac:dyDescent="0.2">
      <c r="A262" s="2" t="s">
        <v>564</v>
      </c>
      <c r="B262" s="2" t="str">
        <f>LOWER(VLOOKUP(A262,Xtal_Templ!A:B,2,FALSE))</f>
        <v>p2ry1_human</v>
      </c>
      <c r="C262" s="2" t="str">
        <f>VLOOKUP(A262,Classification!A:D,2,FALSE)</f>
        <v>A</v>
      </c>
      <c r="N262" s="2" t="s">
        <v>43</v>
      </c>
      <c r="P262" s="4" t="s">
        <v>51</v>
      </c>
      <c r="R262" s="71" t="str">
        <f>MID(VLOOKUP($A262,Seqs!$A:$B,2,FALSE),VLOOKUP($A262,'NonXtal_SegEnds_Prot#'!A:AL,10,FALSE),1)</f>
        <v>D</v>
      </c>
      <c r="S262" s="102" t="str">
        <f>MID(VLOOKUP($A262,Seqs!$A:$B,2,FALSE),VLOOKUP($A262,'NonXtal_SegEnds_Prot#'!A:AL,10,FALSE)+6,1)</f>
        <v>T</v>
      </c>
      <c r="T262" s="102" t="str">
        <f>MID(VLOOKUP($A262,Seqs!$A:$B,2,FALSE),VLOOKUP($A262,'NonXtal_SegEnds_Prot#'!A:AL,10,FALSE)+7,1)</f>
        <v>L</v>
      </c>
      <c r="U262" s="102" t="str">
        <f>MID(VLOOKUP($A262,Seqs!$A:$B,2,FALSE),VLOOKUP($A262,'NonXtal_SegEnds_Prot#'!A:AL,10,FALSE)+8,1)</f>
        <v>P</v>
      </c>
      <c r="V262" s="102" t="str">
        <f>MID(VLOOKUP($A262,Seqs!$A:$B,2,FALSE),VLOOKUP($A262,'NonXtal_SegEnds_Prot#'!A:AL,10,FALSE)+9,1)</f>
        <v>L</v>
      </c>
      <c r="W262" s="71" t="str">
        <f>MID(VLOOKUP($A262,Seqs!$A:$B,2,FALSE),VLOOKUP($A262,'NonXtal_SegEnds_Prot#'!$A:$AL,22,FALSE)+6,1)</f>
        <v>F</v>
      </c>
      <c r="X262" s="102" t="str">
        <f>MID(VLOOKUP($A262,Seqs!$A:$B,2,FALSE),VLOOKUP($A262,'NonXtal_SegEnds_Prot#'!$A:$AL,22,FALSE)+7,1)</f>
        <v>N</v>
      </c>
      <c r="Y262" s="102" t="str">
        <f>MID(VLOOKUP($A262,Seqs!$A:$B,2,FALSE),VLOOKUP($A262,'NonXtal_SegEnds_Prot#'!$A:$AL,22,FALSE)+8,1)</f>
        <v>A</v>
      </c>
      <c r="Z262" s="102" t="str">
        <f>MID(VLOOKUP($A262,Seqs!$A:$B,2,FALSE),VLOOKUP($A262,'NonXtal_SegEnds_Prot#'!$A:$AL,22,FALSE)+9,1)</f>
        <v>V</v>
      </c>
      <c r="AA262" s="102" t="str">
        <f>MID(VLOOKUP($A262,Seqs!$A:$B,2,FALSE),VLOOKUP($A262,'NonXtal_SegEnds_Prot#'!$A:$AL,22,FALSE)+10,1)</f>
        <v>M</v>
      </c>
      <c r="AB262" s="71" t="str">
        <f>MID(VLOOKUP($A262,Seqs!$A:$B,2,FALSE),VLOOKUP($A262,'NonXtal_SegEnds_Prot#'!$A:$AL,28,FALSE)-4,1)</f>
        <v>G</v>
      </c>
      <c r="AC262" s="102" t="str">
        <f>MID(VLOOKUP($A262,Seqs!$A:$B,2,FALSE),VLOOKUP($A262,'NonXtal_SegEnds_Prot#'!$A:$AL,28,FALSE),1)</f>
        <v>P</v>
      </c>
    </row>
    <row r="263" spans="1:29" s="2" customFormat="1" x14ac:dyDescent="0.2">
      <c r="A263" s="2" t="s">
        <v>565</v>
      </c>
      <c r="B263" s="2" t="str">
        <f>LOWER(VLOOKUP(A263,Xtal_Templ!A:B,2,FALSE))</f>
        <v>p2y12_human</v>
      </c>
      <c r="C263" s="2" t="str">
        <f>VLOOKUP(A263,Classification!A:D,2,FALSE)</f>
        <v>A</v>
      </c>
      <c r="P263" s="4" t="s">
        <v>51</v>
      </c>
      <c r="R263" s="71" t="str">
        <f>MID(VLOOKUP($A263,Seqs!$A:$B,2,FALSE),VLOOKUP($A263,'NonXtal_SegEnds_Prot#'!A:AL,10,FALSE),1)</f>
        <v>D</v>
      </c>
      <c r="S263" s="102" t="str">
        <f>MID(VLOOKUP($A263,Seqs!$A:$B,2,FALSE),VLOOKUP($A263,'NonXtal_SegEnds_Prot#'!A:AL,10,FALSE)+6,1)</f>
        <v>T</v>
      </c>
      <c r="T263" s="102" t="str">
        <f>MID(VLOOKUP($A263,Seqs!$A:$B,2,FALSE),VLOOKUP($A263,'NonXtal_SegEnds_Prot#'!A:AL,10,FALSE)+7,1)</f>
        <v>L</v>
      </c>
      <c r="U263" s="102" t="str">
        <f>MID(VLOOKUP($A263,Seqs!$A:$B,2,FALSE),VLOOKUP($A263,'NonXtal_SegEnds_Prot#'!A:AL,10,FALSE)+8,1)</f>
        <v>P</v>
      </c>
      <c r="V263" s="102" t="str">
        <f>MID(VLOOKUP($A263,Seqs!$A:$B,2,FALSE),VLOOKUP($A263,'NonXtal_SegEnds_Prot#'!A:AL,10,FALSE)+9,1)</f>
        <v>L</v>
      </c>
      <c r="W263" s="71" t="str">
        <f>MID(VLOOKUP($A263,Seqs!$A:$B,2,FALSE),VLOOKUP($A263,'NonXtal_SegEnds_Prot#'!$A:$AL,22,FALSE)+6,1)</f>
        <v>A</v>
      </c>
      <c r="X263" s="102" t="str">
        <f>MID(VLOOKUP($A263,Seqs!$A:$B,2,FALSE),VLOOKUP($A263,'NonXtal_SegEnds_Prot#'!$A:$AL,22,FALSE)+7,1)</f>
        <v>A</v>
      </c>
      <c r="Y263" s="102" t="str">
        <f>MID(VLOOKUP($A263,Seqs!$A:$B,2,FALSE),VLOOKUP($A263,'NonXtal_SegEnds_Prot#'!$A:$AL,22,FALSE)+8,1)</f>
        <v>S</v>
      </c>
      <c r="Z263" s="102" t="str">
        <f>MID(VLOOKUP($A263,Seqs!$A:$B,2,FALSE),VLOOKUP($A263,'NonXtal_SegEnds_Prot#'!$A:$AL,22,FALSE)+9,1)</f>
        <v>Y</v>
      </c>
      <c r="AA263" s="102" t="str">
        <f>MID(VLOOKUP($A263,Seqs!$A:$B,2,FALSE),VLOOKUP($A263,'NonXtal_SegEnds_Prot#'!$A:$AL,22,FALSE)+10,1)</f>
        <v>F</v>
      </c>
      <c r="AB263" s="71" t="str">
        <f>MID(VLOOKUP($A263,Seqs!$A:$B,2,FALSE),VLOOKUP($A263,'NonXtal_SegEnds_Prot#'!$A:$AL,28,FALSE)-4,1)</f>
        <v>S</v>
      </c>
      <c r="AC263" s="102" t="str">
        <f>MID(VLOOKUP($A263,Seqs!$A:$B,2,FALSE),VLOOKUP($A263,'NonXtal_SegEnds_Prot#'!$A:$AL,28,FALSE),1)</f>
        <v>V</v>
      </c>
    </row>
    <row r="264" spans="1:29" s="2" customFormat="1" x14ac:dyDescent="0.2">
      <c r="A264" s="2" t="s">
        <v>566</v>
      </c>
      <c r="B264" s="2" t="str">
        <f>LOWER(VLOOKUP(A264,Xtal_Templ!A:B,2,FALSE))</f>
        <v>ox2r_human</v>
      </c>
      <c r="C264" s="2" t="str">
        <f>VLOOKUP(A264,Classification!A:D,2,FALSE)</f>
        <v>A</v>
      </c>
      <c r="E264" s="2" t="s">
        <v>20</v>
      </c>
      <c r="N264" s="2" t="s">
        <v>43</v>
      </c>
      <c r="P264" s="4" t="s">
        <v>51</v>
      </c>
      <c r="R264" s="71" t="str">
        <f>MID(VLOOKUP($A264,Seqs!$A:$B,2,FALSE),VLOOKUP($A264,'NonXtal_SegEnds_Prot#'!A:AL,10,FALSE),1)</f>
        <v>D</v>
      </c>
      <c r="S264" s="102" t="str">
        <f>MID(VLOOKUP($A264,Seqs!$A:$B,2,FALSE),VLOOKUP($A264,'NonXtal_SegEnds_Prot#'!A:AL,10,FALSE)+6,1)</f>
        <v>F</v>
      </c>
      <c r="T264" s="102" t="str">
        <f>MID(VLOOKUP($A264,Seqs!$A:$B,2,FALSE),VLOOKUP($A264,'NonXtal_SegEnds_Prot#'!A:AL,10,FALSE)+7,1)</f>
        <v>C</v>
      </c>
      <c r="U264" s="102" t="str">
        <f>MID(VLOOKUP($A264,Seqs!$A:$B,2,FALSE),VLOOKUP($A264,'NonXtal_SegEnds_Prot#'!A:AL,10,FALSE)+8,1)</f>
        <v>I</v>
      </c>
      <c r="V264" s="102" t="str">
        <f>MID(VLOOKUP($A264,Seqs!$A:$B,2,FALSE),VLOOKUP($A264,'NonXtal_SegEnds_Prot#'!A:AL,10,FALSE)+9,1)</f>
        <v>P</v>
      </c>
      <c r="W264" s="71" t="str">
        <f>MID(VLOOKUP($A264,Seqs!$A:$B,2,FALSE),VLOOKUP($A264,'NonXtal_SegEnds_Prot#'!$A:$AL,22,FALSE)+6,1)</f>
        <v>V</v>
      </c>
      <c r="X264" s="102" t="str">
        <f>MID(VLOOKUP($A264,Seqs!$A:$B,2,FALSE),VLOOKUP($A264,'NonXtal_SegEnds_Prot#'!$A:$AL,22,FALSE)+7,1)</f>
        <v>G</v>
      </c>
      <c r="Y264" s="102" t="str">
        <f>MID(VLOOKUP($A264,Seqs!$A:$B,2,FALSE),VLOOKUP($A264,'NonXtal_SegEnds_Prot#'!$A:$AL,22,FALSE)+8,1)</f>
        <v>S</v>
      </c>
      <c r="Z264" s="102" t="str">
        <f>MID(VLOOKUP($A264,Seqs!$A:$B,2,FALSE),VLOOKUP($A264,'NonXtal_SegEnds_Prot#'!$A:$AL,22,FALSE)+9,1)</f>
        <v>P</v>
      </c>
      <c r="AA264" s="102" t="str">
        <f>MID(VLOOKUP($A264,Seqs!$A:$B,2,FALSE),VLOOKUP($A264,'NonXtal_SegEnds_Prot#'!$A:$AL,22,FALSE)+10,1)</f>
        <v>M</v>
      </c>
      <c r="AB264" s="71" t="str">
        <f>MID(VLOOKUP($A264,Seqs!$A:$B,2,FALSE),VLOOKUP($A264,'NonXtal_SegEnds_Prot#'!$A:$AL,28,FALSE)-4,1)</f>
        <v>L</v>
      </c>
      <c r="AC264" s="102" t="str">
        <f>MID(VLOOKUP($A264,Seqs!$A:$B,2,FALSE),VLOOKUP($A264,'NonXtal_SegEnds_Prot#'!$A:$AL,28,FALSE),1)</f>
        <v>P</v>
      </c>
    </row>
    <row r="265" spans="1:29" s="2" customFormat="1" x14ac:dyDescent="0.2">
      <c r="A265" s="2" t="s">
        <v>567</v>
      </c>
      <c r="B265" s="2" t="str">
        <f>LOWER(VLOOKUP(A265,Xtal_Templ!A:B,2,FALSE))</f>
        <v>agtr1_human</v>
      </c>
      <c r="C265" s="2" t="str">
        <f>VLOOKUP(A265,Classification!A:D,2,FALSE)</f>
        <v>A</v>
      </c>
      <c r="K265" s="2" t="s">
        <v>59</v>
      </c>
      <c r="N265" s="2" t="s">
        <v>43</v>
      </c>
      <c r="P265" s="4" t="s">
        <v>51</v>
      </c>
      <c r="R265" s="71" t="str">
        <f>MID(VLOOKUP($A265,Seqs!$A:$B,2,FALSE),VLOOKUP($A265,'NonXtal_SegEnds_Prot#'!A:AL,10,FALSE),1)</f>
        <v>D</v>
      </c>
      <c r="S265" s="102" t="str">
        <f>MID(VLOOKUP($A265,Seqs!$A:$B,2,FALSE),VLOOKUP($A265,'NonXtal_SegEnds_Prot#'!A:AL,10,FALSE)+6,1)</f>
        <v>T</v>
      </c>
      <c r="T265" s="102" t="str">
        <f>MID(VLOOKUP($A265,Seqs!$A:$B,2,FALSE),VLOOKUP($A265,'NonXtal_SegEnds_Prot#'!A:AL,10,FALSE)+7,1)</f>
        <v>L</v>
      </c>
      <c r="U265" s="102" t="str">
        <f>MID(VLOOKUP($A265,Seqs!$A:$B,2,FALSE),VLOOKUP($A265,'NonXtal_SegEnds_Prot#'!A:AL,10,FALSE)+8,1)</f>
        <v>P</v>
      </c>
      <c r="V265" s="102" t="str">
        <f>MID(VLOOKUP($A265,Seqs!$A:$B,2,FALSE),VLOOKUP($A265,'NonXtal_SegEnds_Prot#'!A:AL,10,FALSE)+9,1)</f>
        <v>F</v>
      </c>
      <c r="W265" s="71" t="str">
        <f>MID(VLOOKUP($A265,Seqs!$A:$B,2,FALSE),VLOOKUP($A265,'NonXtal_SegEnds_Prot#'!$A:$AL,22,FALSE)+6,1)</f>
        <v>A</v>
      </c>
      <c r="X265" s="102" t="str">
        <f>MID(VLOOKUP($A265,Seqs!$A:$B,2,FALSE),VLOOKUP($A265,'NonXtal_SegEnds_Prot#'!$A:$AL,22,FALSE)+7,1)</f>
        <v>S</v>
      </c>
      <c r="Y265" s="102" t="str">
        <f>MID(VLOOKUP($A265,Seqs!$A:$B,2,FALSE),VLOOKUP($A265,'NonXtal_SegEnds_Prot#'!$A:$AL,22,FALSE)+8,1)</f>
        <v>L</v>
      </c>
      <c r="Z265" s="102" t="str">
        <f>MID(VLOOKUP($A265,Seqs!$A:$B,2,FALSE),VLOOKUP($A265,'NonXtal_SegEnds_Prot#'!$A:$AL,22,FALSE)+9,1)</f>
        <v>P</v>
      </c>
      <c r="AA265" s="102" t="str">
        <f>MID(VLOOKUP($A265,Seqs!$A:$B,2,FALSE),VLOOKUP($A265,'NonXtal_SegEnds_Prot#'!$A:$AL,22,FALSE)+10,1)</f>
        <v>S</v>
      </c>
      <c r="AB265" s="71" t="str">
        <f>MID(VLOOKUP($A265,Seqs!$A:$B,2,FALSE),VLOOKUP($A265,'NonXtal_SegEnds_Prot#'!$A:$AL,28,FALSE)-4,1)</f>
        <v>G</v>
      </c>
      <c r="AC265" s="102" t="str">
        <f>MID(VLOOKUP($A265,Seqs!$A:$B,2,FALSE),VLOOKUP($A265,'NonXtal_SegEnds_Prot#'!$A:$AL,28,FALSE),1)</f>
        <v>P</v>
      </c>
    </row>
    <row r="266" spans="1:29" s="2" customFormat="1" x14ac:dyDescent="0.2">
      <c r="A266" s="2" t="s">
        <v>568</v>
      </c>
      <c r="B266" s="2" t="str">
        <f>LOWER(VLOOKUP(A266,Xtal_Templ!A:B,2,FALSE))</f>
        <v>agtr1_human</v>
      </c>
      <c r="C266" s="2" t="str">
        <f>VLOOKUP(A266,Classification!A:D,2,FALSE)</f>
        <v>A</v>
      </c>
      <c r="K266" s="2" t="s">
        <v>59</v>
      </c>
      <c r="N266" s="2" t="s">
        <v>43</v>
      </c>
      <c r="P266" s="4" t="s">
        <v>51</v>
      </c>
      <c r="R266" s="71" t="str">
        <f>MID(VLOOKUP($A266,Seqs!$A:$B,2,FALSE),VLOOKUP($A266,'NonXtal_SegEnds_Prot#'!A:AL,10,FALSE),1)</f>
        <v>D</v>
      </c>
      <c r="S266" s="102" t="str">
        <f>MID(VLOOKUP($A266,Seqs!$A:$B,2,FALSE),VLOOKUP($A266,'NonXtal_SegEnds_Prot#'!A:AL,10,FALSE)+6,1)</f>
        <v>T</v>
      </c>
      <c r="T266" s="102" t="str">
        <f>MID(VLOOKUP($A266,Seqs!$A:$B,2,FALSE),VLOOKUP($A266,'NonXtal_SegEnds_Prot#'!A:AL,10,FALSE)+7,1)</f>
        <v>L</v>
      </c>
      <c r="U266" s="102" t="str">
        <f>MID(VLOOKUP($A266,Seqs!$A:$B,2,FALSE),VLOOKUP($A266,'NonXtal_SegEnds_Prot#'!A:AL,10,FALSE)+8,1)</f>
        <v>P</v>
      </c>
      <c r="V266" s="102" t="str">
        <f>MID(VLOOKUP($A266,Seqs!$A:$B,2,FALSE),VLOOKUP($A266,'NonXtal_SegEnds_Prot#'!A:AL,10,FALSE)+9,1)</f>
        <v>F</v>
      </c>
      <c r="W266" s="71" t="str">
        <f>MID(VLOOKUP($A266,Seqs!$A:$B,2,FALSE),VLOOKUP($A266,'NonXtal_SegEnds_Prot#'!$A:$AL,22,FALSE)+6,1)</f>
        <v>V</v>
      </c>
      <c r="X266" s="102" t="str">
        <f>MID(VLOOKUP($A266,Seqs!$A:$B,2,FALSE),VLOOKUP($A266,'NonXtal_SegEnds_Prot#'!$A:$AL,22,FALSE)+7,1)</f>
        <v>T</v>
      </c>
      <c r="Y266" s="102" t="str">
        <f>MID(VLOOKUP($A266,Seqs!$A:$B,2,FALSE),VLOOKUP($A266,'NonXtal_SegEnds_Prot#'!$A:$AL,22,FALSE)+8,1)</f>
        <v>V</v>
      </c>
      <c r="Z266" s="102" t="str">
        <f>MID(VLOOKUP($A266,Seqs!$A:$B,2,FALSE),VLOOKUP($A266,'NonXtal_SegEnds_Prot#'!$A:$AL,22,FALSE)+9,1)</f>
        <v>P</v>
      </c>
      <c r="AA266" s="102" t="str">
        <f>MID(VLOOKUP($A266,Seqs!$A:$B,2,FALSE),VLOOKUP($A266,'NonXtal_SegEnds_Prot#'!$A:$AL,22,FALSE)+10,1)</f>
        <v>T</v>
      </c>
      <c r="AB266" s="71" t="str">
        <f>MID(VLOOKUP($A266,Seqs!$A:$B,2,FALSE),VLOOKUP($A266,'NonXtal_SegEnds_Prot#'!$A:$AL,28,FALSE)-4,1)</f>
        <v>A</v>
      </c>
      <c r="AC266" s="102" t="str">
        <f>MID(VLOOKUP($A266,Seqs!$A:$B,2,FALSE),VLOOKUP($A266,'NonXtal_SegEnds_Prot#'!$A:$AL,28,FALSE),1)</f>
        <v>P</v>
      </c>
    </row>
    <row r="267" spans="1:29" s="2" customFormat="1" x14ac:dyDescent="0.2">
      <c r="A267" s="2" t="s">
        <v>569</v>
      </c>
      <c r="B267" s="2" t="str">
        <f>LOWER(VLOOKUP(A267,Xtal_Templ!A:B,2,FALSE))</f>
        <v>adrb2_human</v>
      </c>
      <c r="C267" s="2" t="str">
        <f>VLOOKUP(A267,Classification!A:D,2,FALSE)</f>
        <v>A</v>
      </c>
      <c r="P267" s="4" t="s">
        <v>51</v>
      </c>
      <c r="R267" s="71" t="str">
        <f>MID(VLOOKUP($A267,Seqs!$A:$B,2,FALSE),VLOOKUP($A267,'NonXtal_SegEnds_Prot#'!A:AL,10,FALSE),1)</f>
        <v>D</v>
      </c>
      <c r="S267" s="102" t="str">
        <f>MID(VLOOKUP($A267,Seqs!$A:$B,2,FALSE),VLOOKUP($A267,'NonXtal_SegEnds_Prot#'!A:AL,10,FALSE)+6,1)</f>
        <v>Y</v>
      </c>
      <c r="T267" s="102" t="str">
        <f>MID(VLOOKUP($A267,Seqs!$A:$B,2,FALSE),VLOOKUP($A267,'NonXtal_SegEnds_Prot#'!A:AL,10,FALSE)+7,1)</f>
        <v>L</v>
      </c>
      <c r="U267" s="102" t="str">
        <f>MID(VLOOKUP($A267,Seqs!$A:$B,2,FALSE),VLOOKUP($A267,'NonXtal_SegEnds_Prot#'!A:AL,10,FALSE)+8,1)</f>
        <v>F</v>
      </c>
      <c r="V267" s="102" t="str">
        <f>MID(VLOOKUP($A267,Seqs!$A:$B,2,FALSE),VLOOKUP($A267,'NonXtal_SegEnds_Prot#'!A:AL,10,FALSE)+9,1)</f>
        <v>V</v>
      </c>
      <c r="W267" s="71" t="str">
        <f>MID(VLOOKUP($A267,Seqs!$A:$B,2,FALSE),VLOOKUP($A267,'NonXtal_SegEnds_Prot#'!$A:$AL,22,FALSE)+6,1)</f>
        <v>V</v>
      </c>
      <c r="X267" s="102" t="str">
        <f>MID(VLOOKUP($A267,Seqs!$A:$B,2,FALSE),VLOOKUP($A267,'NonXtal_SegEnds_Prot#'!$A:$AL,22,FALSE)+7,1)</f>
        <v>A</v>
      </c>
      <c r="Y267" s="102" t="str">
        <f>MID(VLOOKUP($A267,Seqs!$A:$B,2,FALSE),VLOOKUP($A267,'NonXtal_SegEnds_Prot#'!$A:$AL,22,FALSE)+8,1)</f>
        <v>F</v>
      </c>
      <c r="Z267" s="102" t="str">
        <f>MID(VLOOKUP($A267,Seqs!$A:$B,2,FALSE),VLOOKUP($A267,'NonXtal_SegEnds_Prot#'!$A:$AL,22,FALSE)+9,1)</f>
        <v>I</v>
      </c>
      <c r="AA267" s="102" t="str">
        <f>MID(VLOOKUP($A267,Seqs!$A:$B,2,FALSE),VLOOKUP($A267,'NonXtal_SegEnds_Prot#'!$A:$AL,22,FALSE)+10,1)</f>
        <v>P</v>
      </c>
      <c r="AB267" s="71" t="str">
        <f>MID(VLOOKUP($A267,Seqs!$A:$B,2,FALSE),VLOOKUP($A267,'NonXtal_SegEnds_Prot#'!$A:$AL,28,FALSE)-4,1)</f>
        <v>I</v>
      </c>
      <c r="AC267" s="102" t="str">
        <f>MID(VLOOKUP($A267,Seqs!$A:$B,2,FALSE),VLOOKUP($A267,'NonXtal_SegEnds_Prot#'!$A:$AL,28,FALSE),1)</f>
        <v>A</v>
      </c>
    </row>
    <row r="268" spans="1:29" s="2" customFormat="1" x14ac:dyDescent="0.2">
      <c r="A268" s="2" t="s">
        <v>570</v>
      </c>
      <c r="B268" s="2" t="str">
        <f>LOWER(VLOOKUP(A268,Xtal_Templ!A:B,2,FALSE))</f>
        <v>adrb1_melga</v>
      </c>
      <c r="C268" s="2" t="str">
        <f>VLOOKUP(A268,Classification!A:D,2,FALSE)</f>
        <v>A</v>
      </c>
      <c r="P268" s="4" t="s">
        <v>51</v>
      </c>
      <c r="R268" s="71" t="str">
        <f>MID(VLOOKUP($A268,Seqs!$A:$B,2,FALSE),VLOOKUP($A268,'NonXtal_SegEnds_Prot#'!A:AL,10,FALSE),1)</f>
        <v>D</v>
      </c>
      <c r="S268" s="102" t="str">
        <f>MID(VLOOKUP($A268,Seqs!$A:$B,2,FALSE),VLOOKUP($A268,'NonXtal_SegEnds_Prot#'!A:AL,10,FALSE)+6,1)</f>
        <v>Y</v>
      </c>
      <c r="T268" s="102" t="str">
        <f>MID(VLOOKUP($A268,Seqs!$A:$B,2,FALSE),VLOOKUP($A268,'NonXtal_SegEnds_Prot#'!A:AL,10,FALSE)+7,1)</f>
        <v>L</v>
      </c>
      <c r="U268" s="102" t="str">
        <f>MID(VLOOKUP($A268,Seqs!$A:$B,2,FALSE),VLOOKUP($A268,'NonXtal_SegEnds_Prot#'!A:AL,10,FALSE)+8,1)</f>
        <v>F</v>
      </c>
      <c r="V268" s="102" t="str">
        <f>MID(VLOOKUP($A268,Seqs!$A:$B,2,FALSE),VLOOKUP($A268,'NonXtal_SegEnds_Prot#'!A:AL,10,FALSE)+9,1)</f>
        <v>F</v>
      </c>
      <c r="W268" s="71" t="str">
        <f>MID(VLOOKUP($A268,Seqs!$A:$B,2,FALSE),VLOOKUP($A268,'NonXtal_SegEnds_Prot#'!$A:$AL,22,FALSE)+6,1)</f>
        <v>I</v>
      </c>
      <c r="X268" s="102" t="str">
        <f>MID(VLOOKUP($A268,Seqs!$A:$B,2,FALSE),VLOOKUP($A268,'NonXtal_SegEnds_Prot#'!$A:$AL,22,FALSE)+7,1)</f>
        <v>A</v>
      </c>
      <c r="Y268" s="102" t="str">
        <f>MID(VLOOKUP($A268,Seqs!$A:$B,2,FALSE),VLOOKUP($A268,'NonXtal_SegEnds_Prot#'!$A:$AL,22,FALSE)+8,1)</f>
        <v>V</v>
      </c>
      <c r="Z268" s="102" t="str">
        <f>MID(VLOOKUP($A268,Seqs!$A:$B,2,FALSE),VLOOKUP($A268,'NonXtal_SegEnds_Prot#'!$A:$AL,22,FALSE)+9,1)</f>
        <v>I</v>
      </c>
      <c r="AA268" s="102" t="str">
        <f>MID(VLOOKUP($A268,Seqs!$A:$B,2,FALSE),VLOOKUP($A268,'NonXtal_SegEnds_Prot#'!$A:$AL,22,FALSE)+10,1)</f>
        <v>P</v>
      </c>
      <c r="AB268" s="71" t="str">
        <f>MID(VLOOKUP($A268,Seqs!$A:$B,2,FALSE),VLOOKUP($A268,'NonXtal_SegEnds_Prot#'!$A:$AL,28,FALSE)-4,1)</f>
        <v>V</v>
      </c>
      <c r="AC268" s="102" t="str">
        <f>MID(VLOOKUP($A268,Seqs!$A:$B,2,FALSE),VLOOKUP($A268,'NonXtal_SegEnds_Prot#'!$A:$AL,28,FALSE),1)</f>
        <v>A</v>
      </c>
    </row>
    <row r="269" spans="1:29" s="2" customFormat="1" x14ac:dyDescent="0.2">
      <c r="A269" s="2" t="s">
        <v>298</v>
      </c>
      <c r="B269" s="2" t="str">
        <f>LOWER(VLOOKUP(A269,Xtal_Templ!A:B,2,FALSE))</f>
        <v>s1pr1_human</v>
      </c>
      <c r="C269" s="2" t="str">
        <f>VLOOKUP(A269,Classification!A:D,2,FALSE)</f>
        <v>A</v>
      </c>
      <c r="F269" s="2" t="s">
        <v>125</v>
      </c>
      <c r="P269" s="4" t="s">
        <v>51</v>
      </c>
      <c r="R269" s="71" t="str">
        <f>MID(VLOOKUP($A269,Seqs!$A:$B,2,FALSE),VLOOKUP($A269,'NonXtal_SegEnds_Prot#'!A:AL,10,FALSE),1)</f>
        <v>D</v>
      </c>
      <c r="S269" s="102" t="str">
        <f>MID(VLOOKUP($A269,Seqs!$A:$B,2,FALSE),VLOOKUP($A269,'NonXtal_SegEnds_Prot#'!A:AL,10,FALSE)+6,1)</f>
        <v>A</v>
      </c>
      <c r="T269" s="102" t="str">
        <f>MID(VLOOKUP($A269,Seqs!$A:$B,2,FALSE),VLOOKUP($A269,'NonXtal_SegEnds_Prot#'!A:AL,10,FALSE)+7,1)</f>
        <v>Y</v>
      </c>
      <c r="U269" s="102" t="str">
        <f>MID(VLOOKUP($A269,Seqs!$A:$B,2,FALSE),VLOOKUP($A269,'NonXtal_SegEnds_Prot#'!A:AL,10,FALSE)+8,1)</f>
        <v>T</v>
      </c>
      <c r="V269" s="102" t="str">
        <f>MID(VLOOKUP($A269,Seqs!$A:$B,2,FALSE),VLOOKUP($A269,'NonXtal_SegEnds_Prot#'!A:AL,10,FALSE)+9,1)</f>
        <v>A</v>
      </c>
      <c r="W269" s="71" t="str">
        <f>MID(VLOOKUP($A269,Seqs!$A:$B,2,FALSE),VLOOKUP($A269,'NonXtal_SegEnds_Prot#'!$A:$AL,22,FALSE)+6,1)</f>
        <v>L</v>
      </c>
      <c r="X269" s="102" t="str">
        <f>MID(VLOOKUP($A269,Seqs!$A:$B,2,FALSE),VLOOKUP($A269,'NonXtal_SegEnds_Prot#'!$A:$AL,22,FALSE)+7,1)</f>
        <v>G</v>
      </c>
      <c r="Y269" s="102" t="str">
        <f>MID(VLOOKUP($A269,Seqs!$A:$B,2,FALSE),VLOOKUP($A269,'NonXtal_SegEnds_Prot#'!$A:$AL,22,FALSE)+8,1)</f>
        <v>G</v>
      </c>
      <c r="Z269" s="102" t="str">
        <f>MID(VLOOKUP($A269,Seqs!$A:$B,2,FALSE),VLOOKUP($A269,'NonXtal_SegEnds_Prot#'!$A:$AL,22,FALSE)+9,1)</f>
        <v>L</v>
      </c>
      <c r="AA269" s="102" t="str">
        <f>MID(VLOOKUP($A269,Seqs!$A:$B,2,FALSE),VLOOKUP($A269,'NonXtal_SegEnds_Prot#'!$A:$AL,22,FALSE)+10,1)</f>
        <v>P</v>
      </c>
      <c r="AB269" s="71" t="str">
        <f>MID(VLOOKUP($A269,Seqs!$A:$B,2,FALSE),VLOOKUP($A269,'NonXtal_SegEnds_Prot#'!$A:$AL,28,FALSE)-4,1)</f>
        <v>V</v>
      </c>
      <c r="AC269" s="102" t="str">
        <f>MID(VLOOKUP($A269,Seqs!$A:$B,2,FALSE),VLOOKUP($A269,'NonXtal_SegEnds_Prot#'!$A:$AL,28,FALSE),1)</f>
        <v>L</v>
      </c>
    </row>
    <row r="270" spans="1:29" s="2" customFormat="1" x14ac:dyDescent="0.2">
      <c r="A270" s="2" t="s">
        <v>571</v>
      </c>
      <c r="B270" s="2" t="str">
        <f>LOWER(VLOOKUP(A270,Xtal_Templ!A:B,2,FALSE))</f>
        <v>s1pr1_human</v>
      </c>
      <c r="C270" s="2" t="str">
        <f>VLOOKUP(A270,Classification!A:D,2,FALSE)</f>
        <v>A</v>
      </c>
      <c r="F270" s="2" t="s">
        <v>125</v>
      </c>
      <c r="P270" s="4" t="s">
        <v>51</v>
      </c>
      <c r="R270" s="71" t="str">
        <f>MID(VLOOKUP($A270,Seqs!$A:$B,2,FALSE),VLOOKUP($A270,'NonXtal_SegEnds_Prot#'!A:AL,10,FALSE),1)</f>
        <v>D</v>
      </c>
      <c r="S270" s="102" t="str">
        <f>MID(VLOOKUP($A270,Seqs!$A:$B,2,FALSE),VLOOKUP($A270,'NonXtal_SegEnds_Prot#'!A:AL,10,FALSE)+6,1)</f>
        <v>A</v>
      </c>
      <c r="T270" s="102" t="str">
        <f>MID(VLOOKUP($A270,Seqs!$A:$B,2,FALSE),VLOOKUP($A270,'NonXtal_SegEnds_Prot#'!A:AL,10,FALSE)+7,1)</f>
        <v>F</v>
      </c>
      <c r="U270" s="102" t="str">
        <f>MID(VLOOKUP($A270,Seqs!$A:$B,2,FALSE),VLOOKUP($A270,'NonXtal_SegEnds_Prot#'!A:AL,10,FALSE)+8,1)</f>
        <v>V</v>
      </c>
      <c r="V270" s="102" t="str">
        <f>MID(VLOOKUP($A270,Seqs!$A:$B,2,FALSE),VLOOKUP($A270,'NonXtal_SegEnds_Prot#'!A:AL,10,FALSE)+9,1)</f>
        <v>A</v>
      </c>
      <c r="W270" s="71" t="str">
        <f>MID(VLOOKUP($A270,Seqs!$A:$B,2,FALSE),VLOOKUP($A270,'NonXtal_SegEnds_Prot#'!$A:$AL,22,FALSE)+6,1)</f>
        <v>L</v>
      </c>
      <c r="X270" s="102" t="str">
        <f>MID(VLOOKUP($A270,Seqs!$A:$B,2,FALSE),VLOOKUP($A270,'NonXtal_SegEnds_Prot#'!$A:$AL,22,FALSE)+7,1)</f>
        <v>G</v>
      </c>
      <c r="Y270" s="102" t="str">
        <f>MID(VLOOKUP($A270,Seqs!$A:$B,2,FALSE),VLOOKUP($A270,'NonXtal_SegEnds_Prot#'!$A:$AL,22,FALSE)+8,1)</f>
        <v>G</v>
      </c>
      <c r="Z270" s="102" t="str">
        <f>MID(VLOOKUP($A270,Seqs!$A:$B,2,FALSE),VLOOKUP($A270,'NonXtal_SegEnds_Prot#'!$A:$AL,22,FALSE)+9,1)</f>
        <v>L</v>
      </c>
      <c r="AA270" s="102" t="str">
        <f>MID(VLOOKUP($A270,Seqs!$A:$B,2,FALSE),VLOOKUP($A270,'NonXtal_SegEnds_Prot#'!$A:$AL,22,FALSE)+10,1)</f>
        <v>P</v>
      </c>
      <c r="AB270" s="71" t="str">
        <f>MID(VLOOKUP($A270,Seqs!$A:$B,2,FALSE),VLOOKUP($A270,'NonXtal_SegEnds_Prot#'!$A:$AL,28,FALSE)-4,1)</f>
        <v>I</v>
      </c>
      <c r="AC270" s="102" t="str">
        <f>MID(VLOOKUP($A270,Seqs!$A:$B,2,FALSE),VLOOKUP($A270,'NonXtal_SegEnds_Prot#'!$A:$AL,28,FALSE),1)</f>
        <v>I</v>
      </c>
    </row>
    <row r="271" spans="1:29" s="2" customFormat="1" x14ac:dyDescent="0.2">
      <c r="A271" s="2" t="s">
        <v>572</v>
      </c>
      <c r="B271" s="2" t="str">
        <f>LOWER(VLOOKUP(A271,Xtal_Templ!A:B,2,FALSE))</f>
        <v>s1pr1_human</v>
      </c>
      <c r="C271" s="2" t="str">
        <f>VLOOKUP(A271,Classification!A:D,2,FALSE)</f>
        <v>A</v>
      </c>
      <c r="F271" s="2" t="s">
        <v>125</v>
      </c>
      <c r="P271" s="4" t="s">
        <v>51</v>
      </c>
      <c r="R271" s="71" t="str">
        <f>MID(VLOOKUP($A271,Seqs!$A:$B,2,FALSE),VLOOKUP($A271,'NonXtal_SegEnds_Prot#'!A:AL,10,FALSE),1)</f>
        <v>D</v>
      </c>
      <c r="S271" s="102" t="str">
        <f>MID(VLOOKUP($A271,Seqs!$A:$B,2,FALSE),VLOOKUP($A271,'NonXtal_SegEnds_Prot#'!A:AL,10,FALSE)+6,1)</f>
        <v>A</v>
      </c>
      <c r="T271" s="102" t="str">
        <f>MID(VLOOKUP($A271,Seqs!$A:$B,2,FALSE),VLOOKUP($A271,'NonXtal_SegEnds_Prot#'!A:AL,10,FALSE)+7,1)</f>
        <v>Y</v>
      </c>
      <c r="U271" s="102" t="str">
        <f>MID(VLOOKUP($A271,Seqs!$A:$B,2,FALSE),VLOOKUP($A271,'NonXtal_SegEnds_Prot#'!A:AL,10,FALSE)+8,1)</f>
        <v>K</v>
      </c>
      <c r="V271" s="102" t="str">
        <f>MID(VLOOKUP($A271,Seqs!$A:$B,2,FALSE),VLOOKUP($A271,'NonXtal_SegEnds_Prot#'!A:AL,10,FALSE)+9,1)</f>
        <v>V</v>
      </c>
      <c r="W271" s="71" t="str">
        <f>MID(VLOOKUP($A271,Seqs!$A:$B,2,FALSE),VLOOKUP($A271,'NonXtal_SegEnds_Prot#'!$A:$AL,22,FALSE)+6,1)</f>
        <v>L</v>
      </c>
      <c r="X271" s="102" t="str">
        <f>MID(VLOOKUP($A271,Seqs!$A:$B,2,FALSE),VLOOKUP($A271,'NonXtal_SegEnds_Prot#'!$A:$AL,22,FALSE)+7,1)</f>
        <v>G</v>
      </c>
      <c r="Y271" s="102" t="str">
        <f>MID(VLOOKUP($A271,Seqs!$A:$B,2,FALSE),VLOOKUP($A271,'NonXtal_SegEnds_Prot#'!$A:$AL,22,FALSE)+8,1)</f>
        <v>A</v>
      </c>
      <c r="Z271" s="102" t="str">
        <f>MID(VLOOKUP($A271,Seqs!$A:$B,2,FALSE),VLOOKUP($A271,'NonXtal_SegEnds_Prot#'!$A:$AL,22,FALSE)+9,1)</f>
        <v>L</v>
      </c>
      <c r="AA271" s="102" t="str">
        <f>MID(VLOOKUP($A271,Seqs!$A:$B,2,FALSE),VLOOKUP($A271,'NonXtal_SegEnds_Prot#'!$A:$AL,22,FALSE)+10,1)</f>
        <v>P</v>
      </c>
      <c r="AB271" s="71" t="str">
        <f>MID(VLOOKUP($A271,Seqs!$A:$B,2,FALSE),VLOOKUP($A271,'NonXtal_SegEnds_Prot#'!$A:$AL,28,FALSE)-4,1)</f>
        <v>I</v>
      </c>
      <c r="AC271" s="102" t="str">
        <f>MID(VLOOKUP($A271,Seqs!$A:$B,2,FALSE),VLOOKUP($A271,'NonXtal_SegEnds_Prot#'!$A:$AL,28,FALSE),1)</f>
        <v>I</v>
      </c>
    </row>
    <row r="272" spans="1:29" s="2" customFormat="1" x14ac:dyDescent="0.2">
      <c r="A272" s="2" t="s">
        <v>573</v>
      </c>
      <c r="B272" s="2" t="str">
        <f>LOWER(VLOOKUP(A272,Xtal_Templ!A:B,2,FALSE))</f>
        <v>s1pr1_human</v>
      </c>
      <c r="C272" s="2" t="str">
        <f>VLOOKUP(A272,Classification!A:D,2,FALSE)</f>
        <v>A</v>
      </c>
      <c r="F272" s="2" t="s">
        <v>125</v>
      </c>
      <c r="P272" s="4" t="s">
        <v>51</v>
      </c>
      <c r="R272" s="71" t="str">
        <f>MID(VLOOKUP($A272,Seqs!$A:$B,2,FALSE),VLOOKUP($A272,'NonXtal_SegEnds_Prot#'!A:AL,10,FALSE),1)</f>
        <v>D</v>
      </c>
      <c r="S272" s="102" t="str">
        <f>MID(VLOOKUP($A272,Seqs!$A:$B,2,FALSE),VLOOKUP($A272,'NonXtal_SegEnds_Prot#'!A:AL,10,FALSE)+6,1)</f>
        <v>A</v>
      </c>
      <c r="T272" s="102" t="str">
        <f>MID(VLOOKUP($A272,Seqs!$A:$B,2,FALSE),VLOOKUP($A272,'NonXtal_SegEnds_Prot#'!A:AL,10,FALSE)+7,1)</f>
        <v>Y</v>
      </c>
      <c r="U272" s="102" t="str">
        <f>MID(VLOOKUP($A272,Seqs!$A:$B,2,FALSE),VLOOKUP($A272,'NonXtal_SegEnds_Prot#'!A:AL,10,FALSE)+8,1)</f>
        <v>L</v>
      </c>
      <c r="V272" s="102" t="str">
        <f>MID(VLOOKUP($A272,Seqs!$A:$B,2,FALSE),VLOOKUP($A272,'NonXtal_SegEnds_Prot#'!A:AL,10,FALSE)+9,1)</f>
        <v>A</v>
      </c>
      <c r="W272" s="71" t="str">
        <f>MID(VLOOKUP($A272,Seqs!$A:$B,2,FALSE),VLOOKUP($A272,'NonXtal_SegEnds_Prot#'!$A:$AL,22,FALSE)+6,1)</f>
        <v>L</v>
      </c>
      <c r="X272" s="102" t="str">
        <f>MID(VLOOKUP($A272,Seqs!$A:$B,2,FALSE),VLOOKUP($A272,'NonXtal_SegEnds_Prot#'!$A:$AL,22,FALSE)+7,1)</f>
        <v>G</v>
      </c>
      <c r="Y272" s="102" t="str">
        <f>MID(VLOOKUP($A272,Seqs!$A:$B,2,FALSE),VLOOKUP($A272,'NonXtal_SegEnds_Prot#'!$A:$AL,22,FALSE)+8,1)</f>
        <v>M</v>
      </c>
      <c r="Z272" s="102" t="str">
        <f>MID(VLOOKUP($A272,Seqs!$A:$B,2,FALSE),VLOOKUP($A272,'NonXtal_SegEnds_Prot#'!$A:$AL,22,FALSE)+9,1)</f>
        <v>L</v>
      </c>
      <c r="AA272" s="102" t="str">
        <f>MID(VLOOKUP($A272,Seqs!$A:$B,2,FALSE),VLOOKUP($A272,'NonXtal_SegEnds_Prot#'!$A:$AL,22,FALSE)+10,1)</f>
        <v>P</v>
      </c>
      <c r="AB272" s="71" t="str">
        <f>MID(VLOOKUP($A272,Seqs!$A:$B,2,FALSE),VLOOKUP($A272,'NonXtal_SegEnds_Prot#'!$A:$AL,28,FALSE)-4,1)</f>
        <v>I</v>
      </c>
      <c r="AC272" s="102" t="str">
        <f>MID(VLOOKUP($A272,Seqs!$A:$B,2,FALSE),VLOOKUP($A272,'NonXtal_SegEnds_Prot#'!$A:$AL,28,FALSE),1)</f>
        <v>V</v>
      </c>
    </row>
    <row r="273" spans="1:29" s="2" customFormat="1" x14ac:dyDescent="0.2">
      <c r="A273" s="2" t="s">
        <v>574</v>
      </c>
      <c r="B273" s="2" t="str">
        <f>LOWER(VLOOKUP(A273,Xtal_Templ!A:B,2,FALSE))</f>
        <v>s1pr1_human</v>
      </c>
      <c r="C273" s="2" t="str">
        <f>VLOOKUP(A273,Classification!A:D,2,FALSE)</f>
        <v>A</v>
      </c>
      <c r="F273" s="2" t="s">
        <v>125</v>
      </c>
      <c r="P273" s="4" t="s">
        <v>51</v>
      </c>
      <c r="R273" s="71" t="str">
        <f>MID(VLOOKUP($A273,Seqs!$A:$B,2,FALSE),VLOOKUP($A273,'NonXtal_SegEnds_Prot#'!A:AL,10,FALSE),1)</f>
        <v>D</v>
      </c>
      <c r="S273" s="102" t="str">
        <f>MID(VLOOKUP($A273,Seqs!$A:$B,2,FALSE),VLOOKUP($A273,'NonXtal_SegEnds_Prot#'!A:AL,10,FALSE)+6,1)</f>
        <v>A</v>
      </c>
      <c r="T273" s="102" t="str">
        <f>MID(VLOOKUP($A273,Seqs!$A:$B,2,FALSE),VLOOKUP($A273,'NonXtal_SegEnds_Prot#'!A:AL,10,FALSE)+7,1)</f>
        <v>Y</v>
      </c>
      <c r="U273" s="102" t="str">
        <f>MID(VLOOKUP($A273,Seqs!$A:$B,2,FALSE),VLOOKUP($A273,'NonXtal_SegEnds_Prot#'!A:AL,10,FALSE)+8,1)</f>
        <v>A</v>
      </c>
      <c r="V273" s="102" t="str">
        <f>MID(VLOOKUP($A273,Seqs!$A:$B,2,FALSE),VLOOKUP($A273,'NonXtal_SegEnds_Prot#'!A:AL,10,FALSE)+9,1)</f>
        <v>A</v>
      </c>
      <c r="W273" s="71" t="str">
        <f>MID(VLOOKUP($A273,Seqs!$A:$B,2,FALSE),VLOOKUP($A273,'NonXtal_SegEnds_Prot#'!$A:$AL,22,FALSE)+6,1)</f>
        <v>L</v>
      </c>
      <c r="X273" s="102" t="str">
        <f>MID(VLOOKUP($A273,Seqs!$A:$B,2,FALSE),VLOOKUP($A273,'NonXtal_SegEnds_Prot#'!$A:$AL,22,FALSE)+7,1)</f>
        <v>G</v>
      </c>
      <c r="Y273" s="102" t="str">
        <f>MID(VLOOKUP($A273,Seqs!$A:$B,2,FALSE),VLOOKUP($A273,'NonXtal_SegEnds_Prot#'!$A:$AL,22,FALSE)+8,1)</f>
        <v>L</v>
      </c>
      <c r="Z273" s="102" t="str">
        <f>MID(VLOOKUP($A273,Seqs!$A:$B,2,FALSE),VLOOKUP($A273,'NonXtal_SegEnds_Prot#'!$A:$AL,22,FALSE)+9,1)</f>
        <v>L</v>
      </c>
      <c r="AA273" s="102" t="str">
        <f>MID(VLOOKUP($A273,Seqs!$A:$B,2,FALSE),VLOOKUP($A273,'NonXtal_SegEnds_Prot#'!$A:$AL,22,FALSE)+10,1)</f>
        <v>P</v>
      </c>
      <c r="AB273" s="71" t="str">
        <f>MID(VLOOKUP($A273,Seqs!$A:$B,2,FALSE),VLOOKUP($A273,'NonXtal_SegEnds_Prot#'!$A:$AL,28,FALSE)-4,1)</f>
        <v>A</v>
      </c>
      <c r="AC273" s="102" t="str">
        <f>MID(VLOOKUP($A273,Seqs!$A:$B,2,FALSE),VLOOKUP($A273,'NonXtal_SegEnds_Prot#'!$A:$AL,28,FALSE),1)</f>
        <v>I</v>
      </c>
    </row>
    <row r="274" spans="1:29" s="2" customFormat="1" x14ac:dyDescent="0.2">
      <c r="A274" s="2" t="s">
        <v>575</v>
      </c>
      <c r="B274" s="2" t="str">
        <f>LOWER(VLOOKUP(A274,Xtal_Templ!A:B,2,FALSE))</f>
        <v>oprm_mouse</v>
      </c>
      <c r="C274" s="2" t="str">
        <f>VLOOKUP(A274,Classification!A:D,2,FALSE)</f>
        <v>A</v>
      </c>
      <c r="K274" s="2" t="s">
        <v>59</v>
      </c>
      <c r="N274" s="2" t="s">
        <v>43</v>
      </c>
      <c r="P274" s="4" t="s">
        <v>51</v>
      </c>
      <c r="R274" s="71" t="str">
        <f>MID(VLOOKUP($A274,Seqs!$A:$B,2,FALSE),VLOOKUP($A274,'NonXtal_SegEnds_Prot#'!A:AL,10,FALSE),1)</f>
        <v>D</v>
      </c>
      <c r="S274" s="102" t="str">
        <f>MID(VLOOKUP($A274,Seqs!$A:$B,2,FALSE),VLOOKUP($A274,'NonXtal_SegEnds_Prot#'!A:AL,10,FALSE)+6,1)</f>
        <v>S</v>
      </c>
      <c r="T274" s="102" t="str">
        <f>MID(VLOOKUP($A274,Seqs!$A:$B,2,FALSE),VLOOKUP($A274,'NonXtal_SegEnds_Prot#'!A:AL,10,FALSE)+7,1)</f>
        <v>V</v>
      </c>
      <c r="U274" s="102" t="str">
        <f>MID(VLOOKUP($A274,Seqs!$A:$B,2,FALSE),VLOOKUP($A274,'NonXtal_SegEnds_Prot#'!A:AL,10,FALSE)+8,1)</f>
        <v>P</v>
      </c>
      <c r="V274" s="102" t="str">
        <f>MID(VLOOKUP($A274,Seqs!$A:$B,2,FALSE),VLOOKUP($A274,'NonXtal_SegEnds_Prot#'!A:AL,10,FALSE)+9,1)</f>
        <v>F</v>
      </c>
      <c r="W274" s="71" t="str">
        <f>MID(VLOOKUP($A274,Seqs!$A:$B,2,FALSE),VLOOKUP($A274,'NonXtal_SegEnds_Prot#'!$A:$AL,22,FALSE)+6,1)</f>
        <v>V</v>
      </c>
      <c r="X274" s="102" t="str">
        <f>MID(VLOOKUP($A274,Seqs!$A:$B,2,FALSE),VLOOKUP($A274,'NonXtal_SegEnds_Prot#'!$A:$AL,22,FALSE)+7,1)</f>
        <v>I</v>
      </c>
      <c r="Y274" s="102" t="str">
        <f>MID(VLOOKUP($A274,Seqs!$A:$B,2,FALSE),VLOOKUP($A274,'NonXtal_SegEnds_Prot#'!$A:$AL,22,FALSE)+8,1)</f>
        <v>L</v>
      </c>
      <c r="Z274" s="102" t="str">
        <f>MID(VLOOKUP($A274,Seqs!$A:$B,2,FALSE),VLOOKUP($A274,'NonXtal_SegEnds_Prot#'!$A:$AL,22,FALSE)+9,1)</f>
        <v>P</v>
      </c>
      <c r="AA274" s="102" t="str">
        <f>MID(VLOOKUP($A274,Seqs!$A:$B,2,FALSE),VLOOKUP($A274,'NonXtal_SegEnds_Prot#'!$A:$AL,22,FALSE)+10,1)</f>
        <v>I</v>
      </c>
      <c r="AB274" s="71" t="str">
        <f>MID(VLOOKUP($A274,Seqs!$A:$B,2,FALSE),VLOOKUP($A274,'NonXtal_SegEnds_Prot#'!$A:$AL,28,FALSE)-4,1)</f>
        <v>G</v>
      </c>
      <c r="AC274" s="102" t="str">
        <f>MID(VLOOKUP($A274,Seqs!$A:$B,2,FALSE),VLOOKUP($A274,'NonXtal_SegEnds_Prot#'!$A:$AL,28,FALSE),1)</f>
        <v>P</v>
      </c>
    </row>
    <row r="275" spans="1:29" s="2" customFormat="1" x14ac:dyDescent="0.2">
      <c r="A275" s="2" t="s">
        <v>576</v>
      </c>
      <c r="B275" s="2" t="str">
        <f>LOWER(VLOOKUP(A275,Xtal_Templ!A:B,2,FALSE))</f>
        <v>oprm_mouse</v>
      </c>
      <c r="C275" s="2" t="str">
        <f>VLOOKUP(A275,Classification!A:D,2,FALSE)</f>
        <v>A</v>
      </c>
      <c r="K275" s="2" t="s">
        <v>59</v>
      </c>
      <c r="N275" s="2" t="s">
        <v>43</v>
      </c>
      <c r="P275" s="4" t="s">
        <v>51</v>
      </c>
      <c r="R275" s="71" t="str">
        <f>MID(VLOOKUP($A275,Seqs!$A:$B,2,FALSE),VLOOKUP($A275,'NonXtal_SegEnds_Prot#'!A:AL,10,FALSE),1)</f>
        <v>D</v>
      </c>
      <c r="S275" s="102" t="str">
        <f>MID(VLOOKUP($A275,Seqs!$A:$B,2,FALSE),VLOOKUP($A275,'NonXtal_SegEnds_Prot#'!A:AL,10,FALSE)+6,1)</f>
        <v>G</v>
      </c>
      <c r="T275" s="102" t="str">
        <f>MID(VLOOKUP($A275,Seqs!$A:$B,2,FALSE),VLOOKUP($A275,'NonXtal_SegEnds_Prot#'!A:AL,10,FALSE)+7,1)</f>
        <v>L</v>
      </c>
      <c r="U275" s="102" t="str">
        <f>MID(VLOOKUP($A275,Seqs!$A:$B,2,FALSE),VLOOKUP($A275,'NonXtal_SegEnds_Prot#'!A:AL,10,FALSE)+8,1)</f>
        <v>P</v>
      </c>
      <c r="V275" s="102" t="str">
        <f>MID(VLOOKUP($A275,Seqs!$A:$B,2,FALSE),VLOOKUP($A275,'NonXtal_SegEnds_Prot#'!A:AL,10,FALSE)+9,1)</f>
        <v>F</v>
      </c>
      <c r="W275" s="71" t="str">
        <f>MID(VLOOKUP($A275,Seqs!$A:$B,2,FALSE),VLOOKUP($A275,'NonXtal_SegEnds_Prot#'!$A:$AL,22,FALSE)+6,1)</f>
        <v>V</v>
      </c>
      <c r="X275" s="102" t="str">
        <f>MID(VLOOKUP($A275,Seqs!$A:$B,2,FALSE),VLOOKUP($A275,'NonXtal_SegEnds_Prot#'!$A:$AL,22,FALSE)+7,1)</f>
        <v>I</v>
      </c>
      <c r="Y275" s="102" t="str">
        <f>MID(VLOOKUP($A275,Seqs!$A:$B,2,FALSE),VLOOKUP($A275,'NonXtal_SegEnds_Prot#'!$A:$AL,22,FALSE)+8,1)</f>
        <v>L</v>
      </c>
      <c r="Z275" s="102" t="str">
        <f>MID(VLOOKUP($A275,Seqs!$A:$B,2,FALSE),VLOOKUP($A275,'NonXtal_SegEnds_Prot#'!$A:$AL,22,FALSE)+9,1)</f>
        <v>P</v>
      </c>
      <c r="AA275" s="102" t="str">
        <f>MID(VLOOKUP($A275,Seqs!$A:$B,2,FALSE),VLOOKUP($A275,'NonXtal_SegEnds_Prot#'!$A:$AL,22,FALSE)+10,1)</f>
        <v>I</v>
      </c>
      <c r="AB275" s="71" t="str">
        <f>MID(VLOOKUP($A275,Seqs!$A:$B,2,FALSE),VLOOKUP($A275,'NonXtal_SegEnds_Prot#'!$A:$AL,28,FALSE)-4,1)</f>
        <v>G</v>
      </c>
      <c r="AC275" s="102" t="str">
        <f>MID(VLOOKUP($A275,Seqs!$A:$B,2,FALSE),VLOOKUP($A275,'NonXtal_SegEnds_Prot#'!$A:$AL,28,FALSE),1)</f>
        <v>P</v>
      </c>
    </row>
    <row r="276" spans="1:29" s="2" customFormat="1" x14ac:dyDescent="0.2">
      <c r="A276" s="2" t="s">
        <v>577</v>
      </c>
      <c r="B276" s="2" t="str">
        <f>LOWER(VLOOKUP(A276,Xtal_Templ!A:B,2,FALSE))</f>
        <v>oprx_human</v>
      </c>
      <c r="C276" s="2" t="str">
        <f>VLOOKUP(A276,Classification!A:D,2,FALSE)</f>
        <v>A</v>
      </c>
      <c r="K276" s="2" t="s">
        <v>59</v>
      </c>
      <c r="N276" s="2" t="s">
        <v>43</v>
      </c>
      <c r="P276" s="4" t="s">
        <v>51</v>
      </c>
      <c r="R276" s="71" t="str">
        <f>MID(VLOOKUP($A276,Seqs!$A:$B,2,FALSE),VLOOKUP($A276,'NonXtal_SegEnds_Prot#'!A:AL,10,FALSE),1)</f>
        <v>D</v>
      </c>
      <c r="S276" s="102" t="str">
        <f>MID(VLOOKUP($A276,Seqs!$A:$B,2,FALSE),VLOOKUP($A276,'NonXtal_SegEnds_Prot#'!A:AL,10,FALSE)+6,1)</f>
        <v>G</v>
      </c>
      <c r="T276" s="102" t="str">
        <f>MID(VLOOKUP($A276,Seqs!$A:$B,2,FALSE),VLOOKUP($A276,'NonXtal_SegEnds_Prot#'!A:AL,10,FALSE)+7,1)</f>
        <v>L</v>
      </c>
      <c r="U276" s="102" t="str">
        <f>MID(VLOOKUP($A276,Seqs!$A:$B,2,FALSE),VLOOKUP($A276,'NonXtal_SegEnds_Prot#'!A:AL,10,FALSE)+8,1)</f>
        <v>P</v>
      </c>
      <c r="V276" s="102" t="str">
        <f>MID(VLOOKUP($A276,Seqs!$A:$B,2,FALSE),VLOOKUP($A276,'NonXtal_SegEnds_Prot#'!A:AL,10,FALSE)+9,1)</f>
        <v>F</v>
      </c>
      <c r="W276" s="71" t="str">
        <f>MID(VLOOKUP($A276,Seqs!$A:$B,2,FALSE),VLOOKUP($A276,'NonXtal_SegEnds_Prot#'!$A:$AL,22,FALSE)+6,1)</f>
        <v>V</v>
      </c>
      <c r="X276" s="102" t="str">
        <f>MID(VLOOKUP($A276,Seqs!$A:$B,2,FALSE),VLOOKUP($A276,'NonXtal_SegEnds_Prot#'!$A:$AL,22,FALSE)+7,1)</f>
        <v>V</v>
      </c>
      <c r="Y276" s="102" t="str">
        <f>MID(VLOOKUP($A276,Seqs!$A:$B,2,FALSE),VLOOKUP($A276,'NonXtal_SegEnds_Prot#'!$A:$AL,22,FALSE)+8,1)</f>
        <v>L</v>
      </c>
      <c r="Z276" s="102" t="str">
        <f>MID(VLOOKUP($A276,Seqs!$A:$B,2,FALSE),VLOOKUP($A276,'NonXtal_SegEnds_Prot#'!$A:$AL,22,FALSE)+9,1)</f>
        <v>P</v>
      </c>
      <c r="AA276" s="102" t="str">
        <f>MID(VLOOKUP($A276,Seqs!$A:$B,2,FALSE),VLOOKUP($A276,'NonXtal_SegEnds_Prot#'!$A:$AL,22,FALSE)+10,1)</f>
        <v>V</v>
      </c>
      <c r="AB276" s="71" t="str">
        <f>MID(VLOOKUP($A276,Seqs!$A:$B,2,FALSE),VLOOKUP($A276,'NonXtal_SegEnds_Prot#'!$A:$AL,28,FALSE)-4,1)</f>
        <v>G</v>
      </c>
      <c r="AC276" s="102" t="str">
        <f>MID(VLOOKUP($A276,Seqs!$A:$B,2,FALSE),VLOOKUP($A276,'NonXtal_SegEnds_Prot#'!$A:$AL,28,FALSE),1)</f>
        <v>P</v>
      </c>
    </row>
    <row r="277" spans="1:29" s="2" customFormat="1" x14ac:dyDescent="0.2">
      <c r="A277" s="2" t="s">
        <v>578</v>
      </c>
      <c r="B277" s="2" t="str">
        <f>LOWER(VLOOKUP(A277,Xtal_Templ!A:B,2,FALSE))</f>
        <v>oprd_mouse</v>
      </c>
      <c r="C277" s="2" t="str">
        <f>VLOOKUP(A277,Classification!A:D,2,FALSE)</f>
        <v>A</v>
      </c>
      <c r="K277" s="2" t="s">
        <v>59</v>
      </c>
      <c r="N277" s="2" t="s">
        <v>43</v>
      </c>
      <c r="P277" s="4" t="s">
        <v>51</v>
      </c>
      <c r="R277" s="71" t="str">
        <f>MID(VLOOKUP($A277,Seqs!$A:$B,2,FALSE),VLOOKUP($A277,'NonXtal_SegEnds_Prot#'!A:AL,10,FALSE),1)</f>
        <v>D</v>
      </c>
      <c r="S277" s="102" t="str">
        <f>MID(VLOOKUP($A277,Seqs!$A:$B,2,FALSE),VLOOKUP($A277,'NonXtal_SegEnds_Prot#'!A:AL,10,FALSE)+6,1)</f>
        <v>S</v>
      </c>
      <c r="T277" s="102" t="str">
        <f>MID(VLOOKUP($A277,Seqs!$A:$B,2,FALSE),VLOOKUP($A277,'NonXtal_SegEnds_Prot#'!A:AL,10,FALSE)+7,1)</f>
        <v>V</v>
      </c>
      <c r="U277" s="102" t="str">
        <f>MID(VLOOKUP($A277,Seqs!$A:$B,2,FALSE),VLOOKUP($A277,'NonXtal_SegEnds_Prot#'!A:AL,10,FALSE)+8,1)</f>
        <v>P</v>
      </c>
      <c r="V277" s="102" t="str">
        <f>MID(VLOOKUP($A277,Seqs!$A:$B,2,FALSE),VLOOKUP($A277,'NonXtal_SegEnds_Prot#'!A:AL,10,FALSE)+9,1)</f>
        <v>F</v>
      </c>
      <c r="W277" s="71" t="str">
        <f>MID(VLOOKUP($A277,Seqs!$A:$B,2,FALSE),VLOOKUP($A277,'NonXtal_SegEnds_Prot#'!$A:$AL,22,FALSE)+6,1)</f>
        <v>V</v>
      </c>
      <c r="X277" s="102" t="str">
        <f>MID(VLOOKUP($A277,Seqs!$A:$B,2,FALSE),VLOOKUP($A277,'NonXtal_SegEnds_Prot#'!$A:$AL,22,FALSE)+7,1)</f>
        <v>T</v>
      </c>
      <c r="Y277" s="102" t="str">
        <f>MID(VLOOKUP($A277,Seqs!$A:$B,2,FALSE),VLOOKUP($A277,'NonXtal_SegEnds_Prot#'!$A:$AL,22,FALSE)+8,1)</f>
        <v>L</v>
      </c>
      <c r="Z277" s="102" t="str">
        <f>MID(VLOOKUP($A277,Seqs!$A:$B,2,FALSE),VLOOKUP($A277,'NonXtal_SegEnds_Prot#'!$A:$AL,22,FALSE)+9,1)</f>
        <v>P</v>
      </c>
      <c r="AA277" s="102" t="str">
        <f>MID(VLOOKUP($A277,Seqs!$A:$B,2,FALSE),VLOOKUP($A277,'NonXtal_SegEnds_Prot#'!$A:$AL,22,FALSE)+10,1)</f>
        <v>I</v>
      </c>
      <c r="AB277" s="71" t="str">
        <f>MID(VLOOKUP($A277,Seqs!$A:$B,2,FALSE),VLOOKUP($A277,'NonXtal_SegEnds_Prot#'!$A:$AL,28,FALSE)-4,1)</f>
        <v>G</v>
      </c>
      <c r="AC277" s="102" t="str">
        <f>MID(VLOOKUP($A277,Seqs!$A:$B,2,FALSE),VLOOKUP($A277,'NonXtal_SegEnds_Prot#'!$A:$AL,28,FALSE),1)</f>
        <v>P</v>
      </c>
    </row>
    <row r="278" spans="1:29" s="2" customFormat="1" x14ac:dyDescent="0.2">
      <c r="A278" s="2" t="s">
        <v>579</v>
      </c>
      <c r="B278" s="2" t="str">
        <f>LOWER(VLOOKUP(A278,Xtal_Templ!A:B,2,FALSE))</f>
        <v>oprm_mouse</v>
      </c>
      <c r="C278" s="2" t="str">
        <f>VLOOKUP(A278,Classification!A:D,2,FALSE)</f>
        <v>A</v>
      </c>
      <c r="K278" s="2" t="s">
        <v>59</v>
      </c>
      <c r="N278" s="2" t="s">
        <v>43</v>
      </c>
      <c r="P278" s="4" t="s">
        <v>51</v>
      </c>
      <c r="R278" s="71" t="str">
        <f>MID(VLOOKUP($A278,Seqs!$A:$B,2,FALSE),VLOOKUP($A278,'NonXtal_SegEnds_Prot#'!A:AL,10,FALSE),1)</f>
        <v>D</v>
      </c>
      <c r="S278" s="102" t="str">
        <f>MID(VLOOKUP($A278,Seqs!$A:$B,2,FALSE),VLOOKUP($A278,'NonXtal_SegEnds_Prot#'!A:AL,10,FALSE)+6,1)</f>
        <v>G</v>
      </c>
      <c r="T278" s="102" t="str">
        <f>MID(VLOOKUP($A278,Seqs!$A:$B,2,FALSE),VLOOKUP($A278,'NonXtal_SegEnds_Prot#'!A:AL,10,FALSE)+7,1)</f>
        <v>L</v>
      </c>
      <c r="U278" s="102" t="str">
        <f>MID(VLOOKUP($A278,Seqs!$A:$B,2,FALSE),VLOOKUP($A278,'NonXtal_SegEnds_Prot#'!A:AL,10,FALSE)+8,1)</f>
        <v>P</v>
      </c>
      <c r="V278" s="102" t="str">
        <f>MID(VLOOKUP($A278,Seqs!$A:$B,2,FALSE),VLOOKUP($A278,'NonXtal_SegEnds_Prot#'!A:AL,10,FALSE)+9,1)</f>
        <v>F</v>
      </c>
      <c r="W278" s="71" t="str">
        <f>MID(VLOOKUP($A278,Seqs!$A:$B,2,FALSE),VLOOKUP($A278,'NonXtal_SegEnds_Prot#'!$A:$AL,22,FALSE)+6,1)</f>
        <v>M</v>
      </c>
      <c r="X278" s="102" t="str">
        <f>MID(VLOOKUP($A278,Seqs!$A:$B,2,FALSE),VLOOKUP($A278,'NonXtal_SegEnds_Prot#'!$A:$AL,22,FALSE)+7,1)</f>
        <v>S</v>
      </c>
      <c r="Y278" s="102" t="str">
        <f>MID(VLOOKUP($A278,Seqs!$A:$B,2,FALSE),VLOOKUP($A278,'NonXtal_SegEnds_Prot#'!$A:$AL,22,FALSE)+8,1)</f>
        <v>L</v>
      </c>
      <c r="Z278" s="102" t="str">
        <f>MID(VLOOKUP($A278,Seqs!$A:$B,2,FALSE),VLOOKUP($A278,'NonXtal_SegEnds_Prot#'!$A:$AL,22,FALSE)+9,1)</f>
        <v>P</v>
      </c>
      <c r="AA278" s="102" t="str">
        <f>MID(VLOOKUP($A278,Seqs!$A:$B,2,FALSE),VLOOKUP($A278,'NonXtal_SegEnds_Prot#'!$A:$AL,22,FALSE)+10,1)</f>
        <v>L</v>
      </c>
      <c r="AB278" s="71" t="str">
        <f>MID(VLOOKUP($A278,Seqs!$A:$B,2,FALSE),VLOOKUP($A278,'NonXtal_SegEnds_Prot#'!$A:$AL,28,FALSE)-4,1)</f>
        <v>G</v>
      </c>
      <c r="AC278" s="102" t="str">
        <f>MID(VLOOKUP($A278,Seqs!$A:$B,2,FALSE),VLOOKUP($A278,'NonXtal_SegEnds_Prot#'!$A:$AL,28,FALSE),1)</f>
        <v>P</v>
      </c>
    </row>
    <row r="279" spans="1:29" s="2" customFormat="1" x14ac:dyDescent="0.2">
      <c r="A279" s="2" t="s">
        <v>580</v>
      </c>
      <c r="B279" s="2" t="str">
        <f>LOWER(VLOOKUP(A279,Xtal_Templ!A:B,2,FALSE))</f>
        <v>p2ry1_human</v>
      </c>
      <c r="C279" s="2" t="str">
        <f>VLOOKUP(A279,Classification!A:D,2,FALSE)</f>
        <v>A</v>
      </c>
      <c r="K279" s="2" t="s">
        <v>59</v>
      </c>
      <c r="N279" s="2" t="s">
        <v>43</v>
      </c>
      <c r="P279" s="4" t="s">
        <v>51</v>
      </c>
      <c r="R279" s="71" t="str">
        <f>MID(VLOOKUP($A279,Seqs!$A:$B,2,FALSE),VLOOKUP($A279,'NonXtal_SegEnds_Prot#'!A:AL,10,FALSE),1)</f>
        <v>D</v>
      </c>
      <c r="S279" s="102" t="str">
        <f>MID(VLOOKUP($A279,Seqs!$A:$B,2,FALSE),VLOOKUP($A279,'NonXtal_SegEnds_Prot#'!A:AL,10,FALSE)+6,1)</f>
        <v>T</v>
      </c>
      <c r="T279" s="102" t="str">
        <f>MID(VLOOKUP($A279,Seqs!$A:$B,2,FALSE),VLOOKUP($A279,'NonXtal_SegEnds_Prot#'!A:AL,10,FALSE)+7,1)</f>
        <v>L</v>
      </c>
      <c r="U279" s="102" t="str">
        <f>MID(VLOOKUP($A279,Seqs!$A:$B,2,FALSE),VLOOKUP($A279,'NonXtal_SegEnds_Prot#'!A:AL,10,FALSE)+8,1)</f>
        <v>P</v>
      </c>
      <c r="V279" s="102" t="str">
        <f>MID(VLOOKUP($A279,Seqs!$A:$B,2,FALSE),VLOOKUP($A279,'NonXtal_SegEnds_Prot#'!A:AL,10,FALSE)+9,1)</f>
        <v>M</v>
      </c>
      <c r="W279" s="71" t="str">
        <f>MID(VLOOKUP($A279,Seqs!$A:$B,2,FALSE),VLOOKUP($A279,'NonXtal_SegEnds_Prot#'!$A:$AL,22,FALSE)+6,1)</f>
        <v>E</v>
      </c>
      <c r="X279" s="102" t="str">
        <f>MID(VLOOKUP($A279,Seqs!$A:$B,2,FALSE),VLOOKUP($A279,'NonXtal_SegEnds_Prot#'!$A:$AL,22,FALSE)+7,1)</f>
        <v>L</v>
      </c>
      <c r="Y279" s="102" t="str">
        <f>MID(VLOOKUP($A279,Seqs!$A:$B,2,FALSE),VLOOKUP($A279,'NonXtal_SegEnds_Prot#'!$A:$AL,22,FALSE)+8,1)</f>
        <v>L</v>
      </c>
      <c r="Z279" s="102" t="str">
        <f>MID(VLOOKUP($A279,Seqs!$A:$B,2,FALSE),VLOOKUP($A279,'NonXtal_SegEnds_Prot#'!$A:$AL,22,FALSE)+9,1)</f>
        <v>P</v>
      </c>
      <c r="AA279" s="102" t="str">
        <f>MID(VLOOKUP($A279,Seqs!$A:$B,2,FALSE),VLOOKUP($A279,'NonXtal_SegEnds_Prot#'!$A:$AL,22,FALSE)+10,1)</f>
        <v>I</v>
      </c>
      <c r="AB279" s="71" t="str">
        <f>MID(VLOOKUP($A279,Seqs!$A:$B,2,FALSE),VLOOKUP($A279,'NonXtal_SegEnds_Prot#'!$A:$AL,28,FALSE)-4,1)</f>
        <v>G</v>
      </c>
      <c r="AC279" s="102" t="str">
        <f>MID(VLOOKUP($A279,Seqs!$A:$B,2,FALSE),VLOOKUP($A279,'NonXtal_SegEnds_Prot#'!$A:$AL,28,FALSE),1)</f>
        <v>P</v>
      </c>
    </row>
    <row r="280" spans="1:29" s="2" customFormat="1" x14ac:dyDescent="0.2">
      <c r="A280" s="2" t="s">
        <v>668</v>
      </c>
      <c r="B280" s="2" t="str">
        <f>LOWER(VLOOKUP(A280,Xtal_Templ!A:B,2,FALSE))</f>
        <v>s1pr1_human</v>
      </c>
      <c r="C280" s="2" t="str">
        <f>VLOOKUP(A280,Classification!A:D,2,FALSE)</f>
        <v>A</v>
      </c>
      <c r="P280" s="4" t="s">
        <v>51</v>
      </c>
      <c r="R280" s="71" t="str">
        <f>MID(VLOOKUP($A280,Seqs!$A:$B,2,FALSE),VLOOKUP($A280,'NonXtal_SegEnds_Prot#'!A:AL,10,FALSE),1)</f>
        <v>D</v>
      </c>
      <c r="S280" s="102" t="str">
        <f>MID(VLOOKUP($A280,Seqs!$A:$B,2,FALSE),VLOOKUP($A280,'NonXtal_SegEnds_Prot#'!A:AL,10,FALSE)+6,1)</f>
        <v>V</v>
      </c>
      <c r="T280" s="102" t="str">
        <f>MID(VLOOKUP($A280,Seqs!$A:$B,2,FALSE),VLOOKUP($A280,'NonXtal_SegEnds_Prot#'!A:AL,10,FALSE)+7,1)</f>
        <v>T</v>
      </c>
      <c r="U280" s="102" t="str">
        <f>MID(VLOOKUP($A280,Seqs!$A:$B,2,FALSE),VLOOKUP($A280,'NonXtal_SegEnds_Prot#'!A:AL,10,FALSE)+8,1)</f>
        <v>G</v>
      </c>
      <c r="V280" s="102" t="str">
        <f>MID(VLOOKUP($A280,Seqs!$A:$B,2,FALSE),VLOOKUP($A280,'NonXtal_SegEnds_Prot#'!A:AL,10,FALSE)+9,1)</f>
        <v>T</v>
      </c>
      <c r="W280" s="71" t="str">
        <f>MID(VLOOKUP($A280,Seqs!$A:$B,2,FALSE),VLOOKUP($A280,'NonXtal_SegEnds_Prot#'!$A:$AL,22,FALSE)+6,1)</f>
        <v>L</v>
      </c>
      <c r="X280" s="102" t="str">
        <f>MID(VLOOKUP($A280,Seqs!$A:$B,2,FALSE),VLOOKUP($A280,'NonXtal_SegEnds_Prot#'!$A:$AL,22,FALSE)+7,1)</f>
        <v>G</v>
      </c>
      <c r="Y280" s="102" t="str">
        <f>MID(VLOOKUP($A280,Seqs!$A:$B,2,FALSE),VLOOKUP($A280,'NonXtal_SegEnds_Prot#'!$A:$AL,22,FALSE)+8,1)</f>
        <v>L</v>
      </c>
      <c r="Z280" s="102" t="str">
        <f>MID(VLOOKUP($A280,Seqs!$A:$B,2,FALSE),VLOOKUP($A280,'NonXtal_SegEnds_Prot#'!$A:$AL,22,FALSE)+9,1)</f>
        <v>L</v>
      </c>
      <c r="AA280" s="102" t="str">
        <f>MID(VLOOKUP($A280,Seqs!$A:$B,2,FALSE),VLOOKUP($A280,'NonXtal_SegEnds_Prot#'!$A:$AL,22,FALSE)+10,1)</f>
        <v>P</v>
      </c>
      <c r="AB280" s="71" t="str">
        <f>MID(VLOOKUP($A280,Seqs!$A:$B,2,FALSE),VLOOKUP($A280,'NonXtal_SegEnds_Prot#'!$A:$AL,28,FALSE)-4,1)</f>
        <v>L</v>
      </c>
      <c r="AC280" s="102" t="str">
        <f>MID(VLOOKUP($A280,Seqs!$A:$B,2,FALSE),VLOOKUP($A280,'NonXtal_SegEnds_Prot#'!$A:$AL,28,FALSE),1)</f>
        <v>S</v>
      </c>
    </row>
    <row r="281" spans="1:29" s="2" customFormat="1" x14ac:dyDescent="0.2">
      <c r="A281" s="2" t="s">
        <v>581</v>
      </c>
      <c r="B281" s="2" t="str">
        <f>LOWER(VLOOKUP(A281,Xtal_Templ!A:B,2,FALSE))</f>
        <v>adrb1_melga</v>
      </c>
      <c r="C281" s="2" t="str">
        <f>VLOOKUP(A281,Classification!A:D,2,FALSE)</f>
        <v>A</v>
      </c>
      <c r="E281" s="2" t="s">
        <v>20</v>
      </c>
      <c r="N281" s="2" t="s">
        <v>43</v>
      </c>
      <c r="P281" s="4" t="s">
        <v>51</v>
      </c>
      <c r="R281" s="71" t="str">
        <f>MID(VLOOKUP($A281,Seqs!$A:$B,2,FALSE),VLOOKUP($A281,'NonXtal_SegEnds_Prot#'!A:AL,10,FALSE),1)</f>
        <v>D</v>
      </c>
      <c r="S281" s="102" t="str">
        <f>MID(VLOOKUP($A281,Seqs!$A:$B,2,FALSE),VLOOKUP($A281,'NonXtal_SegEnds_Prot#'!A:AL,10,FALSE)+6,1)</f>
        <v>L</v>
      </c>
      <c r="T281" s="102" t="str">
        <f>MID(VLOOKUP($A281,Seqs!$A:$B,2,FALSE),VLOOKUP($A281,'NonXtal_SegEnds_Prot#'!A:AL,10,FALSE)+7,1)</f>
        <v>V</v>
      </c>
      <c r="U281" s="102" t="str">
        <f>MID(VLOOKUP($A281,Seqs!$A:$B,2,FALSE),VLOOKUP($A281,'NonXtal_SegEnds_Prot#'!A:AL,10,FALSE)+8,1)</f>
        <v>M</v>
      </c>
      <c r="V281" s="102" t="str">
        <f>MID(VLOOKUP($A281,Seqs!$A:$B,2,FALSE),VLOOKUP($A281,'NonXtal_SegEnds_Prot#'!A:AL,10,FALSE)+9,1)</f>
        <v>P</v>
      </c>
      <c r="W281" s="71" t="str">
        <f>MID(VLOOKUP($A281,Seqs!$A:$B,2,FALSE),VLOOKUP($A281,'NonXtal_SegEnds_Prot#'!$A:$AL,22,FALSE)+6,1)</f>
        <v>F</v>
      </c>
      <c r="X281" s="102" t="str">
        <f>MID(VLOOKUP($A281,Seqs!$A:$B,2,FALSE),VLOOKUP($A281,'NonXtal_SegEnds_Prot#'!$A:$AL,22,FALSE)+7,1)</f>
        <v>A</v>
      </c>
      <c r="Y281" s="102" t="str">
        <f>MID(VLOOKUP($A281,Seqs!$A:$B,2,FALSE),VLOOKUP($A281,'NonXtal_SegEnds_Prot#'!$A:$AL,22,FALSE)+8,1)</f>
        <v>F</v>
      </c>
      <c r="Z281" s="102" t="str">
        <f>MID(VLOOKUP($A281,Seqs!$A:$B,2,FALSE),VLOOKUP($A281,'NonXtal_SegEnds_Prot#'!$A:$AL,22,FALSE)+9,1)</f>
        <v>G</v>
      </c>
      <c r="AA281" s="102" t="str">
        <f>MID(VLOOKUP($A281,Seqs!$A:$B,2,FALSE),VLOOKUP($A281,'NonXtal_SegEnds_Prot#'!$A:$AL,22,FALSE)+10,1)</f>
        <v>M</v>
      </c>
      <c r="AB281" s="71" t="str">
        <f>MID(VLOOKUP($A281,Seqs!$A:$B,2,FALSE),VLOOKUP($A281,'NonXtal_SegEnds_Prot#'!$A:$AL,28,FALSE)-4,1)</f>
        <v>S</v>
      </c>
      <c r="AC281" s="102" t="str">
        <f>MID(VLOOKUP($A281,Seqs!$A:$B,2,FALSE),VLOOKUP($A281,'NonXtal_SegEnds_Prot#'!$A:$AL,28,FALSE),1)</f>
        <v>P</v>
      </c>
    </row>
    <row r="282" spans="1:29" s="2" customFormat="1" x14ac:dyDescent="0.2">
      <c r="A282" s="2" t="s">
        <v>582</v>
      </c>
      <c r="B282" s="2" t="str">
        <f>LOWER(VLOOKUP(A282,Xtal_Templ!A:B,2,FALSE))</f>
        <v>5ht1b_human</v>
      </c>
      <c r="C282" s="2" t="str">
        <f>VLOOKUP(A282,Classification!A:D,2,FALSE)</f>
        <v>A</v>
      </c>
      <c r="E282" s="2" t="s">
        <v>20</v>
      </c>
      <c r="N282" s="2" t="s">
        <v>43</v>
      </c>
      <c r="P282" s="4" t="s">
        <v>51</v>
      </c>
      <c r="R282" s="71" t="str">
        <f>MID(VLOOKUP($A282,Seqs!$A:$B,2,FALSE),VLOOKUP($A282,'NonXtal_SegEnds_Prot#'!A:AL,10,FALSE),1)</f>
        <v>D</v>
      </c>
      <c r="S282" s="102" t="str">
        <f>MID(VLOOKUP($A282,Seqs!$A:$B,2,FALSE),VLOOKUP($A282,'NonXtal_SegEnds_Prot#'!A:AL,10,FALSE)+6,1)</f>
        <v>T</v>
      </c>
      <c r="T282" s="102" t="str">
        <f>MID(VLOOKUP($A282,Seqs!$A:$B,2,FALSE),VLOOKUP($A282,'NonXtal_SegEnds_Prot#'!A:AL,10,FALSE)+7,1)</f>
        <v>I</v>
      </c>
      <c r="U282" s="102" t="str">
        <f>MID(VLOOKUP($A282,Seqs!$A:$B,2,FALSE),VLOOKUP($A282,'NonXtal_SegEnds_Prot#'!A:AL,10,FALSE)+8,1)</f>
        <v>M</v>
      </c>
      <c r="V282" s="102" t="str">
        <f>MID(VLOOKUP($A282,Seqs!$A:$B,2,FALSE),VLOOKUP($A282,'NonXtal_SegEnds_Prot#'!A:AL,10,FALSE)+9,1)</f>
        <v>P</v>
      </c>
      <c r="W282" s="71" t="str">
        <f>MID(VLOOKUP($A282,Seqs!$A:$B,2,FALSE),VLOOKUP($A282,'NonXtal_SegEnds_Prot#'!$A:$AL,22,FALSE)+6,1)</f>
        <v>F</v>
      </c>
      <c r="X282" s="102" t="str">
        <f>MID(VLOOKUP($A282,Seqs!$A:$B,2,FALSE),VLOOKUP($A282,'NonXtal_SegEnds_Prot#'!$A:$AL,22,FALSE)+7,1)</f>
        <v>A</v>
      </c>
      <c r="Y282" s="102" t="str">
        <f>MID(VLOOKUP($A282,Seqs!$A:$B,2,FALSE),VLOOKUP($A282,'NonXtal_SegEnds_Prot#'!$A:$AL,22,FALSE)+8,1)</f>
        <v>F</v>
      </c>
      <c r="Z282" s="102" t="str">
        <f>MID(VLOOKUP($A282,Seqs!$A:$B,2,FALSE),VLOOKUP($A282,'NonXtal_SegEnds_Prot#'!$A:$AL,22,FALSE)+9,1)</f>
        <v>G</v>
      </c>
      <c r="AA282" s="102" t="str">
        <f>MID(VLOOKUP($A282,Seqs!$A:$B,2,FALSE),VLOOKUP($A282,'NonXtal_SegEnds_Prot#'!$A:$AL,22,FALSE)+10,1)</f>
        <v>V</v>
      </c>
      <c r="AB282" s="71" t="str">
        <f>MID(VLOOKUP($A282,Seqs!$A:$B,2,FALSE),VLOOKUP($A282,'NonXtal_SegEnds_Prot#'!$A:$AL,28,FALSE)-4,1)</f>
        <v>G</v>
      </c>
      <c r="AC282" s="102" t="str">
        <f>MID(VLOOKUP($A282,Seqs!$A:$B,2,FALSE),VLOOKUP($A282,'NonXtal_SegEnds_Prot#'!$A:$AL,28,FALSE),1)</f>
        <v>P</v>
      </c>
    </row>
    <row r="283" spans="1:29" s="2" customFormat="1" x14ac:dyDescent="0.2">
      <c r="A283" s="2" t="s">
        <v>583</v>
      </c>
      <c r="B283" s="2" t="str">
        <f>LOWER(VLOOKUP(A283,Xtal_Templ!A:B,2,FALSE))</f>
        <v>5ht1b_human</v>
      </c>
      <c r="C283" s="2" t="str">
        <f>VLOOKUP(A283,Classification!A:D,2,FALSE)</f>
        <v>A</v>
      </c>
      <c r="E283" s="2" t="s">
        <v>20</v>
      </c>
      <c r="N283" s="2" t="s">
        <v>43</v>
      </c>
      <c r="P283" s="4" t="s">
        <v>51</v>
      </c>
      <c r="R283" s="71" t="str">
        <f>MID(VLOOKUP($A283,Seqs!$A:$B,2,FALSE),VLOOKUP($A283,'NonXtal_SegEnds_Prot#'!A:AL,10,FALSE),1)</f>
        <v>D</v>
      </c>
      <c r="S283" s="102" t="str">
        <f>MID(VLOOKUP($A283,Seqs!$A:$B,2,FALSE),VLOOKUP($A283,'NonXtal_SegEnds_Prot#'!A:AL,10,FALSE)+6,1)</f>
        <v>V</v>
      </c>
      <c r="T283" s="102" t="str">
        <f>MID(VLOOKUP($A283,Seqs!$A:$B,2,FALSE),VLOOKUP($A283,'NonXtal_SegEnds_Prot#'!A:AL,10,FALSE)+7,1)</f>
        <v>I</v>
      </c>
      <c r="U283" s="102" t="str">
        <f>MID(VLOOKUP($A283,Seqs!$A:$B,2,FALSE),VLOOKUP($A283,'NonXtal_SegEnds_Prot#'!A:AL,10,FALSE)+8,1)</f>
        <v>M</v>
      </c>
      <c r="V283" s="102" t="str">
        <f>MID(VLOOKUP($A283,Seqs!$A:$B,2,FALSE),VLOOKUP($A283,'NonXtal_SegEnds_Prot#'!A:AL,10,FALSE)+9,1)</f>
        <v>P</v>
      </c>
      <c r="W283" s="71" t="str">
        <f>MID(VLOOKUP($A283,Seqs!$A:$B,2,FALSE),VLOOKUP($A283,'NonXtal_SegEnds_Prot#'!$A:$AL,22,FALSE)+6,1)</f>
        <v>F</v>
      </c>
      <c r="X283" s="102" t="str">
        <f>MID(VLOOKUP($A283,Seqs!$A:$B,2,FALSE),VLOOKUP($A283,'NonXtal_SegEnds_Prot#'!$A:$AL,22,FALSE)+7,1)</f>
        <v>S</v>
      </c>
      <c r="Y283" s="102" t="str">
        <f>MID(VLOOKUP($A283,Seqs!$A:$B,2,FALSE),VLOOKUP($A283,'NonXtal_SegEnds_Prot#'!$A:$AL,22,FALSE)+8,1)</f>
        <v>F</v>
      </c>
      <c r="Z283" s="102" t="str">
        <f>MID(VLOOKUP($A283,Seqs!$A:$B,2,FALSE),VLOOKUP($A283,'NonXtal_SegEnds_Prot#'!$A:$AL,22,FALSE)+9,1)</f>
        <v>G</v>
      </c>
      <c r="AA283" s="102" t="str">
        <f>MID(VLOOKUP($A283,Seqs!$A:$B,2,FALSE),VLOOKUP($A283,'NonXtal_SegEnds_Prot#'!$A:$AL,22,FALSE)+10,1)</f>
        <v>L</v>
      </c>
      <c r="AB283" s="71" t="str">
        <f>MID(VLOOKUP($A283,Seqs!$A:$B,2,FALSE),VLOOKUP($A283,'NonXtal_SegEnds_Prot#'!$A:$AL,28,FALSE)-4,1)</f>
        <v>C</v>
      </c>
      <c r="AC283" s="102" t="str">
        <f>MID(VLOOKUP($A283,Seqs!$A:$B,2,FALSE),VLOOKUP($A283,'NonXtal_SegEnds_Prot#'!$A:$AL,28,FALSE),1)</f>
        <v>P</v>
      </c>
    </row>
    <row r="284" spans="1:29" s="2" customFormat="1" x14ac:dyDescent="0.2">
      <c r="A284" s="2" t="s">
        <v>584</v>
      </c>
      <c r="B284" s="2" t="str">
        <f>LOWER(VLOOKUP(A284,Xtal_Templ!A:B,2,FALSE))</f>
        <v>5ht1b_human</v>
      </c>
      <c r="C284" s="2" t="str">
        <f>VLOOKUP(A284,Classification!A:D,2,FALSE)</f>
        <v>A</v>
      </c>
      <c r="E284" s="2" t="s">
        <v>20</v>
      </c>
      <c r="N284" s="2" t="s">
        <v>43</v>
      </c>
      <c r="P284" s="4" t="s">
        <v>51</v>
      </c>
      <c r="R284" s="71" t="str">
        <f>MID(VLOOKUP($A284,Seqs!$A:$B,2,FALSE),VLOOKUP($A284,'NonXtal_SegEnds_Prot#'!A:AL,10,FALSE),1)</f>
        <v>D</v>
      </c>
      <c r="S284" s="102" t="str">
        <f>MID(VLOOKUP($A284,Seqs!$A:$B,2,FALSE),VLOOKUP($A284,'NonXtal_SegEnds_Prot#'!A:AL,10,FALSE)+6,1)</f>
        <v>L</v>
      </c>
      <c r="T284" s="102" t="str">
        <f>MID(VLOOKUP($A284,Seqs!$A:$B,2,FALSE),VLOOKUP($A284,'NonXtal_SegEnds_Prot#'!A:AL,10,FALSE)+7,1)</f>
        <v>V</v>
      </c>
      <c r="U284" s="102" t="str">
        <f>MID(VLOOKUP($A284,Seqs!$A:$B,2,FALSE),VLOOKUP($A284,'NonXtal_SegEnds_Prot#'!A:AL,10,FALSE)+8,1)</f>
        <v>L</v>
      </c>
      <c r="V284" s="102" t="str">
        <f>MID(VLOOKUP($A284,Seqs!$A:$B,2,FALSE),VLOOKUP($A284,'NonXtal_SegEnds_Prot#'!A:AL,10,FALSE)+9,1)</f>
        <v>P</v>
      </c>
      <c r="W284" s="71" t="str">
        <f>MID(VLOOKUP($A284,Seqs!$A:$B,2,FALSE),VLOOKUP($A284,'NonXtal_SegEnds_Prot#'!$A:$AL,22,FALSE)+6,1)</f>
        <v>Y</v>
      </c>
      <c r="X284" s="102" t="str">
        <f>MID(VLOOKUP($A284,Seqs!$A:$B,2,FALSE),VLOOKUP($A284,'NonXtal_SegEnds_Prot#'!$A:$AL,22,FALSE)+7,1)</f>
        <v>T</v>
      </c>
      <c r="Y284" s="102" t="str">
        <f>MID(VLOOKUP($A284,Seqs!$A:$B,2,FALSE),VLOOKUP($A284,'NonXtal_SegEnds_Prot#'!$A:$AL,22,FALSE)+8,1)</f>
        <v>S</v>
      </c>
      <c r="Z284" s="102" t="str">
        <f>MID(VLOOKUP($A284,Seqs!$A:$B,2,FALSE),VLOOKUP($A284,'NonXtal_SegEnds_Prot#'!$A:$AL,22,FALSE)+9,1)</f>
        <v>L</v>
      </c>
      <c r="AA284" s="102" t="str">
        <f>MID(VLOOKUP($A284,Seqs!$A:$B,2,FALSE),VLOOKUP($A284,'NonXtal_SegEnds_Prot#'!$A:$AL,22,FALSE)+10,1)</f>
        <v>F</v>
      </c>
      <c r="AB284" s="71" t="str">
        <f>MID(VLOOKUP($A284,Seqs!$A:$B,2,FALSE),VLOOKUP($A284,'NonXtal_SegEnds_Prot#'!$A:$AL,28,FALSE)-4,1)</f>
        <v>L</v>
      </c>
      <c r="AC284" s="102" t="str">
        <f>MID(VLOOKUP($A284,Seqs!$A:$B,2,FALSE),VLOOKUP($A284,'NonXtal_SegEnds_Prot#'!$A:$AL,28,FALSE),1)</f>
        <v>P</v>
      </c>
    </row>
    <row r="285" spans="1:29" s="2" customFormat="1" x14ac:dyDescent="0.2">
      <c r="A285" s="2" t="s">
        <v>585</v>
      </c>
      <c r="B285" s="2" t="str">
        <f>LOWER(VLOOKUP(A285,Xtal_Templ!A:B,2,FALSE))</f>
        <v>5ht1b_human</v>
      </c>
      <c r="C285" s="2" t="str">
        <f>VLOOKUP(A285,Classification!A:D,2,FALSE)</f>
        <v>A</v>
      </c>
      <c r="E285" s="2" t="s">
        <v>20</v>
      </c>
      <c r="N285" s="2" t="s">
        <v>43</v>
      </c>
      <c r="P285" s="4" t="s">
        <v>51</v>
      </c>
      <c r="R285" s="71" t="str">
        <f>MID(VLOOKUP($A285,Seqs!$A:$B,2,FALSE),VLOOKUP($A285,'NonXtal_SegEnds_Prot#'!A:AL,10,FALSE),1)</f>
        <v>D</v>
      </c>
      <c r="S285" s="102" t="str">
        <f>MID(VLOOKUP($A285,Seqs!$A:$B,2,FALSE),VLOOKUP($A285,'NonXtal_SegEnds_Prot#'!A:AL,10,FALSE)+6,1)</f>
        <v>T</v>
      </c>
      <c r="T285" s="102" t="str">
        <f>MID(VLOOKUP($A285,Seqs!$A:$B,2,FALSE),VLOOKUP($A285,'NonXtal_SegEnds_Prot#'!A:AL,10,FALSE)+7,1)</f>
        <v>V</v>
      </c>
      <c r="U285" s="102" t="str">
        <f>MID(VLOOKUP($A285,Seqs!$A:$B,2,FALSE),VLOOKUP($A285,'NonXtal_SegEnds_Prot#'!A:AL,10,FALSE)+8,1)</f>
        <v>M</v>
      </c>
      <c r="V285" s="102" t="str">
        <f>MID(VLOOKUP($A285,Seqs!$A:$B,2,FALSE),VLOOKUP($A285,'NonXtal_SegEnds_Prot#'!A:AL,10,FALSE)+9,1)</f>
        <v>P</v>
      </c>
      <c r="W285" s="71" t="str">
        <f>MID(VLOOKUP($A285,Seqs!$A:$B,2,FALSE),VLOOKUP($A285,'NonXtal_SegEnds_Prot#'!$A:$AL,22,FALSE)+6,1)</f>
        <v>Y</v>
      </c>
      <c r="X285" s="102" t="str">
        <f>MID(VLOOKUP($A285,Seqs!$A:$B,2,FALSE),VLOOKUP($A285,'NonXtal_SegEnds_Prot#'!$A:$AL,22,FALSE)+7,1)</f>
        <v>S</v>
      </c>
      <c r="Y285" s="102" t="str">
        <f>MID(VLOOKUP($A285,Seqs!$A:$B,2,FALSE),VLOOKUP($A285,'NonXtal_SegEnds_Prot#'!$A:$AL,22,FALSE)+8,1)</f>
        <v>G</v>
      </c>
      <c r="Z285" s="102" t="str">
        <f>MID(VLOOKUP($A285,Seqs!$A:$B,2,FALSE),VLOOKUP($A285,'NonXtal_SegEnds_Prot#'!$A:$AL,22,FALSE)+9,1)</f>
        <v>A</v>
      </c>
      <c r="AA285" s="102" t="str">
        <f>MID(VLOOKUP($A285,Seqs!$A:$B,2,FALSE),VLOOKUP($A285,'NonXtal_SegEnds_Prot#'!$A:$AL,22,FALSE)+10,1)</f>
        <v>V</v>
      </c>
      <c r="AB285" s="71" t="str">
        <f>MID(VLOOKUP($A285,Seqs!$A:$B,2,FALSE),VLOOKUP($A285,'NonXtal_SegEnds_Prot#'!$A:$AL,28,FALSE)-4,1)</f>
        <v>S</v>
      </c>
      <c r="AC285" s="102" t="str">
        <f>MID(VLOOKUP($A285,Seqs!$A:$B,2,FALSE),VLOOKUP($A285,'NonXtal_SegEnds_Prot#'!$A:$AL,28,FALSE),1)</f>
        <v>P</v>
      </c>
    </row>
    <row r="286" spans="1:29" s="2" customFormat="1" x14ac:dyDescent="0.2">
      <c r="A286" s="2" t="s">
        <v>586</v>
      </c>
      <c r="B286" s="2" t="str">
        <f>LOWER(VLOOKUP(A286,Xtal_Templ!A:B,2,FALSE))</f>
        <v>5ht1b_human</v>
      </c>
      <c r="C286" s="2" t="str">
        <f>VLOOKUP(A286,Classification!A:D,2,FALSE)</f>
        <v>A</v>
      </c>
      <c r="N286" s="2" t="s">
        <v>43</v>
      </c>
      <c r="P286" s="4" t="s">
        <v>51</v>
      </c>
      <c r="R286" s="71" t="str">
        <f>MID(VLOOKUP($A286,Seqs!$A:$B,2,FALSE),VLOOKUP($A286,'NonXtal_SegEnds_Prot#'!A:AL,10,FALSE),1)</f>
        <v>D</v>
      </c>
      <c r="S286" s="102" t="str">
        <f>MID(VLOOKUP($A286,Seqs!$A:$B,2,FALSE),VLOOKUP($A286,'NonXtal_SegEnds_Prot#'!A:AL,10,FALSE)+6,1)</f>
        <v>T</v>
      </c>
      <c r="T286" s="102" t="str">
        <f>MID(VLOOKUP($A286,Seqs!$A:$B,2,FALSE),VLOOKUP($A286,'NonXtal_SegEnds_Prot#'!A:AL,10,FALSE)+7,1)</f>
        <v>V</v>
      </c>
      <c r="U286" s="102" t="str">
        <f>MID(VLOOKUP($A286,Seqs!$A:$B,2,FALSE),VLOOKUP($A286,'NonXtal_SegEnds_Prot#'!A:AL,10,FALSE)+8,1)</f>
        <v>M</v>
      </c>
      <c r="V286" s="102" t="str">
        <f>MID(VLOOKUP($A286,Seqs!$A:$B,2,FALSE),VLOOKUP($A286,'NonXtal_SegEnds_Prot#'!A:AL,10,FALSE)+9,1)</f>
        <v>L</v>
      </c>
      <c r="W286" s="71" t="str">
        <f>MID(VLOOKUP($A286,Seqs!$A:$B,2,FALSE),VLOOKUP($A286,'NonXtal_SegEnds_Prot#'!$A:$AL,22,FALSE)+6,1)</f>
        <v>Y</v>
      </c>
      <c r="X286" s="102" t="str">
        <f>MID(VLOOKUP($A286,Seqs!$A:$B,2,FALSE),VLOOKUP($A286,'NonXtal_SegEnds_Prot#'!$A:$AL,22,FALSE)+7,1)</f>
        <v>S</v>
      </c>
      <c r="Y286" s="102" t="str">
        <f>MID(VLOOKUP($A286,Seqs!$A:$B,2,FALSE),VLOOKUP($A286,'NonXtal_SegEnds_Prot#'!$A:$AL,22,FALSE)+8,1)</f>
        <v>G</v>
      </c>
      <c r="Z286" s="102" t="str">
        <f>MID(VLOOKUP($A286,Seqs!$A:$B,2,FALSE),VLOOKUP($A286,'NonXtal_SegEnds_Prot#'!$A:$AL,22,FALSE)+9,1)</f>
        <v>A</v>
      </c>
      <c r="AA286" s="102" t="str">
        <f>MID(VLOOKUP($A286,Seqs!$A:$B,2,FALSE),VLOOKUP($A286,'NonXtal_SegEnds_Prot#'!$A:$AL,22,FALSE)+10,1)</f>
        <v>V</v>
      </c>
      <c r="AB286" s="71" t="str">
        <f>MID(VLOOKUP($A286,Seqs!$A:$B,2,FALSE),VLOOKUP($A286,'NonXtal_SegEnds_Prot#'!$A:$AL,28,FALSE)-4,1)</f>
        <v>L</v>
      </c>
      <c r="AC286" s="102" t="str">
        <f>MID(VLOOKUP($A286,Seqs!$A:$B,2,FALSE),VLOOKUP($A286,'NonXtal_SegEnds_Prot#'!$A:$AL,28,FALSE),1)</f>
        <v>P</v>
      </c>
    </row>
    <row r="287" spans="1:29" s="2" customFormat="1" x14ac:dyDescent="0.2">
      <c r="A287" s="2" t="s">
        <v>587</v>
      </c>
      <c r="B287" s="2" t="str">
        <f>LOWER(VLOOKUP(A287,Xtal_Templ!A:B,2,FALSE))</f>
        <v>5ht1b_human</v>
      </c>
      <c r="C287" s="2" t="str">
        <f>VLOOKUP(A287,Classification!A:D,2,FALSE)</f>
        <v>A</v>
      </c>
      <c r="E287" s="2" t="s">
        <v>20</v>
      </c>
      <c r="N287" s="2" t="s">
        <v>43</v>
      </c>
      <c r="P287" s="4" t="s">
        <v>51</v>
      </c>
      <c r="R287" s="71" t="str">
        <f>MID(VLOOKUP($A287,Seqs!$A:$B,2,FALSE),VLOOKUP($A287,'NonXtal_SegEnds_Prot#'!A:AL,10,FALSE),1)</f>
        <v>D</v>
      </c>
      <c r="S287" s="102" t="str">
        <f>MID(VLOOKUP($A287,Seqs!$A:$B,2,FALSE),VLOOKUP($A287,'NonXtal_SegEnds_Prot#'!A:AL,10,FALSE)+6,1)</f>
        <v>T</v>
      </c>
      <c r="T287" s="102" t="str">
        <f>MID(VLOOKUP($A287,Seqs!$A:$B,2,FALSE),VLOOKUP($A287,'NonXtal_SegEnds_Prot#'!A:AL,10,FALSE)+7,1)</f>
        <v>V</v>
      </c>
      <c r="U287" s="102" t="str">
        <f>MID(VLOOKUP($A287,Seqs!$A:$B,2,FALSE),VLOOKUP($A287,'NonXtal_SegEnds_Prot#'!A:AL,10,FALSE)+8,1)</f>
        <v>M</v>
      </c>
      <c r="V287" s="102" t="str">
        <f>MID(VLOOKUP($A287,Seqs!$A:$B,2,FALSE),VLOOKUP($A287,'NonXtal_SegEnds_Prot#'!A:AL,10,FALSE)+9,1)</f>
        <v>P</v>
      </c>
      <c r="W287" s="71" t="str">
        <f>MID(VLOOKUP($A287,Seqs!$A:$B,2,FALSE),VLOOKUP($A287,'NonXtal_SegEnds_Prot#'!$A:$AL,22,FALSE)+6,1)</f>
        <v>Y</v>
      </c>
      <c r="X287" s="102" t="str">
        <f>MID(VLOOKUP($A287,Seqs!$A:$B,2,FALSE),VLOOKUP($A287,'NonXtal_SegEnds_Prot#'!$A:$AL,22,FALSE)+7,1)</f>
        <v>S</v>
      </c>
      <c r="Y287" s="102" t="str">
        <f>MID(VLOOKUP($A287,Seqs!$A:$B,2,FALSE),VLOOKUP($A287,'NonXtal_SegEnds_Prot#'!$A:$AL,22,FALSE)+8,1)</f>
        <v>F</v>
      </c>
      <c r="Z287" s="102" t="str">
        <f>MID(VLOOKUP($A287,Seqs!$A:$B,2,FALSE),VLOOKUP($A287,'NonXtal_SegEnds_Prot#'!$A:$AL,22,FALSE)+9,1)</f>
        <v>S</v>
      </c>
      <c r="AA287" s="102" t="str">
        <f>MID(VLOOKUP($A287,Seqs!$A:$B,2,FALSE),VLOOKUP($A287,'NonXtal_SegEnds_Prot#'!$A:$AL,22,FALSE)+10,1)</f>
        <v>I</v>
      </c>
      <c r="AB287" s="71" t="str">
        <f>MID(VLOOKUP($A287,Seqs!$A:$B,2,FALSE),VLOOKUP($A287,'NonXtal_SegEnds_Prot#'!$A:$AL,28,FALSE)-4,1)</f>
        <v>L</v>
      </c>
      <c r="AC287" s="102" t="str">
        <f>MID(VLOOKUP($A287,Seqs!$A:$B,2,FALSE),VLOOKUP($A287,'NonXtal_SegEnds_Prot#'!$A:$AL,28,FALSE),1)</f>
        <v>P</v>
      </c>
    </row>
    <row r="288" spans="1:29" s="2" customFormat="1" x14ac:dyDescent="0.2">
      <c r="A288" s="2" t="s">
        <v>588</v>
      </c>
      <c r="B288" s="2" t="str">
        <f>LOWER(VLOOKUP(A288,Xtal_Templ!A:B,2,FALSE))</f>
        <v>oprx_human</v>
      </c>
      <c r="C288" s="2" t="str">
        <f>VLOOKUP(A288,Classification!A:D,2,FALSE)</f>
        <v>A</v>
      </c>
      <c r="P288" s="4" t="s">
        <v>51</v>
      </c>
      <c r="R288" s="71" t="str">
        <f>MID(VLOOKUP($A288,Seqs!$A:$B,2,FALSE),VLOOKUP($A288,'NonXtal_SegEnds_Prot#'!A:AL,10,FALSE),1)</f>
        <v>D</v>
      </c>
      <c r="S288" s="102" t="str">
        <f>MID(VLOOKUP($A288,Seqs!$A:$B,2,FALSE),VLOOKUP($A288,'NonXtal_SegEnds_Prot#'!A:AL,10,FALSE)+6,1)</f>
        <v>A</v>
      </c>
      <c r="T288" s="102" t="str">
        <f>MID(VLOOKUP($A288,Seqs!$A:$B,2,FALSE),VLOOKUP($A288,'NonXtal_SegEnds_Prot#'!A:AL,10,FALSE)+7,1)</f>
        <v>A</v>
      </c>
      <c r="U288" s="102" t="str">
        <f>MID(VLOOKUP($A288,Seqs!$A:$B,2,FALSE),VLOOKUP($A288,'NonXtal_SegEnds_Prot#'!A:AL,10,FALSE)+8,1)</f>
        <v>G</v>
      </c>
      <c r="V288" s="102" t="str">
        <f>MID(VLOOKUP($A288,Seqs!$A:$B,2,FALSE),VLOOKUP($A288,'NonXtal_SegEnds_Prot#'!A:AL,10,FALSE)+9,1)</f>
        <v>L</v>
      </c>
      <c r="W288" s="71" t="str">
        <f>MID(VLOOKUP($A288,Seqs!$A:$B,2,FALSE),VLOOKUP($A288,'NonXtal_SegEnds_Prot#'!$A:$AL,22,FALSE)+6,1)</f>
        <v>Y</v>
      </c>
      <c r="X288" s="102" t="str">
        <f>MID(VLOOKUP($A288,Seqs!$A:$B,2,FALSE),VLOOKUP($A288,'NonXtal_SegEnds_Prot#'!$A:$AL,22,FALSE)+7,1)</f>
        <v>C</v>
      </c>
      <c r="Y288" s="102" t="str">
        <f>MID(VLOOKUP($A288,Seqs!$A:$B,2,FALSE),VLOOKUP($A288,'NonXtal_SegEnds_Prot#'!$A:$AL,22,FALSE)+8,1)</f>
        <v>M</v>
      </c>
      <c r="Z288" s="102" t="str">
        <f>MID(VLOOKUP($A288,Seqs!$A:$B,2,FALSE),VLOOKUP($A288,'NonXtal_SegEnds_Prot#'!$A:$AL,22,FALSE)+9,1)</f>
        <v>L</v>
      </c>
      <c r="AA288" s="102" t="str">
        <f>MID(VLOOKUP($A288,Seqs!$A:$B,2,FALSE),VLOOKUP($A288,'NonXtal_SegEnds_Prot#'!$A:$AL,22,FALSE)+10,1)</f>
        <v>W</v>
      </c>
      <c r="AB288" s="71" t="str">
        <f>MID(VLOOKUP($A288,Seqs!$A:$B,2,FALSE),VLOOKUP($A288,'NonXtal_SegEnds_Prot#'!$A:$AL,28,FALSE)-4,1)</f>
        <v>F</v>
      </c>
      <c r="AC288" s="102" t="str">
        <f>MID(VLOOKUP($A288,Seqs!$A:$B,2,FALSE),VLOOKUP($A288,'NonXtal_SegEnds_Prot#'!$A:$AL,28,FALSE),1)</f>
        <v>P</v>
      </c>
    </row>
    <row r="289" spans="1:29" s="2" customFormat="1" x14ac:dyDescent="0.2">
      <c r="A289" s="2" t="s">
        <v>589</v>
      </c>
      <c r="B289" s="2" t="str">
        <f>LOWER(VLOOKUP(A289,Xtal_Templ!A:B,2,FALSE))</f>
        <v>aa2ar_human</v>
      </c>
      <c r="C289" s="2" t="str">
        <f>VLOOKUP(A289,Classification!A:D,2,FALSE)</f>
        <v>A</v>
      </c>
      <c r="P289" s="4" t="s">
        <v>51</v>
      </c>
      <c r="R289" s="71" t="str">
        <f>MID(VLOOKUP($A289,Seqs!$A:$B,2,FALSE),VLOOKUP($A289,'NonXtal_SegEnds_Prot#'!A:AL,10,FALSE),1)</f>
        <v>D</v>
      </c>
      <c r="S289" s="102" t="str">
        <f>MID(VLOOKUP($A289,Seqs!$A:$B,2,FALSE),VLOOKUP($A289,'NonXtal_SegEnds_Prot#'!A:AL,10,FALSE)+6,1)</f>
        <v>Y</v>
      </c>
      <c r="T289" s="102" t="str">
        <f>MID(VLOOKUP($A289,Seqs!$A:$B,2,FALSE),VLOOKUP($A289,'NonXtal_SegEnds_Prot#'!A:AL,10,FALSE)+7,1)</f>
        <v>L</v>
      </c>
      <c r="U289" s="102" t="str">
        <f>MID(VLOOKUP($A289,Seqs!$A:$B,2,FALSE),VLOOKUP($A289,'NonXtal_SegEnds_Prot#'!A:AL,10,FALSE)+8,1)</f>
        <v>L</v>
      </c>
      <c r="V289" s="102" t="str">
        <f>MID(VLOOKUP($A289,Seqs!$A:$B,2,FALSE),VLOOKUP($A289,'NonXtal_SegEnds_Prot#'!A:AL,10,FALSE)+9,1)</f>
        <v>L</v>
      </c>
      <c r="W289" s="71" t="str">
        <f>MID(VLOOKUP($A289,Seqs!$A:$B,2,FALSE),VLOOKUP($A289,'NonXtal_SegEnds_Prot#'!$A:$AL,22,FALSE)+6,1)</f>
        <v>L</v>
      </c>
      <c r="X289" s="102" t="str">
        <f>MID(VLOOKUP($A289,Seqs!$A:$B,2,FALSE),VLOOKUP($A289,'NonXtal_SegEnds_Prot#'!$A:$AL,22,FALSE)+7,1)</f>
        <v>A</v>
      </c>
      <c r="Y289" s="102" t="str">
        <f>MID(VLOOKUP($A289,Seqs!$A:$B,2,FALSE),VLOOKUP($A289,'NonXtal_SegEnds_Prot#'!$A:$AL,22,FALSE)+8,1)</f>
        <v>L</v>
      </c>
      <c r="Z289" s="102" t="str">
        <f>MID(VLOOKUP($A289,Seqs!$A:$B,2,FALSE),VLOOKUP($A289,'NonXtal_SegEnds_Prot#'!$A:$AL,22,FALSE)+9,1)</f>
        <v>L</v>
      </c>
      <c r="AA289" s="102" t="str">
        <f>MID(VLOOKUP($A289,Seqs!$A:$B,2,FALSE),VLOOKUP($A289,'NonXtal_SegEnds_Prot#'!$A:$AL,22,FALSE)+10,1)</f>
        <v>P</v>
      </c>
      <c r="AB289" s="71" t="str">
        <f>MID(VLOOKUP($A289,Seqs!$A:$B,2,FALSE),VLOOKUP($A289,'NonXtal_SegEnds_Prot#'!$A:$AL,28,FALSE)-4,1)</f>
        <v>L</v>
      </c>
      <c r="AC289" s="102" t="str">
        <f>MID(VLOOKUP($A289,Seqs!$A:$B,2,FALSE),VLOOKUP($A289,'NonXtal_SegEnds_Prot#'!$A:$AL,28,FALSE),1)</f>
        <v>A</v>
      </c>
    </row>
    <row r="290" spans="1:29" s="2" customFormat="1" x14ac:dyDescent="0.2">
      <c r="A290" s="2" t="s">
        <v>590</v>
      </c>
      <c r="B290" s="2" t="str">
        <f>LOWER(VLOOKUP(A290,Xtal_Templ!A:B,2,FALSE))</f>
        <v>oprx_human</v>
      </c>
      <c r="C290" s="2" t="str">
        <f>VLOOKUP(A290,Classification!A:D,2,FALSE)</f>
        <v>A</v>
      </c>
      <c r="K290" s="2" t="s">
        <v>59</v>
      </c>
      <c r="N290" s="2" t="s">
        <v>43</v>
      </c>
      <c r="P290" s="4" t="s">
        <v>51</v>
      </c>
      <c r="R290" s="71" t="str">
        <f>MID(VLOOKUP($A290,Seqs!$A:$B,2,FALSE),VLOOKUP($A290,'NonXtal_SegEnds_Prot#'!A:AL,10,FALSE),1)</f>
        <v>D</v>
      </c>
      <c r="S290" s="102" t="str">
        <f>MID(VLOOKUP($A290,Seqs!$A:$B,2,FALSE),VLOOKUP($A290,'NonXtal_SegEnds_Prot#'!A:AL,10,FALSE)+6,1)</f>
        <v>S</v>
      </c>
      <c r="T290" s="102" t="str">
        <f>MID(VLOOKUP($A290,Seqs!$A:$B,2,FALSE),VLOOKUP($A290,'NonXtal_SegEnds_Prot#'!A:AL,10,FALSE)+7,1)</f>
        <v>I</v>
      </c>
      <c r="U290" s="102" t="str">
        <f>MID(VLOOKUP($A290,Seqs!$A:$B,2,FALSE),VLOOKUP($A290,'NonXtal_SegEnds_Prot#'!A:AL,10,FALSE)+8,1)</f>
        <v>P</v>
      </c>
      <c r="V290" s="102" t="str">
        <f>MID(VLOOKUP($A290,Seqs!$A:$B,2,FALSE),VLOOKUP($A290,'NonXtal_SegEnds_Prot#'!A:AL,10,FALSE)+9,1)</f>
        <v>F</v>
      </c>
      <c r="W290" s="71" t="str">
        <f>MID(VLOOKUP($A290,Seqs!$A:$B,2,FALSE),VLOOKUP($A290,'NonXtal_SegEnds_Prot#'!$A:$AL,22,FALSE)+6,1)</f>
        <v>L</v>
      </c>
      <c r="X290" s="102" t="str">
        <f>MID(VLOOKUP($A290,Seqs!$A:$B,2,FALSE),VLOOKUP($A290,'NonXtal_SegEnds_Prot#'!$A:$AL,22,FALSE)+7,1)</f>
        <v>T</v>
      </c>
      <c r="Y290" s="102" t="str">
        <f>MID(VLOOKUP($A290,Seqs!$A:$B,2,FALSE),VLOOKUP($A290,'NonXtal_SegEnds_Prot#'!$A:$AL,22,FALSE)+8,1)</f>
        <v>L</v>
      </c>
      <c r="Z290" s="102" t="str">
        <f>MID(VLOOKUP($A290,Seqs!$A:$B,2,FALSE),VLOOKUP($A290,'NonXtal_SegEnds_Prot#'!$A:$AL,22,FALSE)+9,1)</f>
        <v>P</v>
      </c>
      <c r="AA290" s="102" t="str">
        <f>MID(VLOOKUP($A290,Seqs!$A:$B,2,FALSE),VLOOKUP($A290,'NonXtal_SegEnds_Prot#'!$A:$AL,22,FALSE)+10,1)</f>
        <v>V</v>
      </c>
      <c r="AB290" s="71" t="str">
        <f>MID(VLOOKUP($A290,Seqs!$A:$B,2,FALSE),VLOOKUP($A290,'NonXtal_SegEnds_Prot#'!$A:$AL,28,FALSE)-4,1)</f>
        <v>S</v>
      </c>
      <c r="AC290" s="102" t="str">
        <f>MID(VLOOKUP($A290,Seqs!$A:$B,2,FALSE),VLOOKUP($A290,'NonXtal_SegEnds_Prot#'!$A:$AL,28,FALSE),1)</f>
        <v>P</v>
      </c>
    </row>
    <row r="291" spans="1:29" s="2" customFormat="1" x14ac:dyDescent="0.2">
      <c r="A291" s="2" t="s">
        <v>1120</v>
      </c>
      <c r="B291" s="2" t="str">
        <f>LOWER(VLOOKUP(A291,Xtal_Templ!A:B,2,FALSE))</f>
        <v>us28_hcmva</v>
      </c>
      <c r="C291" s="2" t="str">
        <f>VLOOKUP(A291,Classification!A:D,2,FALSE)</f>
        <v>A</v>
      </c>
      <c r="K291" s="2" t="s">
        <v>59</v>
      </c>
      <c r="N291" s="2" t="s">
        <v>43</v>
      </c>
      <c r="P291" s="4" t="s">
        <v>51</v>
      </c>
      <c r="R291" s="71" t="str">
        <f>MID(VLOOKUP($A291,Seqs!$A:$B,2,FALSE),VLOOKUP($A291,'NonXtal_SegEnds_Prot#'!A:AL,10,FALSE),1)</f>
        <v>D</v>
      </c>
      <c r="S291" s="102" t="str">
        <f>MID(VLOOKUP($A291,Seqs!$A:$B,2,FALSE),VLOOKUP($A291,'NonXtal_SegEnds_Prot#'!A:AL,10,FALSE)+6,1)</f>
        <v>T</v>
      </c>
      <c r="T291" s="102" t="str">
        <f>MID(VLOOKUP($A291,Seqs!$A:$B,2,FALSE),VLOOKUP($A291,'NonXtal_SegEnds_Prot#'!A:AL,10,FALSE)+7,1)</f>
        <v>L</v>
      </c>
      <c r="U291" s="102" t="str">
        <f>MID(VLOOKUP($A291,Seqs!$A:$B,2,FALSE),VLOOKUP($A291,'NonXtal_SegEnds_Prot#'!A:AL,10,FALSE)+8,1)</f>
        <v>P</v>
      </c>
      <c r="V291" s="102" t="str">
        <f>MID(VLOOKUP($A291,Seqs!$A:$B,2,FALSE),VLOOKUP($A291,'NonXtal_SegEnds_Prot#'!A:AL,10,FALSE)+9,1)</f>
        <v>L</v>
      </c>
      <c r="W291" s="71" t="str">
        <f>MID(VLOOKUP($A291,Seqs!$A:$B,2,FALSE),VLOOKUP($A291,'NonXtal_SegEnds_Prot#'!$A:$AL,22,FALSE)+6,1)</f>
        <v>I</v>
      </c>
      <c r="X291" s="102" t="str">
        <f>MID(VLOOKUP($A291,Seqs!$A:$B,2,FALSE),VLOOKUP($A291,'NonXtal_SegEnds_Prot#'!$A:$AL,22,FALSE)+7,1)</f>
        <v>A</v>
      </c>
      <c r="Y291" s="102" t="str">
        <f>MID(VLOOKUP($A291,Seqs!$A:$B,2,FALSE),VLOOKUP($A291,'NonXtal_SegEnds_Prot#'!$A:$AL,22,FALSE)+8,1)</f>
        <v>I</v>
      </c>
      <c r="Z291" s="102" t="str">
        <f>MID(VLOOKUP($A291,Seqs!$A:$B,2,FALSE),VLOOKUP($A291,'NonXtal_SegEnds_Prot#'!$A:$AL,22,FALSE)+9,1)</f>
        <v>P</v>
      </c>
      <c r="AA291" s="102" t="str">
        <f>MID(VLOOKUP($A291,Seqs!$A:$B,2,FALSE),VLOOKUP($A291,'NonXtal_SegEnds_Prot#'!$A:$AL,22,FALSE)+10,1)</f>
        <v>H</v>
      </c>
      <c r="AB291" s="71" t="str">
        <f>MID(VLOOKUP($A291,Seqs!$A:$B,2,FALSE),VLOOKUP($A291,'NonXtal_SegEnds_Prot#'!$A:$AL,28,FALSE)-4,1)</f>
        <v>A</v>
      </c>
      <c r="AC291" s="102" t="str">
        <f>MID(VLOOKUP($A291,Seqs!$A:$B,2,FALSE),VLOOKUP($A291,'NonXtal_SegEnds_Prot#'!$A:$AL,28,FALSE),1)</f>
        <v>P</v>
      </c>
    </row>
    <row r="292" spans="1:29" s="2" customFormat="1" x14ac:dyDescent="0.2">
      <c r="A292" s="2" t="s">
        <v>591</v>
      </c>
      <c r="B292" s="2" t="str">
        <f>LOWER(VLOOKUP(A292,Xtal_Templ!A:B,2,FALSE))</f>
        <v>oprm_mouse</v>
      </c>
      <c r="C292" s="2" t="str">
        <f>VLOOKUP(A292,Classification!A:D,2,FALSE)</f>
        <v>A</v>
      </c>
      <c r="N292" s="2" t="s">
        <v>43</v>
      </c>
      <c r="P292" s="4" t="s">
        <v>51</v>
      </c>
      <c r="R292" s="71" t="str">
        <f>MID(VLOOKUP($A292,Seqs!$A:$B,2,FALSE),VLOOKUP($A292,'NonXtal_SegEnds_Prot#'!A:AL,10,FALSE),1)</f>
        <v>D</v>
      </c>
      <c r="S292" s="102" t="str">
        <f>MID(VLOOKUP($A292,Seqs!$A:$B,2,FALSE),VLOOKUP($A292,'NonXtal_SegEnds_Prot#'!A:AL,10,FALSE)+6,1)</f>
        <v>F</v>
      </c>
      <c r="T292" s="102" t="str">
        <f>MID(VLOOKUP($A292,Seqs!$A:$B,2,FALSE),VLOOKUP($A292,'NonXtal_SegEnds_Prot#'!A:AL,10,FALSE)+7,1)</f>
        <v>Q</v>
      </c>
      <c r="U292" s="102" t="str">
        <f>MID(VLOOKUP($A292,Seqs!$A:$B,2,FALSE),VLOOKUP($A292,'NonXtal_SegEnds_Prot#'!A:AL,10,FALSE)+8,1)</f>
        <v>V</v>
      </c>
      <c r="V292" s="102" t="str">
        <f>MID(VLOOKUP($A292,Seqs!$A:$B,2,FALSE),VLOOKUP($A292,'NonXtal_SegEnds_Prot#'!A:AL,10,FALSE)+9,1)</f>
        <v>L</v>
      </c>
      <c r="W292" s="71" t="str">
        <f>MID(VLOOKUP($A292,Seqs!$A:$B,2,FALSE),VLOOKUP($A292,'NonXtal_SegEnds_Prot#'!$A:$AL,22,FALSE)+6,1)</f>
        <v>L</v>
      </c>
      <c r="X292" s="102" t="str">
        <f>MID(VLOOKUP($A292,Seqs!$A:$B,2,FALSE),VLOOKUP($A292,'NonXtal_SegEnds_Prot#'!$A:$AL,22,FALSE)+7,1)</f>
        <v>S</v>
      </c>
      <c r="Y292" s="102" t="str">
        <f>MID(VLOOKUP($A292,Seqs!$A:$B,2,FALSE),VLOOKUP($A292,'NonXtal_SegEnds_Prot#'!$A:$AL,22,FALSE)+8,1)</f>
        <v>T</v>
      </c>
      <c r="Z292" s="102" t="str">
        <f>MID(VLOOKUP($A292,Seqs!$A:$B,2,FALSE),VLOOKUP($A292,'NonXtal_SegEnds_Prot#'!$A:$AL,22,FALSE)+9,1)</f>
        <v>P</v>
      </c>
      <c r="AA292" s="102" t="str">
        <f>MID(VLOOKUP($A292,Seqs!$A:$B,2,FALSE),VLOOKUP($A292,'NonXtal_SegEnds_Prot#'!$A:$AL,22,FALSE)+10,1)</f>
        <v>Q</v>
      </c>
      <c r="AB292" s="71" t="str">
        <f>MID(VLOOKUP($A292,Seqs!$A:$B,2,FALSE),VLOOKUP($A292,'NonXtal_SegEnds_Prot#'!$A:$AL,28,FALSE)-4,1)</f>
        <v>I</v>
      </c>
      <c r="AC292" s="102" t="str">
        <f>MID(VLOOKUP($A292,Seqs!$A:$B,2,FALSE),VLOOKUP($A292,'NonXtal_SegEnds_Prot#'!$A:$AL,28,FALSE),1)</f>
        <v>P</v>
      </c>
    </row>
    <row r="293" spans="1:29" s="2" customFormat="1" x14ac:dyDescent="0.2">
      <c r="A293" s="2" t="s">
        <v>592</v>
      </c>
      <c r="B293" s="2" t="str">
        <f>LOWER(VLOOKUP(A293,Xtal_Templ!A:B,2,FALSE))</f>
        <v>oprx_human</v>
      </c>
      <c r="C293" s="2" t="str">
        <f>VLOOKUP(A293,Classification!A:D,2,FALSE)</f>
        <v>A</v>
      </c>
      <c r="K293" s="2" t="s">
        <v>59</v>
      </c>
      <c r="N293" s="2" t="s">
        <v>43</v>
      </c>
      <c r="P293" s="4" t="s">
        <v>51</v>
      </c>
      <c r="R293" s="71" t="str">
        <f>MID(VLOOKUP($A293,Seqs!$A:$B,2,FALSE),VLOOKUP($A293,'NonXtal_SegEnds_Prot#'!A:AL,10,FALSE),1)</f>
        <v>D</v>
      </c>
      <c r="S293" s="102" t="str">
        <f>MID(VLOOKUP($A293,Seqs!$A:$B,2,FALSE),VLOOKUP($A293,'NonXtal_SegEnds_Prot#'!A:AL,10,FALSE)+6,1)</f>
        <v>F</v>
      </c>
      <c r="T293" s="102" t="str">
        <f>MID(VLOOKUP($A293,Seqs!$A:$B,2,FALSE),VLOOKUP($A293,'NonXtal_SegEnds_Prot#'!A:AL,10,FALSE)+7,1)</f>
        <v>Q</v>
      </c>
      <c r="U293" s="102" t="str">
        <f>MID(VLOOKUP($A293,Seqs!$A:$B,2,FALSE),VLOOKUP($A293,'NonXtal_SegEnds_Prot#'!A:AL,10,FALSE)+8,1)</f>
        <v>V</v>
      </c>
      <c r="V293" s="102" t="str">
        <f>MID(VLOOKUP($A293,Seqs!$A:$B,2,FALSE),VLOOKUP($A293,'NonXtal_SegEnds_Prot#'!A:AL,10,FALSE)+9,1)</f>
        <v>L</v>
      </c>
      <c r="W293" s="71" t="str">
        <f>MID(VLOOKUP($A293,Seqs!$A:$B,2,FALSE),VLOOKUP($A293,'NonXtal_SegEnds_Prot#'!$A:$AL,22,FALSE)+6,1)</f>
        <v>F</v>
      </c>
      <c r="X293" s="102" t="str">
        <f>MID(VLOOKUP($A293,Seqs!$A:$B,2,FALSE),VLOOKUP($A293,'NonXtal_SegEnds_Prot#'!$A:$AL,22,FALSE)+7,1)</f>
        <v>S</v>
      </c>
      <c r="Y293" s="102" t="str">
        <f>MID(VLOOKUP($A293,Seqs!$A:$B,2,FALSE),VLOOKUP($A293,'NonXtal_SegEnds_Prot#'!$A:$AL,22,FALSE)+8,1)</f>
        <v>L</v>
      </c>
      <c r="Z293" s="102" t="str">
        <f>MID(VLOOKUP($A293,Seqs!$A:$B,2,FALSE),VLOOKUP($A293,'NonXtal_SegEnds_Prot#'!$A:$AL,22,FALSE)+9,1)</f>
        <v>P</v>
      </c>
      <c r="AA293" s="102" t="str">
        <f>MID(VLOOKUP($A293,Seqs!$A:$B,2,FALSE),VLOOKUP($A293,'NonXtal_SegEnds_Prot#'!$A:$AL,22,FALSE)+10,1)</f>
        <v>Q</v>
      </c>
      <c r="AB293" s="71" t="str">
        <f>MID(VLOOKUP($A293,Seqs!$A:$B,2,FALSE),VLOOKUP($A293,'NonXtal_SegEnds_Prot#'!$A:$AL,28,FALSE)-4,1)</f>
        <v>I</v>
      </c>
      <c r="AC293" s="102" t="str">
        <f>MID(VLOOKUP($A293,Seqs!$A:$B,2,FALSE),VLOOKUP($A293,'NonXtal_SegEnds_Prot#'!$A:$AL,28,FALSE),1)</f>
        <v>P</v>
      </c>
    </row>
    <row r="294" spans="1:29" s="2" customFormat="1" x14ac:dyDescent="0.2">
      <c r="A294" s="2" t="s">
        <v>593</v>
      </c>
      <c r="B294" s="2" t="str">
        <f>LOWER(VLOOKUP(A294,Xtal_Templ!A:B,2,FALSE))</f>
        <v>oprx_human</v>
      </c>
      <c r="C294" s="2" t="str">
        <f>VLOOKUP(A294,Classification!A:D,2,FALSE)</f>
        <v>A</v>
      </c>
      <c r="K294" s="2" t="s">
        <v>59</v>
      </c>
      <c r="N294" s="2" t="s">
        <v>43</v>
      </c>
      <c r="P294" s="4" t="s">
        <v>51</v>
      </c>
      <c r="R294" s="71" t="str">
        <f>MID(VLOOKUP($A294,Seqs!$A:$B,2,FALSE),VLOOKUP($A294,'NonXtal_SegEnds_Prot#'!A:AL,10,FALSE),1)</f>
        <v>D</v>
      </c>
      <c r="S294" s="102" t="str">
        <f>MID(VLOOKUP($A294,Seqs!$A:$B,2,FALSE),VLOOKUP($A294,'NonXtal_SegEnds_Prot#'!A:AL,10,FALSE)+6,1)</f>
        <v>F</v>
      </c>
      <c r="T294" s="102" t="str">
        <f>MID(VLOOKUP($A294,Seqs!$A:$B,2,FALSE),VLOOKUP($A294,'NonXtal_SegEnds_Prot#'!A:AL,10,FALSE)+7,1)</f>
        <v>Q</v>
      </c>
      <c r="U294" s="102" t="str">
        <f>MID(VLOOKUP($A294,Seqs!$A:$B,2,FALSE),VLOOKUP($A294,'NonXtal_SegEnds_Prot#'!A:AL,10,FALSE)+8,1)</f>
        <v>V</v>
      </c>
      <c r="V294" s="102" t="str">
        <f>MID(VLOOKUP($A294,Seqs!$A:$B,2,FALSE),VLOOKUP($A294,'NonXtal_SegEnds_Prot#'!A:AL,10,FALSE)+9,1)</f>
        <v>L</v>
      </c>
      <c r="W294" s="71" t="str">
        <f>MID(VLOOKUP($A294,Seqs!$A:$B,2,FALSE),VLOOKUP($A294,'NonXtal_SegEnds_Prot#'!$A:$AL,22,FALSE)+6,1)</f>
        <v>L</v>
      </c>
      <c r="X294" s="102" t="str">
        <f>MID(VLOOKUP($A294,Seqs!$A:$B,2,FALSE),VLOOKUP($A294,'NonXtal_SegEnds_Prot#'!$A:$AL,22,FALSE)+7,1)</f>
        <v>S</v>
      </c>
      <c r="Y294" s="102" t="str">
        <f>MID(VLOOKUP($A294,Seqs!$A:$B,2,FALSE),VLOOKUP($A294,'NonXtal_SegEnds_Prot#'!$A:$AL,22,FALSE)+8,1)</f>
        <v>L</v>
      </c>
      <c r="Z294" s="102" t="str">
        <f>MID(VLOOKUP($A294,Seqs!$A:$B,2,FALSE),VLOOKUP($A294,'NonXtal_SegEnds_Prot#'!$A:$AL,22,FALSE)+9,1)</f>
        <v>P</v>
      </c>
      <c r="AA294" s="102" t="str">
        <f>MID(VLOOKUP($A294,Seqs!$A:$B,2,FALSE),VLOOKUP($A294,'NonXtal_SegEnds_Prot#'!$A:$AL,22,FALSE)+10,1)</f>
        <v>Q</v>
      </c>
      <c r="AB294" s="71" t="str">
        <f>MID(VLOOKUP($A294,Seqs!$A:$B,2,FALSE),VLOOKUP($A294,'NonXtal_SegEnds_Prot#'!$A:$AL,28,FALSE)-4,1)</f>
        <v>V</v>
      </c>
      <c r="AC294" s="102" t="str">
        <f>MID(VLOOKUP($A294,Seqs!$A:$B,2,FALSE),VLOOKUP($A294,'NonXtal_SegEnds_Prot#'!$A:$AL,28,FALSE),1)</f>
        <v>P</v>
      </c>
    </row>
    <row r="295" spans="1:29" s="2" customFormat="1" x14ac:dyDescent="0.2">
      <c r="A295" s="2" t="s">
        <v>594</v>
      </c>
      <c r="B295" s="2" t="str">
        <f>LOWER(VLOOKUP(A295,Xtal_Templ!A:B,2,FALSE))</f>
        <v>ccr5_human</v>
      </c>
      <c r="C295" s="2" t="str">
        <f>VLOOKUP(A295,Classification!A:D,2,FALSE)</f>
        <v>A</v>
      </c>
      <c r="P295" s="4" t="s">
        <v>51</v>
      </c>
      <c r="R295" s="71" t="str">
        <f>MID(VLOOKUP($A295,Seqs!$A:$B,2,FALSE),VLOOKUP($A295,'NonXtal_SegEnds_Prot#'!A:AL,10,FALSE),1)</f>
        <v>D</v>
      </c>
      <c r="S295" s="102" t="str">
        <f>MID(VLOOKUP($A295,Seqs!$A:$B,2,FALSE),VLOOKUP($A295,'NonXtal_SegEnds_Prot#'!A:AL,10,FALSE)+6,1)</f>
        <v>L</v>
      </c>
      <c r="T295" s="102" t="str">
        <f>MID(VLOOKUP($A295,Seqs!$A:$B,2,FALSE),VLOOKUP($A295,'NonXtal_SegEnds_Prot#'!A:AL,10,FALSE)+7,1)</f>
        <v>L</v>
      </c>
      <c r="U295" s="102" t="str">
        <f>MID(VLOOKUP($A295,Seqs!$A:$B,2,FALSE),VLOOKUP($A295,'NonXtal_SegEnds_Prot#'!A:AL,10,FALSE)+8,1)</f>
        <v>P</v>
      </c>
      <c r="V295" s="102" t="str">
        <f>MID(VLOOKUP($A295,Seqs!$A:$B,2,FALSE),VLOOKUP($A295,'NonXtal_SegEnds_Prot#'!A:AL,10,FALSE)+9,1)</f>
        <v>V</v>
      </c>
      <c r="W295" s="71" t="str">
        <f>MID(VLOOKUP($A295,Seqs!$A:$B,2,FALSE),VLOOKUP($A295,'NonXtal_SegEnds_Prot#'!$A:$AL,22,FALSE)+6,1)</f>
        <v>S</v>
      </c>
      <c r="X295" s="102" t="str">
        <f>MID(VLOOKUP($A295,Seqs!$A:$B,2,FALSE),VLOOKUP($A295,'NonXtal_SegEnds_Prot#'!$A:$AL,22,FALSE)+7,1)</f>
        <v>S</v>
      </c>
      <c r="Y295" s="102" t="str">
        <f>MID(VLOOKUP($A295,Seqs!$A:$B,2,FALSE),VLOOKUP($A295,'NonXtal_SegEnds_Prot#'!$A:$AL,22,FALSE)+8,1)</f>
        <v>I</v>
      </c>
      <c r="Z295" s="102" t="str">
        <f>MID(VLOOKUP($A295,Seqs!$A:$B,2,FALSE),VLOOKUP($A295,'NonXtal_SegEnds_Prot#'!$A:$AL,22,FALSE)+9,1)</f>
        <v>L</v>
      </c>
      <c r="AA295" s="102" t="str">
        <f>MID(VLOOKUP($A295,Seqs!$A:$B,2,FALSE),VLOOKUP($A295,'NonXtal_SegEnds_Prot#'!$A:$AL,22,FALSE)+10,1)</f>
        <v>D</v>
      </c>
      <c r="AB295" s="71" t="str">
        <f>MID(VLOOKUP($A295,Seqs!$A:$B,2,FALSE),VLOOKUP($A295,'NonXtal_SegEnds_Prot#'!$A:$AL,28,FALSE)-4,1)</f>
        <v>F</v>
      </c>
      <c r="AC295" s="102" t="str">
        <f>MID(VLOOKUP($A295,Seqs!$A:$B,2,FALSE),VLOOKUP($A295,'NonXtal_SegEnds_Prot#'!$A:$AL,28,FALSE),1)</f>
        <v>S</v>
      </c>
    </row>
    <row r="296" spans="1:29" s="2" customFormat="1" x14ac:dyDescent="0.2">
      <c r="A296" s="2" t="s">
        <v>595</v>
      </c>
      <c r="B296" s="2" t="str">
        <f>LOWER(VLOOKUP(A296,Xtal_Templ!A:B,2,FALSE))</f>
        <v>crfr1_human</v>
      </c>
      <c r="C296" s="2" t="str">
        <f>VLOOKUP(A296,Classification!A:D,2,FALSE)</f>
        <v>B1</v>
      </c>
      <c r="M296" s="2" t="s">
        <v>129</v>
      </c>
      <c r="P296" s="4" t="s">
        <v>51</v>
      </c>
      <c r="R296" s="71" t="str">
        <f>MID(VLOOKUP($A296,Seqs!$A:$B,2,FALSE),VLOOKUP($A296,'NonXtal_SegEnds_Prot#'!A:AL,10,FALSE),1)</f>
        <v>Y</v>
      </c>
      <c r="S296" s="102" t="str">
        <f>MID(VLOOKUP($A296,Seqs!$A:$B,2,FALSE),VLOOKUP($A296,'NonXtal_SegEnds_Prot#'!A:AL,10,FALSE)+6,1)</f>
        <v>I</v>
      </c>
      <c r="T296" s="102" t="str">
        <f>MID(VLOOKUP($A296,Seqs!$A:$B,2,FALSE),VLOOKUP($A296,'NonXtal_SegEnds_Prot#'!A:AL,10,FALSE)+7,1)</f>
        <v>I</v>
      </c>
      <c r="U296" s="102" t="str">
        <f>MID(VLOOKUP($A296,Seqs!$A:$B,2,FALSE),VLOOKUP($A296,'NonXtal_SegEnds_Prot#'!A:AL,10,FALSE)+8,1)</f>
        <v>I</v>
      </c>
      <c r="V296" s="102" t="str">
        <f>MID(VLOOKUP($A296,Seqs!$A:$B,2,FALSE),VLOOKUP($A296,'NonXtal_SegEnds_Prot#'!A:AL,10,FALSE)+9,1)</f>
        <v>I</v>
      </c>
      <c r="W296" s="71" t="str">
        <f>MID(VLOOKUP($A296,Seqs!$A:$B,2,FALSE),VLOOKUP($A296,'NonXtal_SegEnds_Prot#'!$A:$AL,22,FALSE)+6,1)</f>
        <v>P</v>
      </c>
      <c r="X296" s="102" t="str">
        <f>MID(VLOOKUP($A296,Seqs!$A:$B,2,FALSE),VLOOKUP($A296,'NonXtal_SegEnds_Prot#'!$A:$AL,22,FALSE)+7,1)</f>
        <v>T</v>
      </c>
      <c r="Y296" s="102" t="str">
        <f>MID(VLOOKUP($A296,Seqs!$A:$B,2,FALSE),VLOOKUP($A296,'NonXtal_SegEnds_Prot#'!$A:$AL,22,FALSE)+8,1)</f>
        <v>T</v>
      </c>
      <c r="Z296" s="102" t="str">
        <f>MID(VLOOKUP($A296,Seqs!$A:$B,2,FALSE),VLOOKUP($A296,'NonXtal_SegEnds_Prot#'!$A:$AL,22,FALSE)+9,1)</f>
        <v>I</v>
      </c>
      <c r="AA296" s="102" t="str">
        <f>MID(VLOOKUP($A296,Seqs!$A:$B,2,FALSE),VLOOKUP($A296,'NonXtal_SegEnds_Prot#'!$A:$AL,22,FALSE)+10,1)</f>
        <v>H</v>
      </c>
      <c r="AB296" s="71" t="str">
        <f>MID(VLOOKUP($A296,Seqs!$A:$B,2,FALSE),VLOOKUP($A296,'NonXtal_SegEnds_Prot#'!$A:$AL,28,FALSE)-4,1)</f>
        <v>P</v>
      </c>
      <c r="AC296" s="102" t="str">
        <f>MID(VLOOKUP($A296,Seqs!$A:$B,2,FALSE),VLOOKUP($A296,'NonXtal_SegEnds_Prot#'!$A:$AL,28,FALSE),1)</f>
        <v>A</v>
      </c>
    </row>
    <row r="297" spans="1:29" s="2" customFormat="1" x14ac:dyDescent="0.2">
      <c r="A297" s="2" t="s">
        <v>596</v>
      </c>
      <c r="B297" s="2" t="str">
        <f>LOWER(VLOOKUP(A297,Xtal_Templ!A:B,2,FALSE))</f>
        <v>crfr1_human</v>
      </c>
      <c r="C297" s="2" t="str">
        <f>VLOOKUP(A297,Classification!A:D,2,FALSE)</f>
        <v>B1</v>
      </c>
      <c r="M297" s="2" t="s">
        <v>129</v>
      </c>
      <c r="P297" s="4" t="s">
        <v>51</v>
      </c>
      <c r="R297" s="71" t="str">
        <f>MID(VLOOKUP($A297,Seqs!$A:$B,2,FALSE),VLOOKUP($A297,'NonXtal_SegEnds_Prot#'!A:AL,10,FALSE),1)</f>
        <v>F</v>
      </c>
      <c r="S297" s="102" t="str">
        <f>MID(VLOOKUP($A297,Seqs!$A:$B,2,FALSE),VLOOKUP($A297,'NonXtal_SegEnds_Prot#'!A:AL,10,FALSE)+6,1)</f>
        <v>V</v>
      </c>
      <c r="T297" s="102" t="str">
        <f>MID(VLOOKUP($A297,Seqs!$A:$B,2,FALSE),VLOOKUP($A297,'NonXtal_SegEnds_Prot#'!A:AL,10,FALSE)+7,1)</f>
        <v>T</v>
      </c>
      <c r="U297" s="102" t="str">
        <f>MID(VLOOKUP($A297,Seqs!$A:$B,2,FALSE),VLOOKUP($A297,'NonXtal_SegEnds_Prot#'!A:AL,10,FALSE)+8,1)</f>
        <v>I</v>
      </c>
      <c r="V297" s="102" t="str">
        <f>MID(VLOOKUP($A297,Seqs!$A:$B,2,FALSE),VLOOKUP($A297,'NonXtal_SegEnds_Prot#'!A:AL,10,FALSE)+9,1)</f>
        <v>I</v>
      </c>
      <c r="W297" s="71" t="str">
        <f>MID(VLOOKUP($A297,Seqs!$A:$B,2,FALSE),VLOOKUP($A297,'NonXtal_SegEnds_Prot#'!$A:$AL,22,FALSE)+6,1)</f>
        <v>P</v>
      </c>
      <c r="X297" s="102" t="str">
        <f>MID(VLOOKUP($A297,Seqs!$A:$B,2,FALSE),VLOOKUP($A297,'NonXtal_SegEnds_Prot#'!$A:$AL,22,FALSE)+7,1)</f>
        <v>A</v>
      </c>
      <c r="Y297" s="102" t="str">
        <f>MID(VLOOKUP($A297,Seqs!$A:$B,2,FALSE),VLOOKUP($A297,'NonXtal_SegEnds_Prot#'!$A:$AL,22,FALSE)+8,1)</f>
        <v>C</v>
      </c>
      <c r="Z297" s="102" t="str">
        <f>MID(VLOOKUP($A297,Seqs!$A:$B,2,FALSE),VLOOKUP($A297,'NonXtal_SegEnds_Prot#'!$A:$AL,22,FALSE)+9,1)</f>
        <v>I</v>
      </c>
      <c r="AA297" s="102" t="str">
        <f>MID(VLOOKUP($A297,Seqs!$A:$B,2,FALSE),VLOOKUP($A297,'NonXtal_SegEnds_Prot#'!$A:$AL,22,FALSE)+10,1)</f>
        <v>H</v>
      </c>
      <c r="AB297" s="71" t="str">
        <f>MID(VLOOKUP($A297,Seqs!$A:$B,2,FALSE),VLOOKUP($A297,'NonXtal_SegEnds_Prot#'!$A:$AL,28,FALSE)-4,1)</f>
        <v>P</v>
      </c>
      <c r="AC297" s="102" t="str">
        <f>MID(VLOOKUP($A297,Seqs!$A:$B,2,FALSE),VLOOKUP($A297,'NonXtal_SegEnds_Prot#'!$A:$AL,28,FALSE),1)</f>
        <v>A</v>
      </c>
    </row>
    <row r="298" spans="1:29" s="2" customFormat="1" x14ac:dyDescent="0.2">
      <c r="A298" s="2" t="s">
        <v>213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102"/>
      <c r="G298" s="106" t="s">
        <v>169</v>
      </c>
      <c r="H298" s="106" t="s">
        <v>170</v>
      </c>
      <c r="M298" s="2" t="s">
        <v>129</v>
      </c>
      <c r="P298" s="4" t="s">
        <v>51</v>
      </c>
      <c r="R298" s="71" t="str">
        <f>MID(VLOOKUP($A298,Seqs!$A:$B,2,FALSE),VLOOKUP($A298,'NonXtal_SegEnds_Prot#'!A:AL,10,FALSE),1)</f>
        <v>F</v>
      </c>
      <c r="S298" s="102" t="str">
        <f>MID(VLOOKUP($A298,Seqs!$A:$B,2,FALSE),VLOOKUP($A298,'NonXtal_SegEnds_Prot#'!A:AL,10,FALSE)+6,1)</f>
        <v>T</v>
      </c>
      <c r="T298" s="102" t="str">
        <f>MID(VLOOKUP($A298,Seqs!$A:$B,2,FALSE),VLOOKUP($A298,'NonXtal_SegEnds_Prot#'!A:AL,10,FALSE)+7,1)</f>
        <v>W</v>
      </c>
      <c r="U298" s="102" t="str">
        <f>MID(VLOOKUP($A298,Seqs!$A:$B,2,FALSE),VLOOKUP($A298,'NonXtal_SegEnds_Prot#'!A:AL,10,FALSE)+8,1)</f>
        <v>F</v>
      </c>
      <c r="V298" s="102" t="str">
        <f>MID(VLOOKUP($A298,Seqs!$A:$B,2,FALSE),VLOOKUP($A298,'NonXtal_SegEnds_Prot#'!A:AL,10,FALSE)+9,1)</f>
        <v>V</v>
      </c>
      <c r="W298" s="71" t="str">
        <f>MID(VLOOKUP($A298,Seqs!$A:$B,2,FALSE),VLOOKUP($A298,'NonXtal_SegEnds_Prot#'!$A:$AL,22,FALSE)+6,1)</f>
        <v>I</v>
      </c>
      <c r="X298" s="102" t="str">
        <f>MID(VLOOKUP($A298,Seqs!$A:$B,2,FALSE),VLOOKUP($A298,'NonXtal_SegEnds_Prot#'!$A:$AL,22,FALSE)+7,1)</f>
        <v>I</v>
      </c>
      <c r="Y298" s="102" t="str">
        <f>MID(VLOOKUP($A298,Seqs!$A:$B,2,FALSE),VLOOKUP($A298,'NonXtal_SegEnds_Prot#'!$A:$AL,22,FALSE)+8,1)</f>
        <v>V</v>
      </c>
      <c r="Z298" s="102" t="str">
        <f>MID(VLOOKUP($A298,Seqs!$A:$B,2,FALSE),VLOOKUP($A298,'NonXtal_SegEnds_Prot#'!$A:$AL,22,FALSE)+9,1)</f>
        <v>A</v>
      </c>
      <c r="AA298" s="102" t="str">
        <f>MID(VLOOKUP($A298,Seqs!$A:$B,2,FALSE),VLOOKUP($A298,'NonXtal_SegEnds_Prot#'!$A:$AL,22,FALSE)+10,1)</f>
        <v>W</v>
      </c>
      <c r="AB298" s="71" t="str">
        <f>MID(VLOOKUP($A298,Seqs!$A:$B,2,FALSE),VLOOKUP($A298,'NonXtal_SegEnds_Prot#'!$A:$AL,28,FALSE)-4,1)</f>
        <v>P</v>
      </c>
      <c r="AC298" s="102" t="str">
        <f>MID(VLOOKUP($A298,Seqs!$A:$B,2,FALSE),VLOOKUP($A298,'NonXtal_SegEnds_Prot#'!$A:$AL,28,FALSE),1)</f>
        <v>V</v>
      </c>
    </row>
    <row r="299" spans="1:29" s="2" customFormat="1" x14ac:dyDescent="0.2">
      <c r="A299" s="2" t="s">
        <v>597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102"/>
      <c r="M299" s="2" t="s">
        <v>129</v>
      </c>
      <c r="P299" s="4" t="s">
        <v>51</v>
      </c>
      <c r="R299" s="71" t="str">
        <f>MID(VLOOKUP($A299,Seqs!$A:$B,2,FALSE),VLOOKUP($A299,'NonXtal_SegEnds_Prot#'!A:AL,10,FALSE),1)</f>
        <v>F</v>
      </c>
      <c r="S299" s="102" t="str">
        <f>MID(VLOOKUP($A299,Seqs!$A:$B,2,FALSE),VLOOKUP($A299,'NonXtal_SegEnds_Prot#'!A:AL,10,FALSE)+6,1)</f>
        <v>M</v>
      </c>
      <c r="T299" s="102" t="str">
        <f>MID(VLOOKUP($A299,Seqs!$A:$B,2,FALSE),VLOOKUP($A299,'NonXtal_SegEnds_Prot#'!A:AL,10,FALSE)+7,1)</f>
        <v>W</v>
      </c>
      <c r="U299" s="102" t="str">
        <f>MID(VLOOKUP($A299,Seqs!$A:$B,2,FALSE),VLOOKUP($A299,'NonXtal_SegEnds_Prot#'!A:AL,10,FALSE)+8,1)</f>
        <v>F</v>
      </c>
      <c r="V299" s="102" t="str">
        <f>MID(VLOOKUP($A299,Seqs!$A:$B,2,FALSE),VLOOKUP($A299,'NonXtal_SegEnds_Prot#'!A:AL,10,FALSE)+9,1)</f>
        <v>L</v>
      </c>
      <c r="W299" s="71" t="str">
        <f>MID(VLOOKUP($A299,Seqs!$A:$B,2,FALSE),VLOOKUP($A299,'NonXtal_SegEnds_Prot#'!$A:$AL,22,FALSE)+6,1)</f>
        <v>I</v>
      </c>
      <c r="X299" s="102" t="str">
        <f>MID(VLOOKUP($A299,Seqs!$A:$B,2,FALSE),VLOOKUP($A299,'NonXtal_SegEnds_Prot#'!$A:$AL,22,FALSE)+7,1)</f>
        <v>I</v>
      </c>
      <c r="Y299" s="102" t="str">
        <f>MID(VLOOKUP($A299,Seqs!$A:$B,2,FALSE),VLOOKUP($A299,'NonXtal_SegEnds_Prot#'!$A:$AL,22,FALSE)+8,1)</f>
        <v>V</v>
      </c>
      <c r="Z299" s="102" t="str">
        <f>MID(VLOOKUP($A299,Seqs!$A:$B,2,FALSE),VLOOKUP($A299,'NonXtal_SegEnds_Prot#'!$A:$AL,22,FALSE)+9,1)</f>
        <v>A</v>
      </c>
      <c r="AA299" s="102" t="str">
        <f>MID(VLOOKUP($A299,Seqs!$A:$B,2,FALSE),VLOOKUP($A299,'NonXtal_SegEnds_Prot#'!$A:$AL,22,FALSE)+10,1)</f>
        <v>W</v>
      </c>
      <c r="AB299" s="71" t="str">
        <f>MID(VLOOKUP($A299,Seqs!$A:$B,2,FALSE),VLOOKUP($A299,'NonXtal_SegEnds_Prot#'!$A:$AL,28,FALSE)-4,1)</f>
        <v>P</v>
      </c>
      <c r="AC299" s="102" t="str">
        <f>MID(VLOOKUP($A299,Seqs!$A:$B,2,FALSE),VLOOKUP($A299,'NonXtal_SegEnds_Prot#'!$A:$AL,28,FALSE),1)</f>
        <v>V</v>
      </c>
    </row>
    <row r="300" spans="1:29" s="2" customFormat="1" x14ac:dyDescent="0.2">
      <c r="A300" s="2" t="s">
        <v>598</v>
      </c>
      <c r="B300" s="2" t="str">
        <f>LOWER(VLOOKUP(A300,Xtal_Templ!A:B,2,FALSE))</f>
        <v>glr_human</v>
      </c>
      <c r="C300" s="2" t="str">
        <f>VLOOKUP(A300,Classification!A:D,2,FALSE)</f>
        <v>B1</v>
      </c>
      <c r="M300" s="2" t="s">
        <v>1555</v>
      </c>
      <c r="P300" s="4" t="s">
        <v>51</v>
      </c>
      <c r="R300" s="71" t="str">
        <f>MID(VLOOKUP($A300,Seqs!$A:$B,2,FALSE),VLOOKUP($A300,'NonXtal_SegEnds_Prot#'!A:AL,10,FALSE),1)</f>
        <v>F</v>
      </c>
      <c r="S300" s="102" t="str">
        <f>MID(VLOOKUP($A300,Seqs!$A:$B,2,FALSE),VLOOKUP($A300,'NonXtal_SegEnds_Prot#'!A:AL,10,FALSE)+6,1)</f>
        <v>A</v>
      </c>
      <c r="T300" s="102" t="str">
        <f>MID(VLOOKUP($A300,Seqs!$A:$B,2,FALSE),VLOOKUP($A300,'NonXtal_SegEnds_Prot#'!A:AL,10,FALSE)+7,1)</f>
        <v>V</v>
      </c>
      <c r="U300" s="102" t="str">
        <f>MID(VLOOKUP($A300,Seqs!$A:$B,2,FALSE),VLOOKUP($A300,'NonXtal_SegEnds_Prot#'!A:AL,10,FALSE)+8,1)</f>
        <v>F</v>
      </c>
      <c r="V300" s="102" t="str">
        <f>MID(VLOOKUP($A300,Seqs!$A:$B,2,FALSE),VLOOKUP($A300,'NonXtal_SegEnds_Prot#'!A:AL,10,FALSE)+9,1)</f>
        <v>L</v>
      </c>
      <c r="W300" s="71" t="str">
        <f>MID(VLOOKUP($A300,Seqs!$A:$B,2,FALSE),VLOOKUP($A300,'NonXtal_SegEnds_Prot#'!$A:$AL,22,FALSE)+6,1)</f>
        <v>F</v>
      </c>
      <c r="X300" s="102" t="str">
        <f>MID(VLOOKUP($A300,Seqs!$A:$B,2,FALSE),VLOOKUP($A300,'NonXtal_SegEnds_Prot#'!$A:$AL,22,FALSE)+7,1)</f>
        <v>T</v>
      </c>
      <c r="Y300" s="102" t="str">
        <f>MID(VLOOKUP($A300,Seqs!$A:$B,2,FALSE),VLOOKUP($A300,'NonXtal_SegEnds_Prot#'!$A:$AL,22,FALSE)+8,1)</f>
        <v>G</v>
      </c>
      <c r="Z300" s="102" t="str">
        <f>MID(VLOOKUP($A300,Seqs!$A:$B,2,FALSE),VLOOKUP($A300,'NonXtal_SegEnds_Prot#'!$A:$AL,22,FALSE)+9,1)</f>
        <v>T</v>
      </c>
      <c r="AA300" s="102" t="str">
        <f>MID(VLOOKUP($A300,Seqs!$A:$B,2,FALSE),VLOOKUP($A300,'NonXtal_SegEnds_Prot#'!$A:$AL,22,FALSE)+10,1)</f>
        <v>W</v>
      </c>
      <c r="AB300" s="71" t="str">
        <f>MID(VLOOKUP($A300,Seqs!$A:$B,2,FALSE),VLOOKUP($A300,'NonXtal_SegEnds_Prot#'!$A:$AL,28,FALSE)-4,1)</f>
        <v>P</v>
      </c>
      <c r="AC300" s="102" t="str">
        <f>MID(VLOOKUP($A300,Seqs!$A:$B,2,FALSE),VLOOKUP($A300,'NonXtal_SegEnds_Prot#'!$A:$AL,28,FALSE),1)</f>
        <v>S</v>
      </c>
    </row>
    <row r="301" spans="1:29" s="2" customFormat="1" x14ac:dyDescent="0.2">
      <c r="A301" s="2" t="s">
        <v>599</v>
      </c>
      <c r="B301" s="2" t="str">
        <f>LOWER(VLOOKUP(A301,Xtal_Templ!A:B,2,FALSE))</f>
        <v>glr_human</v>
      </c>
      <c r="C301" s="2" t="str">
        <f>VLOOKUP(A301,Classification!A:D,2,FALSE)</f>
        <v>B1</v>
      </c>
      <c r="M301" s="2" t="s">
        <v>1555</v>
      </c>
      <c r="P301" s="4" t="s">
        <v>51</v>
      </c>
      <c r="R301" s="71" t="str">
        <f>MID(VLOOKUP($A301,Seqs!$A:$B,2,FALSE),VLOOKUP($A301,'NonXtal_SegEnds_Prot#'!A:AL,10,FALSE),1)</f>
        <v>F</v>
      </c>
      <c r="S301" s="102" t="str">
        <f>MID(VLOOKUP($A301,Seqs!$A:$B,2,FALSE),VLOOKUP($A301,'NonXtal_SegEnds_Prot#'!A:AL,10,FALSE)+6,1)</f>
        <v>A</v>
      </c>
      <c r="T301" s="102" t="str">
        <f>MID(VLOOKUP($A301,Seqs!$A:$B,2,FALSE),VLOOKUP($A301,'NonXtal_SegEnds_Prot#'!A:AL,10,FALSE)+7,1)</f>
        <v>I</v>
      </c>
      <c r="U301" s="102" t="str">
        <f>MID(VLOOKUP($A301,Seqs!$A:$B,2,FALSE),VLOOKUP($A301,'NonXtal_SegEnds_Prot#'!A:AL,10,FALSE)+8,1)</f>
        <v>L</v>
      </c>
      <c r="V301" s="102" t="str">
        <f>MID(VLOOKUP($A301,Seqs!$A:$B,2,FALSE),VLOOKUP($A301,'NonXtal_SegEnds_Prot#'!A:AL,10,FALSE)+9,1)</f>
        <v>S</v>
      </c>
      <c r="W301" s="71" t="str">
        <f>MID(VLOOKUP($A301,Seqs!$A:$B,2,FALSE),VLOOKUP($A301,'NonXtal_SegEnds_Prot#'!$A:$AL,22,FALSE)+6,1)</f>
        <v>F</v>
      </c>
      <c r="X301" s="102" t="str">
        <f>MID(VLOOKUP($A301,Seqs!$A:$B,2,FALSE),VLOOKUP($A301,'NonXtal_SegEnds_Prot#'!$A:$AL,22,FALSE)+7,1)</f>
        <v>V</v>
      </c>
      <c r="Y301" s="102" t="str">
        <f>MID(VLOOKUP($A301,Seqs!$A:$B,2,FALSE),VLOOKUP($A301,'NonXtal_SegEnds_Prot#'!$A:$AL,22,FALSE)+8,1)</f>
        <v>I</v>
      </c>
      <c r="Z301" s="102" t="str">
        <f>MID(VLOOKUP($A301,Seqs!$A:$B,2,FALSE),VLOOKUP($A301,'NonXtal_SegEnds_Prot#'!$A:$AL,22,FALSE)+9,1)</f>
        <v>P</v>
      </c>
      <c r="AA301" s="102" t="str">
        <f>MID(VLOOKUP($A301,Seqs!$A:$B,2,FALSE),VLOOKUP($A301,'NonXtal_SegEnds_Prot#'!$A:$AL,22,FALSE)+10,1)</f>
        <v>W</v>
      </c>
      <c r="AB301" s="71" t="str">
        <f>MID(VLOOKUP($A301,Seqs!$A:$B,2,FALSE),VLOOKUP($A301,'NonXtal_SegEnds_Prot#'!$A:$AL,28,FALSE)-4,1)</f>
        <v>P</v>
      </c>
      <c r="AC301" s="102" t="str">
        <f>MID(VLOOKUP($A301,Seqs!$A:$B,2,FALSE),VLOOKUP($A301,'NonXtal_SegEnds_Prot#'!$A:$AL,28,FALSE),1)</f>
        <v>T</v>
      </c>
    </row>
    <row r="302" spans="1:29" s="2" customFormat="1" x14ac:dyDescent="0.2">
      <c r="A302" s="2" t="s">
        <v>600</v>
      </c>
      <c r="B302" s="2" t="str">
        <f>LOWER(VLOOKUP(A302,Xtal_Templ!A:B,2,FALSE))</f>
        <v>glr_human</v>
      </c>
      <c r="C302" s="2" t="str">
        <f>VLOOKUP(A302,Classification!A:D,2,FALSE)</f>
        <v>B1</v>
      </c>
      <c r="M302" s="2" t="s">
        <v>1555</v>
      </c>
      <c r="P302" s="4" t="s">
        <v>51</v>
      </c>
      <c r="R302" s="71" t="str">
        <f>MID(VLOOKUP($A302,Seqs!$A:$B,2,FALSE),VLOOKUP($A302,'NonXtal_SegEnds_Prot#'!A:AL,10,FALSE),1)</f>
        <v>F</v>
      </c>
      <c r="S302" s="102" t="str">
        <f>MID(VLOOKUP($A302,Seqs!$A:$B,2,FALSE),VLOOKUP($A302,'NonXtal_SegEnds_Prot#'!A:AL,10,FALSE)+6,1)</f>
        <v>S</v>
      </c>
      <c r="T302" s="102" t="str">
        <f>MID(VLOOKUP($A302,Seqs!$A:$B,2,FALSE),VLOOKUP($A302,'NonXtal_SegEnds_Prot#'!A:AL,10,FALSE)+7,1)</f>
        <v>V</v>
      </c>
      <c r="U302" s="102" t="str">
        <f>MID(VLOOKUP($A302,Seqs!$A:$B,2,FALSE),VLOOKUP($A302,'NonXtal_SegEnds_Prot#'!A:AL,10,FALSE)+8,1)</f>
        <v>F</v>
      </c>
      <c r="V302" s="102" t="str">
        <f>MID(VLOOKUP($A302,Seqs!$A:$B,2,FALSE),VLOOKUP($A302,'NonXtal_SegEnds_Prot#'!A:AL,10,FALSE)+9,1)</f>
        <v>I</v>
      </c>
      <c r="W302" s="71" t="str">
        <f>MID(VLOOKUP($A302,Seqs!$A:$B,2,FALSE),VLOOKUP($A302,'NonXtal_SegEnds_Prot#'!$A:$AL,22,FALSE)+6,1)</f>
        <v>F</v>
      </c>
      <c r="X302" s="102" t="str">
        <f>MID(VLOOKUP($A302,Seqs!$A:$B,2,FALSE),VLOOKUP($A302,'NonXtal_SegEnds_Prot#'!$A:$AL,22,FALSE)+7,1)</f>
        <v>V</v>
      </c>
      <c r="Y302" s="102" t="str">
        <f>MID(VLOOKUP($A302,Seqs!$A:$B,2,FALSE),VLOOKUP($A302,'NonXtal_SegEnds_Prot#'!$A:$AL,22,FALSE)+8,1)</f>
        <v>V</v>
      </c>
      <c r="Z302" s="102" t="str">
        <f>MID(VLOOKUP($A302,Seqs!$A:$B,2,FALSE),VLOOKUP($A302,'NonXtal_SegEnds_Prot#'!$A:$AL,22,FALSE)+9,1)</f>
        <v>P</v>
      </c>
      <c r="AA302" s="102" t="str">
        <f>MID(VLOOKUP($A302,Seqs!$A:$B,2,FALSE),VLOOKUP($A302,'NonXtal_SegEnds_Prot#'!$A:$AL,22,FALSE)+10,1)</f>
        <v>W</v>
      </c>
      <c r="AB302" s="71" t="str">
        <f>MID(VLOOKUP($A302,Seqs!$A:$B,2,FALSE),VLOOKUP($A302,'NonXtal_SegEnds_Prot#'!$A:$AL,28,FALSE)-4,1)</f>
        <v>P</v>
      </c>
      <c r="AC302" s="102" t="str">
        <f>MID(VLOOKUP($A302,Seqs!$A:$B,2,FALSE),VLOOKUP($A302,'NonXtal_SegEnds_Prot#'!$A:$AL,28,FALSE),1)</f>
        <v>A</v>
      </c>
    </row>
    <row r="303" spans="1:29" s="2" customFormat="1" x14ac:dyDescent="0.2">
      <c r="A303" s="2" t="s">
        <v>601</v>
      </c>
      <c r="B303" s="2" t="str">
        <f>LOWER(VLOOKUP(A303,Xtal_Templ!A:B,2,FALSE))</f>
        <v>glr_human</v>
      </c>
      <c r="C303" s="2" t="str">
        <f>VLOOKUP(A303,Classification!A:D,2,FALSE)</f>
        <v>B1</v>
      </c>
      <c r="M303" s="2" t="s">
        <v>1555</v>
      </c>
      <c r="P303" s="4" t="s">
        <v>51</v>
      </c>
      <c r="R303" s="71" t="str">
        <f>MID(VLOOKUP($A303,Seqs!$A:$B,2,FALSE),VLOOKUP($A303,'NonXtal_SegEnds_Prot#'!A:AL,10,FALSE),1)</f>
        <v>F</v>
      </c>
      <c r="S303" s="102" t="str">
        <f>MID(VLOOKUP($A303,Seqs!$A:$B,2,FALSE),VLOOKUP($A303,'NonXtal_SegEnds_Prot#'!A:AL,10,FALSE)+6,1)</f>
        <v>A</v>
      </c>
      <c r="T303" s="102" t="str">
        <f>MID(VLOOKUP($A303,Seqs!$A:$B,2,FALSE),VLOOKUP($A303,'NonXtal_SegEnds_Prot#'!A:AL,10,FALSE)+7,1)</f>
        <v>V</v>
      </c>
      <c r="U303" s="102" t="str">
        <f>MID(VLOOKUP($A303,Seqs!$A:$B,2,FALSE),VLOOKUP($A303,'NonXtal_SegEnds_Prot#'!A:AL,10,FALSE)+8,1)</f>
        <v>L</v>
      </c>
      <c r="V303" s="102" t="str">
        <f>MID(VLOOKUP($A303,Seqs!$A:$B,2,FALSE),VLOOKUP($A303,'NonXtal_SegEnds_Prot#'!A:AL,10,FALSE)+9,1)</f>
        <v>V</v>
      </c>
      <c r="W303" s="71" t="str">
        <f>MID(VLOOKUP($A303,Seqs!$A:$B,2,FALSE),VLOOKUP($A303,'NonXtal_SegEnds_Prot#'!$A:$AL,22,FALSE)+6,1)</f>
        <v>F</v>
      </c>
      <c r="X303" s="102" t="str">
        <f>MID(VLOOKUP($A303,Seqs!$A:$B,2,FALSE),VLOOKUP($A303,'NonXtal_SegEnds_Prot#'!$A:$AL,22,FALSE)+7,1)</f>
        <v>V</v>
      </c>
      <c r="Y303" s="102" t="str">
        <f>MID(VLOOKUP($A303,Seqs!$A:$B,2,FALSE),VLOOKUP($A303,'NonXtal_SegEnds_Prot#'!$A:$AL,22,FALSE)+8,1)</f>
        <v>V</v>
      </c>
      <c r="Z303" s="102" t="str">
        <f>MID(VLOOKUP($A303,Seqs!$A:$B,2,FALSE),VLOOKUP($A303,'NonXtal_SegEnds_Prot#'!$A:$AL,22,FALSE)+9,1)</f>
        <v>P</v>
      </c>
      <c r="AA303" s="102" t="str">
        <f>MID(VLOOKUP($A303,Seqs!$A:$B,2,FALSE),VLOOKUP($A303,'NonXtal_SegEnds_Prot#'!$A:$AL,22,FALSE)+10,1)</f>
        <v>W</v>
      </c>
      <c r="AB303" s="71" t="str">
        <f>MID(VLOOKUP($A303,Seqs!$A:$B,2,FALSE),VLOOKUP($A303,'NonXtal_SegEnds_Prot#'!$A:$AL,28,FALSE)-4,1)</f>
        <v>P</v>
      </c>
      <c r="AC303" s="102" t="str">
        <f>MID(VLOOKUP($A303,Seqs!$A:$B,2,FALSE),VLOOKUP($A303,'NonXtal_SegEnds_Prot#'!$A:$AL,28,FALSE),1)</f>
        <v>C</v>
      </c>
    </row>
    <row r="304" spans="1:29" s="2" customFormat="1" x14ac:dyDescent="0.2">
      <c r="A304" s="2" t="s">
        <v>206</v>
      </c>
      <c r="B304" s="2" t="str">
        <f>LOWER(VLOOKUP(A304,Xtal_Templ!A:B,2,FALSE))</f>
        <v>glr_human</v>
      </c>
      <c r="C304" s="2" t="str">
        <f>VLOOKUP(A304,Classification!A:D,2,FALSE)</f>
        <v>B1</v>
      </c>
      <c r="M304" s="2" t="s">
        <v>1555</v>
      </c>
      <c r="P304" s="4" t="s">
        <v>51</v>
      </c>
      <c r="R304" s="71" t="str">
        <f>MID(VLOOKUP($A304,Seqs!$A:$B,2,FALSE),VLOOKUP($A304,'NonXtal_SegEnds_Prot#'!A:AL,10,FALSE),1)</f>
        <v>F</v>
      </c>
      <c r="S304" s="102" t="str">
        <f>MID(VLOOKUP($A304,Seqs!$A:$B,2,FALSE),VLOOKUP($A304,'NonXtal_SegEnds_Prot#'!A:AL,10,FALSE)+6,1)</f>
        <v>S</v>
      </c>
      <c r="T304" s="102" t="str">
        <f>MID(VLOOKUP($A304,Seqs!$A:$B,2,FALSE),VLOOKUP($A304,'NonXtal_SegEnds_Prot#'!A:AL,10,FALSE)+7,1)</f>
        <v>V</v>
      </c>
      <c r="U304" s="102" t="str">
        <f>MID(VLOOKUP($A304,Seqs!$A:$B,2,FALSE),VLOOKUP($A304,'NonXtal_SegEnds_Prot#'!A:AL,10,FALSE)+8,1)</f>
        <v>L</v>
      </c>
      <c r="V304" s="102" t="str">
        <f>MID(VLOOKUP($A304,Seqs!$A:$B,2,FALSE),VLOOKUP($A304,'NonXtal_SegEnds_Prot#'!A:AL,10,FALSE)+9,1)</f>
        <v>V</v>
      </c>
      <c r="W304" s="71" t="str">
        <f>MID(VLOOKUP($A304,Seqs!$A:$B,2,FALSE),VLOOKUP($A304,'NonXtal_SegEnds_Prot#'!$A:$AL,22,FALSE)+6,1)</f>
        <v>F</v>
      </c>
      <c r="X304" s="102" t="str">
        <f>MID(VLOOKUP($A304,Seqs!$A:$B,2,FALSE),VLOOKUP($A304,'NonXtal_SegEnds_Prot#'!$A:$AL,22,FALSE)+7,1)</f>
        <v>V</v>
      </c>
      <c r="Y304" s="102" t="str">
        <f>MID(VLOOKUP($A304,Seqs!$A:$B,2,FALSE),VLOOKUP($A304,'NonXtal_SegEnds_Prot#'!$A:$AL,22,FALSE)+8,1)</f>
        <v>V</v>
      </c>
      <c r="Z304" s="102" t="str">
        <f>MID(VLOOKUP($A304,Seqs!$A:$B,2,FALSE),VLOOKUP($A304,'NonXtal_SegEnds_Prot#'!$A:$AL,22,FALSE)+9,1)</f>
        <v>P</v>
      </c>
      <c r="AA304" s="102" t="str">
        <f>MID(VLOOKUP($A304,Seqs!$A:$B,2,FALSE),VLOOKUP($A304,'NonXtal_SegEnds_Prot#'!$A:$AL,22,FALSE)+10,1)</f>
        <v>W</v>
      </c>
      <c r="AB304" s="71" t="str">
        <f>MID(VLOOKUP($A304,Seqs!$A:$B,2,FALSE),VLOOKUP($A304,'NonXtal_SegEnds_Prot#'!$A:$AL,28,FALSE)-4,1)</f>
        <v>P</v>
      </c>
      <c r="AC304" s="102" t="str">
        <f>MID(VLOOKUP($A304,Seqs!$A:$B,2,FALSE),VLOOKUP($A304,'NonXtal_SegEnds_Prot#'!$A:$AL,28,FALSE),1)</f>
        <v>A</v>
      </c>
    </row>
    <row r="305" spans="1:29" s="2" customFormat="1" x14ac:dyDescent="0.2">
      <c r="A305" s="2" t="s">
        <v>602</v>
      </c>
      <c r="B305" s="2" t="str">
        <f>LOWER(VLOOKUP(A305,Xtal_Templ!A:B,2,FALSE))</f>
        <v>glr_human</v>
      </c>
      <c r="C305" s="2" t="str">
        <f>VLOOKUP(A305,Classification!A:D,2,FALSE)</f>
        <v>B1</v>
      </c>
      <c r="M305" s="2" t="s">
        <v>1555</v>
      </c>
      <c r="P305" s="4" t="s">
        <v>51</v>
      </c>
      <c r="R305" s="71" t="str">
        <f>MID(VLOOKUP($A305,Seqs!$A:$B,2,FALSE),VLOOKUP($A305,'NonXtal_SegEnds_Prot#'!A:AL,10,FALSE),1)</f>
        <v>F</v>
      </c>
      <c r="S305" s="102" t="str">
        <f>MID(VLOOKUP($A305,Seqs!$A:$B,2,FALSE),VLOOKUP($A305,'NonXtal_SegEnds_Prot#'!A:AL,10,FALSE)+6,1)</f>
        <v>S</v>
      </c>
      <c r="T305" s="102" t="str">
        <f>MID(VLOOKUP($A305,Seqs!$A:$B,2,FALSE),VLOOKUP($A305,'NonXtal_SegEnds_Prot#'!A:AL,10,FALSE)+7,1)</f>
        <v>V</v>
      </c>
      <c r="U305" s="102" t="str">
        <f>MID(VLOOKUP($A305,Seqs!$A:$B,2,FALSE),VLOOKUP($A305,'NonXtal_SegEnds_Prot#'!A:AL,10,FALSE)+8,1)</f>
        <v>F</v>
      </c>
      <c r="V305" s="102" t="str">
        <f>MID(VLOOKUP($A305,Seqs!$A:$B,2,FALSE),VLOOKUP($A305,'NonXtal_SegEnds_Prot#'!A:AL,10,FALSE)+9,1)</f>
        <v>I</v>
      </c>
      <c r="W305" s="71" t="str">
        <f>MID(VLOOKUP($A305,Seqs!$A:$B,2,FALSE),VLOOKUP($A305,'NonXtal_SegEnds_Prot#'!$A:$AL,22,FALSE)+6,1)</f>
        <v>C</v>
      </c>
      <c r="X305" s="102" t="str">
        <f>MID(VLOOKUP($A305,Seqs!$A:$B,2,FALSE),VLOOKUP($A305,'NonXtal_SegEnds_Prot#'!$A:$AL,22,FALSE)+7,1)</f>
        <v>V</v>
      </c>
      <c r="Y305" s="102" t="str">
        <f>MID(VLOOKUP($A305,Seqs!$A:$B,2,FALSE),VLOOKUP($A305,'NonXtal_SegEnds_Prot#'!$A:$AL,22,FALSE)+8,1)</f>
        <v>T</v>
      </c>
      <c r="Z305" s="102" t="str">
        <f>MID(VLOOKUP($A305,Seqs!$A:$B,2,FALSE),VLOOKUP($A305,'NonXtal_SegEnds_Prot#'!$A:$AL,22,FALSE)+9,1)</f>
        <v>V</v>
      </c>
      <c r="AA305" s="102" t="str">
        <f>MID(VLOOKUP($A305,Seqs!$A:$B,2,FALSE),VLOOKUP($A305,'NonXtal_SegEnds_Prot#'!$A:$AL,22,FALSE)+10,1)</f>
        <v>W</v>
      </c>
      <c r="AB305" s="71" t="str">
        <f>MID(VLOOKUP($A305,Seqs!$A:$B,2,FALSE),VLOOKUP($A305,'NonXtal_SegEnds_Prot#'!$A:$AL,28,FALSE)-4,1)</f>
        <v>P</v>
      </c>
      <c r="AC305" s="102" t="str">
        <f>MID(VLOOKUP($A305,Seqs!$A:$B,2,FALSE),VLOOKUP($A305,'NonXtal_SegEnds_Prot#'!$A:$AL,28,FALSE),1)</f>
        <v>S</v>
      </c>
    </row>
    <row r="306" spans="1:29" s="2" customFormat="1" x14ac:dyDescent="0.2">
      <c r="A306" s="2" t="s">
        <v>603</v>
      </c>
      <c r="B306" s="2" t="str">
        <f>LOWER(VLOOKUP(A306,Xtal_Templ!A:B,2,FALSE))</f>
        <v>glr_human</v>
      </c>
      <c r="C306" s="2" t="str">
        <f>VLOOKUP(A306,Classification!A:D,2,FALSE)</f>
        <v>B1</v>
      </c>
      <c r="M306" s="2" t="s">
        <v>1555</v>
      </c>
      <c r="P306" s="4" t="s">
        <v>51</v>
      </c>
      <c r="R306" s="71" t="str">
        <f>MID(VLOOKUP($A306,Seqs!$A:$B,2,FALSE),VLOOKUP($A306,'NonXtal_SegEnds_Prot#'!A:AL,10,FALSE),1)</f>
        <v>F</v>
      </c>
      <c r="S306" s="102" t="str">
        <f>MID(VLOOKUP($A306,Seqs!$A:$B,2,FALSE),VLOOKUP($A306,'NonXtal_SegEnds_Prot#'!A:AL,10,FALSE)+6,1)</f>
        <v>S</v>
      </c>
      <c r="T306" s="102" t="str">
        <f>MID(VLOOKUP($A306,Seqs!$A:$B,2,FALSE),VLOOKUP($A306,'NonXtal_SegEnds_Prot#'!A:AL,10,FALSE)+7,1)</f>
        <v>I</v>
      </c>
      <c r="U306" s="102" t="str">
        <f>MID(VLOOKUP($A306,Seqs!$A:$B,2,FALSE),VLOOKUP($A306,'NonXtal_SegEnds_Prot#'!A:AL,10,FALSE)+8,1)</f>
        <v>F</v>
      </c>
      <c r="V306" s="102" t="str">
        <f>MID(VLOOKUP($A306,Seqs!$A:$B,2,FALSE),VLOOKUP($A306,'NonXtal_SegEnds_Prot#'!A:AL,10,FALSE)+9,1)</f>
        <v>V</v>
      </c>
      <c r="W306" s="71" t="str">
        <f>MID(VLOOKUP($A306,Seqs!$A:$B,2,FALSE),VLOOKUP($A306,'NonXtal_SegEnds_Prot#'!$A:$AL,22,FALSE)+6,1)</f>
        <v>F</v>
      </c>
      <c r="X306" s="102" t="str">
        <f>MID(VLOOKUP($A306,Seqs!$A:$B,2,FALSE),VLOOKUP($A306,'NonXtal_SegEnds_Prot#'!$A:$AL,22,FALSE)+7,1)</f>
        <v>V</v>
      </c>
      <c r="Y306" s="102" t="str">
        <f>MID(VLOOKUP($A306,Seqs!$A:$B,2,FALSE),VLOOKUP($A306,'NonXtal_SegEnds_Prot#'!$A:$AL,22,FALSE)+8,1)</f>
        <v>A</v>
      </c>
      <c r="Z306" s="102" t="str">
        <f>MID(VLOOKUP($A306,Seqs!$A:$B,2,FALSE),VLOOKUP($A306,'NonXtal_SegEnds_Prot#'!$A:$AL,22,FALSE)+9,1)</f>
        <v>V</v>
      </c>
      <c r="AA306" s="102" t="str">
        <f>MID(VLOOKUP($A306,Seqs!$A:$B,2,FALSE),VLOOKUP($A306,'NonXtal_SegEnds_Prot#'!$A:$AL,22,FALSE)+10,1)</f>
        <v>W</v>
      </c>
      <c r="AB306" s="71" t="str">
        <f>MID(VLOOKUP($A306,Seqs!$A:$B,2,FALSE),VLOOKUP($A306,'NonXtal_SegEnds_Prot#'!$A:$AL,28,FALSE)-4,1)</f>
        <v>P</v>
      </c>
      <c r="AC306" s="102" t="str">
        <f>MID(VLOOKUP($A306,Seqs!$A:$B,2,FALSE),VLOOKUP($A306,'NonXtal_SegEnds_Prot#'!$A:$AL,28,FALSE),1)</f>
        <v>S</v>
      </c>
    </row>
    <row r="307" spans="1:29" s="2" customFormat="1" x14ac:dyDescent="0.2">
      <c r="A307" s="2" t="s">
        <v>604</v>
      </c>
      <c r="B307" s="2" t="str">
        <f>LOWER(VLOOKUP(A307,Xtal_Templ!A:B,2,FALSE))</f>
        <v>glr_human</v>
      </c>
      <c r="C307" s="2" t="str">
        <f>VLOOKUP(A307,Classification!A:D,2,FALSE)</f>
        <v>B1</v>
      </c>
      <c r="M307" s="2" t="s">
        <v>1555</v>
      </c>
      <c r="P307" s="4" t="s">
        <v>51</v>
      </c>
      <c r="R307" s="71" t="str">
        <f>MID(VLOOKUP($A307,Seqs!$A:$B,2,FALSE),VLOOKUP($A307,'NonXtal_SegEnds_Prot#'!A:AL,10,FALSE),1)</f>
        <v>F</v>
      </c>
      <c r="S307" s="102" t="str">
        <f>MID(VLOOKUP($A307,Seqs!$A:$B,2,FALSE),VLOOKUP($A307,'NonXtal_SegEnds_Prot#'!A:AL,10,FALSE)+6,1)</f>
        <v>S</v>
      </c>
      <c r="T307" s="102" t="str">
        <f>MID(VLOOKUP($A307,Seqs!$A:$B,2,FALSE),VLOOKUP($A307,'NonXtal_SegEnds_Prot#'!A:AL,10,FALSE)+7,1)</f>
        <v>I</v>
      </c>
      <c r="U307" s="102" t="str">
        <f>MID(VLOOKUP($A307,Seqs!$A:$B,2,FALSE),VLOOKUP($A307,'NonXtal_SegEnds_Prot#'!A:AL,10,FALSE)+8,1)</f>
        <v>F</v>
      </c>
      <c r="V307" s="102" t="str">
        <f>MID(VLOOKUP($A307,Seqs!$A:$B,2,FALSE),VLOOKUP($A307,'NonXtal_SegEnds_Prot#'!A:AL,10,FALSE)+9,1)</f>
        <v>V</v>
      </c>
      <c r="W307" s="71" t="str">
        <f>MID(VLOOKUP($A307,Seqs!$A:$B,2,FALSE),VLOOKUP($A307,'NonXtal_SegEnds_Prot#'!$A:$AL,22,FALSE)+6,1)</f>
        <v>F</v>
      </c>
      <c r="X307" s="102" t="str">
        <f>MID(VLOOKUP($A307,Seqs!$A:$B,2,FALSE),VLOOKUP($A307,'NonXtal_SegEnds_Prot#'!$A:$AL,22,FALSE)+7,1)</f>
        <v>V</v>
      </c>
      <c r="Y307" s="102" t="str">
        <f>MID(VLOOKUP($A307,Seqs!$A:$B,2,FALSE),VLOOKUP($A307,'NonXtal_SegEnds_Prot#'!$A:$AL,22,FALSE)+8,1)</f>
        <v>A</v>
      </c>
      <c r="Z307" s="102" t="str">
        <f>MID(VLOOKUP($A307,Seqs!$A:$B,2,FALSE),VLOOKUP($A307,'NonXtal_SegEnds_Prot#'!$A:$AL,22,FALSE)+9,1)</f>
        <v>A</v>
      </c>
      <c r="AA307" s="102" t="str">
        <f>MID(VLOOKUP($A307,Seqs!$A:$B,2,FALSE),VLOOKUP($A307,'NonXtal_SegEnds_Prot#'!$A:$AL,22,FALSE)+10,1)</f>
        <v>W</v>
      </c>
      <c r="AB307" s="71" t="str">
        <f>MID(VLOOKUP($A307,Seqs!$A:$B,2,FALSE),VLOOKUP($A307,'NonXtal_SegEnds_Prot#'!$A:$AL,28,FALSE)-4,1)</f>
        <v>P</v>
      </c>
      <c r="AC307" s="102" t="str">
        <f>MID(VLOOKUP($A307,Seqs!$A:$B,2,FALSE),VLOOKUP($A307,'NonXtal_SegEnds_Prot#'!$A:$AL,28,FALSE),1)</f>
        <v>A</v>
      </c>
    </row>
    <row r="308" spans="1:29" s="2" customFormat="1" x14ac:dyDescent="0.2">
      <c r="A308" s="2" t="s">
        <v>605</v>
      </c>
      <c r="B308" s="2" t="str">
        <f>LOWER(VLOOKUP(A308,Xtal_Templ!A:B,2,FALSE))</f>
        <v>glr_human</v>
      </c>
      <c r="C308" s="2" t="str">
        <f>VLOOKUP(A308,Classification!A:D,2,FALSE)</f>
        <v>B1</v>
      </c>
      <c r="M308" s="2" t="s">
        <v>1555</v>
      </c>
      <c r="P308" s="4" t="s">
        <v>51</v>
      </c>
      <c r="R308" s="71" t="str">
        <f>MID(VLOOKUP($A308,Seqs!$A:$B,2,FALSE),VLOOKUP($A308,'NonXtal_SegEnds_Prot#'!A:AL,10,FALSE),1)</f>
        <v>F</v>
      </c>
      <c r="S308" s="102" t="str">
        <f>MID(VLOOKUP($A308,Seqs!$A:$B,2,FALSE),VLOOKUP($A308,'NonXtal_SegEnds_Prot#'!A:AL,10,FALSE)+6,1)</f>
        <v>S</v>
      </c>
      <c r="T308" s="102" t="str">
        <f>MID(VLOOKUP($A308,Seqs!$A:$B,2,FALSE),VLOOKUP($A308,'NonXtal_SegEnds_Prot#'!A:AL,10,FALSE)+7,1)</f>
        <v>N</v>
      </c>
      <c r="U308" s="102" t="str">
        <f>MID(VLOOKUP($A308,Seqs!$A:$B,2,FALSE),VLOOKUP($A308,'NonXtal_SegEnds_Prot#'!A:AL,10,FALSE)+8,1)</f>
        <v>F</v>
      </c>
      <c r="V308" s="102" t="str">
        <f>MID(VLOOKUP($A308,Seqs!$A:$B,2,FALSE),VLOOKUP($A308,'NonXtal_SegEnds_Prot#'!A:AL,10,FALSE)+9,1)</f>
        <v>I</v>
      </c>
      <c r="W308" s="71" t="str">
        <f>MID(VLOOKUP($A308,Seqs!$A:$B,2,FALSE),VLOOKUP($A308,'NonXtal_SegEnds_Prot#'!$A:$AL,22,FALSE)+6,1)</f>
        <v>F</v>
      </c>
      <c r="X308" s="102" t="str">
        <f>MID(VLOOKUP($A308,Seqs!$A:$B,2,FALSE),VLOOKUP($A308,'NonXtal_SegEnds_Prot#'!$A:$AL,22,FALSE)+7,1)</f>
        <v>V</v>
      </c>
      <c r="Y308" s="102" t="str">
        <f>MID(VLOOKUP($A308,Seqs!$A:$B,2,FALSE),VLOOKUP($A308,'NonXtal_SegEnds_Prot#'!$A:$AL,22,FALSE)+8,1)</f>
        <v>A</v>
      </c>
      <c r="Z308" s="102" t="str">
        <f>MID(VLOOKUP($A308,Seqs!$A:$B,2,FALSE),VLOOKUP($A308,'NonXtal_SegEnds_Prot#'!$A:$AL,22,FALSE)+9,1)</f>
        <v>L</v>
      </c>
      <c r="AA308" s="102" t="str">
        <f>MID(VLOOKUP($A308,Seqs!$A:$B,2,FALSE),VLOOKUP($A308,'NonXtal_SegEnds_Prot#'!$A:$AL,22,FALSE)+10,1)</f>
        <v>W</v>
      </c>
      <c r="AB308" s="71" t="str">
        <f>MID(VLOOKUP($A308,Seqs!$A:$B,2,FALSE),VLOOKUP($A308,'NonXtal_SegEnds_Prot#'!$A:$AL,28,FALSE)-4,1)</f>
        <v>P</v>
      </c>
      <c r="AC308" s="102" t="str">
        <f>MID(VLOOKUP($A308,Seqs!$A:$B,2,FALSE),VLOOKUP($A308,'NonXtal_SegEnds_Prot#'!$A:$AL,28,FALSE),1)</f>
        <v>S</v>
      </c>
    </row>
    <row r="309" spans="1:29" s="2" customFormat="1" x14ac:dyDescent="0.2">
      <c r="A309" s="2" t="s">
        <v>606</v>
      </c>
      <c r="B309" s="2" t="str">
        <f>LOWER(VLOOKUP(A309,Xtal_Templ!A:B,2,FALSE))</f>
        <v>glr_human</v>
      </c>
      <c r="C309" s="2" t="str">
        <f>VLOOKUP(A309,Classification!A:D,2,FALSE)</f>
        <v>B1</v>
      </c>
      <c r="M309" s="2" t="s">
        <v>1555</v>
      </c>
      <c r="P309" s="4" t="s">
        <v>51</v>
      </c>
      <c r="R309" s="71" t="str">
        <f>MID(VLOOKUP($A309,Seqs!$A:$B,2,FALSE),VLOOKUP($A309,'NonXtal_SegEnds_Prot#'!A:AL,10,FALSE),1)</f>
        <v>F</v>
      </c>
      <c r="S309" s="102" t="str">
        <f>MID(VLOOKUP($A309,Seqs!$A:$B,2,FALSE),VLOOKUP($A309,'NonXtal_SegEnds_Prot#'!A:AL,10,FALSE)+6,1)</f>
        <v>A</v>
      </c>
      <c r="T309" s="102" t="str">
        <f>MID(VLOOKUP($A309,Seqs!$A:$B,2,FALSE),VLOOKUP($A309,'NonXtal_SegEnds_Prot#'!A:AL,10,FALSE)+7,1)</f>
        <v>V</v>
      </c>
      <c r="U309" s="102" t="str">
        <f>MID(VLOOKUP($A309,Seqs!$A:$B,2,FALSE),VLOOKUP($A309,'NonXtal_SegEnds_Prot#'!A:AL,10,FALSE)+8,1)</f>
        <v>F</v>
      </c>
      <c r="V309" s="102" t="str">
        <f>MID(VLOOKUP($A309,Seqs!$A:$B,2,FALSE),VLOOKUP($A309,'NonXtal_SegEnds_Prot#'!A:AL,10,FALSE)+9,1)</f>
        <v>I</v>
      </c>
      <c r="W309" s="71" t="str">
        <f>MID(VLOOKUP($A309,Seqs!$A:$B,2,FALSE),VLOOKUP($A309,'NonXtal_SegEnds_Prot#'!$A:$AL,22,FALSE)+6,1)</f>
        <v>F</v>
      </c>
      <c r="X309" s="102" t="str">
        <f>MID(VLOOKUP($A309,Seqs!$A:$B,2,FALSE),VLOOKUP($A309,'NonXtal_SegEnds_Prot#'!$A:$AL,22,FALSE)+7,1)</f>
        <v>T</v>
      </c>
      <c r="Y309" s="102" t="str">
        <f>MID(VLOOKUP($A309,Seqs!$A:$B,2,FALSE),VLOOKUP($A309,'NonXtal_SegEnds_Prot#'!$A:$AL,22,FALSE)+8,1)</f>
        <v>M</v>
      </c>
      <c r="Z309" s="102" t="str">
        <f>MID(VLOOKUP($A309,Seqs!$A:$B,2,FALSE),VLOOKUP($A309,'NonXtal_SegEnds_Prot#'!$A:$AL,22,FALSE)+9,1)</f>
        <v>V</v>
      </c>
      <c r="AA309" s="102" t="str">
        <f>MID(VLOOKUP($A309,Seqs!$A:$B,2,FALSE),VLOOKUP($A309,'NonXtal_SegEnds_Prot#'!$A:$AL,22,FALSE)+10,1)</f>
        <v>W</v>
      </c>
      <c r="AB309" s="71" t="str">
        <f>MID(VLOOKUP($A309,Seqs!$A:$B,2,FALSE),VLOOKUP($A309,'NonXtal_SegEnds_Prot#'!$A:$AL,28,FALSE)-4,1)</f>
        <v>P</v>
      </c>
      <c r="AC309" s="102" t="str">
        <f>MID(VLOOKUP($A309,Seqs!$A:$B,2,FALSE),VLOOKUP($A309,'NonXtal_SegEnds_Prot#'!$A:$AL,28,FALSE),1)</f>
        <v>S</v>
      </c>
    </row>
    <row r="310" spans="1:29" s="2" customFormat="1" x14ac:dyDescent="0.2">
      <c r="A310" s="2" t="s">
        <v>607</v>
      </c>
      <c r="B310" s="2" t="str">
        <f>LOWER(VLOOKUP(A310,Xtal_Templ!A:B,2,FALSE))</f>
        <v>glr_human</v>
      </c>
      <c r="C310" s="2" t="str">
        <f>VLOOKUP(A310,Classification!A:D,2,FALSE)</f>
        <v>B1</v>
      </c>
      <c r="M310" s="2" t="s">
        <v>1555</v>
      </c>
      <c r="P310" s="4" t="s">
        <v>51</v>
      </c>
      <c r="R310" s="71" t="str">
        <f>MID(VLOOKUP($A310,Seqs!$A:$B,2,FALSE),VLOOKUP($A310,'NonXtal_SegEnds_Prot#'!A:AL,10,FALSE),1)</f>
        <v>F</v>
      </c>
      <c r="S310" s="102" t="str">
        <f>MID(VLOOKUP($A310,Seqs!$A:$B,2,FALSE),VLOOKUP($A310,'NonXtal_SegEnds_Prot#'!A:AL,10,FALSE)+6,1)</f>
        <v>S</v>
      </c>
      <c r="T310" s="102" t="str">
        <f>MID(VLOOKUP($A310,Seqs!$A:$B,2,FALSE),VLOOKUP($A310,'NonXtal_SegEnds_Prot#'!A:AL,10,FALSE)+7,1)</f>
        <v>V</v>
      </c>
      <c r="U310" s="102" t="str">
        <f>MID(VLOOKUP($A310,Seqs!$A:$B,2,FALSE),VLOOKUP($A310,'NonXtal_SegEnds_Prot#'!A:AL,10,FALSE)+8,1)</f>
        <v>L</v>
      </c>
      <c r="V310" s="102" t="str">
        <f>MID(VLOOKUP($A310,Seqs!$A:$B,2,FALSE),VLOOKUP($A310,'NonXtal_SegEnds_Prot#'!A:AL,10,FALSE)+9,1)</f>
        <v>V</v>
      </c>
      <c r="W310" s="71" t="str">
        <f>MID(VLOOKUP($A310,Seqs!$A:$B,2,FALSE),VLOOKUP($A310,'NonXtal_SegEnds_Prot#'!$A:$AL,22,FALSE)+6,1)</f>
        <v>C</v>
      </c>
      <c r="X310" s="102" t="str">
        <f>MID(VLOOKUP($A310,Seqs!$A:$B,2,FALSE),VLOOKUP($A310,'NonXtal_SegEnds_Prot#'!$A:$AL,22,FALSE)+7,1)</f>
        <v>I</v>
      </c>
      <c r="Y310" s="102" t="str">
        <f>MID(VLOOKUP($A310,Seqs!$A:$B,2,FALSE),VLOOKUP($A310,'NonXtal_SegEnds_Prot#'!$A:$AL,22,FALSE)+8,1)</f>
        <v>G</v>
      </c>
      <c r="Z310" s="102" t="str">
        <f>MID(VLOOKUP($A310,Seqs!$A:$B,2,FALSE),VLOOKUP($A310,'NonXtal_SegEnds_Prot#'!$A:$AL,22,FALSE)+9,1)</f>
        <v>A</v>
      </c>
      <c r="AA310" s="102" t="str">
        <f>MID(VLOOKUP($A310,Seqs!$A:$B,2,FALSE),VLOOKUP($A310,'NonXtal_SegEnds_Prot#'!$A:$AL,22,FALSE)+10,1)</f>
        <v>W</v>
      </c>
      <c r="AB310" s="71" t="str">
        <f>MID(VLOOKUP($A310,Seqs!$A:$B,2,FALSE),VLOOKUP($A310,'NonXtal_SegEnds_Prot#'!$A:$AL,28,FALSE)-4,1)</f>
        <v>P</v>
      </c>
      <c r="AC310" s="102" t="str">
        <f>MID(VLOOKUP($A310,Seqs!$A:$B,2,FALSE),VLOOKUP($A310,'NonXtal_SegEnds_Prot#'!$A:$AL,28,FALSE),1)</f>
        <v>S</v>
      </c>
    </row>
    <row r="311" spans="1:29" s="2" customFormat="1" x14ac:dyDescent="0.2">
      <c r="A311" s="2" t="s">
        <v>1396</v>
      </c>
      <c r="B311" s="2" t="str">
        <f>LOWER(VLOOKUP(A311,Xtal_Templ!A:B,2,FALSE))</f>
        <v>crfr1_human</v>
      </c>
      <c r="C311" s="2" t="str">
        <f>VLOOKUP(A311,Classification!A:D,2,FALSE)</f>
        <v>B2</v>
      </c>
      <c r="P311" s="4" t="s">
        <v>51</v>
      </c>
      <c r="R311" s="71" t="str">
        <f>MID(VLOOKUP($A311,Seqs!$A:$B,2,FALSE),VLOOKUP($A311,'NonXtal_SegEnds_Prot#'!A:AL,10,FALSE),1)</f>
        <v>F</v>
      </c>
      <c r="S311" s="102" t="str">
        <f>MID(VLOOKUP($A311,Seqs!$A:$B,2,FALSE),VLOOKUP($A311,'NonXtal_SegEnds_Prot#'!A:AL,10,FALSE)+6,1)</f>
        <v>F</v>
      </c>
      <c r="T311" s="102" t="str">
        <f>MID(VLOOKUP($A311,Seqs!$A:$B,2,FALSE),VLOOKUP($A311,'NonXtal_SegEnds_Prot#'!A:AL,10,FALSE)+7,1)</f>
        <v>T</v>
      </c>
      <c r="U311" s="102" t="str">
        <f>MID(VLOOKUP($A311,Seqs!$A:$B,2,FALSE),VLOOKUP($A311,'NonXtal_SegEnds_Prot#'!A:AL,10,FALSE)+8,1)</f>
        <v>V</v>
      </c>
      <c r="V311" s="102" t="str">
        <f>MID(VLOOKUP($A311,Seqs!$A:$B,2,FALSE),VLOOKUP($A311,'NonXtal_SegEnds_Prot#'!A:AL,10,FALSE)+9,1)</f>
        <v>F</v>
      </c>
      <c r="W311" s="71" t="str">
        <f>MID(VLOOKUP($A311,Seqs!$A:$B,2,FALSE),VLOOKUP($A311,'NonXtal_SegEnds_Prot#'!$A:$AL,22,FALSE)+6,1)</f>
        <v>I</v>
      </c>
      <c r="X311" s="102" t="str">
        <f>MID(VLOOKUP($A311,Seqs!$A:$B,2,FALSE),VLOOKUP($A311,'NonXtal_SegEnds_Prot#'!$A:$AL,22,FALSE)+7,1)</f>
        <v>C</v>
      </c>
      <c r="Y311" s="102" t="str">
        <f>MID(VLOOKUP($A311,Seqs!$A:$B,2,FALSE),VLOOKUP($A311,'NonXtal_SegEnds_Prot#'!$A:$AL,22,FALSE)+8,1)</f>
        <v>G</v>
      </c>
      <c r="Z311" s="102" t="str">
        <f>MID(VLOOKUP($A311,Seqs!$A:$B,2,FALSE),VLOOKUP($A311,'NonXtal_SegEnds_Prot#'!$A:$AL,22,FALSE)+9,1)</f>
        <v>V</v>
      </c>
      <c r="AA311" s="102" t="str">
        <f>MID(VLOOKUP($A311,Seqs!$A:$B,2,FALSE),VLOOKUP($A311,'NonXtal_SegEnds_Prot#'!$A:$AL,22,FALSE)+10,1)</f>
        <v>T</v>
      </c>
      <c r="AB311" s="71" t="str">
        <f>MID(VLOOKUP($A311,Seqs!$A:$B,2,FALSE),VLOOKUP($A311,'NonXtal_SegEnds_Prot#'!$A:$AL,28,FALSE)-4,1)</f>
        <v>P</v>
      </c>
      <c r="AC311" s="102" t="str">
        <f>MID(VLOOKUP($A311,Seqs!$A:$B,2,FALSE),VLOOKUP($A311,'NonXtal_SegEnds_Prot#'!$A:$AL,28,FALSE),1)</f>
        <v>I</v>
      </c>
    </row>
    <row r="312" spans="1:29" s="2" customFormat="1" x14ac:dyDescent="0.2">
      <c r="A312" s="2" t="s">
        <v>1397</v>
      </c>
      <c r="B312" s="2" t="str">
        <f>LOWER(VLOOKUP(A312,Xtal_Templ!A:B,2,FALSE))</f>
        <v>crfr1_human</v>
      </c>
      <c r="C312" s="2" t="str">
        <f>VLOOKUP(A312,Classification!A:D,2,FALSE)</f>
        <v>B2</v>
      </c>
      <c r="P312" s="4" t="s">
        <v>51</v>
      </c>
      <c r="R312" s="71" t="str">
        <f>MID(VLOOKUP($A312,Seqs!$A:$B,2,FALSE),VLOOKUP($A312,'NonXtal_SegEnds_Prot#'!A:AL,10,FALSE),1)</f>
        <v>F</v>
      </c>
      <c r="S312" s="102" t="str">
        <f>MID(VLOOKUP($A312,Seqs!$A:$B,2,FALSE),VLOOKUP($A312,'NonXtal_SegEnds_Prot#'!A:AL,10,FALSE)+6,1)</f>
        <v>S</v>
      </c>
      <c r="T312" s="102" t="str">
        <f>MID(VLOOKUP($A312,Seqs!$A:$B,2,FALSE),VLOOKUP($A312,'NonXtal_SegEnds_Prot#'!A:AL,10,FALSE)+7,1)</f>
        <v>A</v>
      </c>
      <c r="U312" s="102" t="str">
        <f>MID(VLOOKUP($A312,Seqs!$A:$B,2,FALSE),VLOOKUP($A312,'NonXtal_SegEnds_Prot#'!A:AL,10,FALSE)+8,1)</f>
        <v>V</v>
      </c>
      <c r="V312" s="102" t="str">
        <f>MID(VLOOKUP($A312,Seqs!$A:$B,2,FALSE),VLOOKUP($A312,'NonXtal_SegEnds_Prot#'!A:AL,10,FALSE)+9,1)</f>
        <v>F</v>
      </c>
      <c r="W312" s="71" t="str">
        <f>MID(VLOOKUP($A312,Seqs!$A:$B,2,FALSE),VLOOKUP($A312,'NonXtal_SegEnds_Prot#'!$A:$AL,22,FALSE)+6,1)</f>
        <v>I</v>
      </c>
      <c r="X312" s="102" t="str">
        <f>MID(VLOOKUP($A312,Seqs!$A:$B,2,FALSE),VLOOKUP($A312,'NonXtal_SegEnds_Prot#'!$A:$AL,22,FALSE)+7,1)</f>
        <v>C</v>
      </c>
      <c r="Y312" s="102" t="str">
        <f>MID(VLOOKUP($A312,Seqs!$A:$B,2,FALSE),VLOOKUP($A312,'NonXtal_SegEnds_Prot#'!$A:$AL,22,FALSE)+8,1)</f>
        <v>G</v>
      </c>
      <c r="Z312" s="102" t="str">
        <f>MID(VLOOKUP($A312,Seqs!$A:$B,2,FALSE),VLOOKUP($A312,'NonXtal_SegEnds_Prot#'!$A:$AL,22,FALSE)+9,1)</f>
        <v>I</v>
      </c>
      <c r="AA312" s="102" t="str">
        <f>MID(VLOOKUP($A312,Seqs!$A:$B,2,FALSE),VLOOKUP($A312,'NonXtal_SegEnds_Prot#'!$A:$AL,22,FALSE)+10,1)</f>
        <v>T</v>
      </c>
      <c r="AB312" s="71" t="str">
        <f>MID(VLOOKUP($A312,Seqs!$A:$B,2,FALSE),VLOOKUP($A312,'NonXtal_SegEnds_Prot#'!$A:$AL,28,FALSE)-4,1)</f>
        <v>P</v>
      </c>
      <c r="AC312" s="102" t="str">
        <f>MID(VLOOKUP($A312,Seqs!$A:$B,2,FALSE),VLOOKUP($A312,'NonXtal_SegEnds_Prot#'!$A:$AL,28,FALSE),1)</f>
        <v>I</v>
      </c>
    </row>
    <row r="313" spans="1:29" s="2" customFormat="1" x14ac:dyDescent="0.2">
      <c r="A313" s="2" t="s">
        <v>1398</v>
      </c>
      <c r="B313" s="2" t="str">
        <f>LOWER(VLOOKUP(A313,Xtal_Templ!A:B,2,FALSE))</f>
        <v>crfr1_human</v>
      </c>
      <c r="C313" s="2" t="str">
        <f>VLOOKUP(A313,Classification!A:D,2,FALSE)</f>
        <v>B2</v>
      </c>
      <c r="P313" s="4" t="s">
        <v>51</v>
      </c>
      <c r="R313" s="71" t="str">
        <f>MID(VLOOKUP($A313,Seqs!$A:$B,2,FALSE),VLOOKUP($A313,'NonXtal_SegEnds_Prot#'!A:AL,10,FALSE),1)</f>
        <v>F</v>
      </c>
      <c r="S313" s="102" t="str">
        <f>MID(VLOOKUP($A313,Seqs!$A:$B,2,FALSE),VLOOKUP($A313,'NonXtal_SegEnds_Prot#'!A:AL,10,FALSE)+6,1)</f>
        <v>C</v>
      </c>
      <c r="T313" s="102" t="str">
        <f>MID(VLOOKUP($A313,Seqs!$A:$B,2,FALSE),VLOOKUP($A313,'NonXtal_SegEnds_Prot#'!A:AL,10,FALSE)+7,1)</f>
        <v>V</v>
      </c>
      <c r="U313" s="102" t="str">
        <f>MID(VLOOKUP($A313,Seqs!$A:$B,2,FALSE),VLOOKUP($A313,'NonXtal_SegEnds_Prot#'!A:AL,10,FALSE)+8,1)</f>
        <v>V</v>
      </c>
      <c r="V313" s="102" t="str">
        <f>MID(VLOOKUP($A313,Seqs!$A:$B,2,FALSE),VLOOKUP($A313,'NonXtal_SegEnds_Prot#'!A:AL,10,FALSE)+9,1)</f>
        <v>F</v>
      </c>
      <c r="W313" s="71" t="str">
        <f>MID(VLOOKUP($A313,Seqs!$A:$B,2,FALSE),VLOOKUP($A313,'NonXtal_SegEnds_Prot#'!$A:$AL,22,FALSE)+6,1)</f>
        <v>V</v>
      </c>
      <c r="X313" s="102" t="str">
        <f>MID(VLOOKUP($A313,Seqs!$A:$B,2,FALSE),VLOOKUP($A313,'NonXtal_SegEnds_Prot#'!$A:$AL,22,FALSE)+7,1)</f>
        <v>C</v>
      </c>
      <c r="Y313" s="102" t="str">
        <f>MID(VLOOKUP($A313,Seqs!$A:$B,2,FALSE),VLOOKUP($A313,'NonXtal_SegEnds_Prot#'!$A:$AL,22,FALSE)+8,1)</f>
        <v>G</v>
      </c>
      <c r="Z313" s="102" t="str">
        <f>MID(VLOOKUP($A313,Seqs!$A:$B,2,FALSE),VLOOKUP($A313,'NonXtal_SegEnds_Prot#'!$A:$AL,22,FALSE)+9,1)</f>
        <v>I</v>
      </c>
      <c r="AA313" s="102" t="str">
        <f>MID(VLOOKUP($A313,Seqs!$A:$B,2,FALSE),VLOOKUP($A313,'NonXtal_SegEnds_Prot#'!$A:$AL,22,FALSE)+10,1)</f>
        <v>T</v>
      </c>
      <c r="AB313" s="71" t="str">
        <f>MID(VLOOKUP($A313,Seqs!$A:$B,2,FALSE),VLOOKUP($A313,'NonXtal_SegEnds_Prot#'!$A:$AL,28,FALSE)-4,1)</f>
        <v>P</v>
      </c>
      <c r="AC313" s="102" t="str">
        <f>MID(VLOOKUP($A313,Seqs!$A:$B,2,FALSE),VLOOKUP($A313,'NonXtal_SegEnds_Prot#'!$A:$AL,28,FALSE),1)</f>
        <v>I</v>
      </c>
    </row>
    <row r="314" spans="1:29" s="2" customFormat="1" x14ac:dyDescent="0.2">
      <c r="A314" s="2" t="s">
        <v>1399</v>
      </c>
      <c r="B314" s="2" t="str">
        <f>LOWER(VLOOKUP(A314,Xtal_Templ!A:B,2,FALSE))</f>
        <v>crfr1_human</v>
      </c>
      <c r="C314" s="2" t="str">
        <f>VLOOKUP(A314,Classification!A:D,2,FALSE)</f>
        <v>B2</v>
      </c>
      <c r="P314" s="4" t="s">
        <v>51</v>
      </c>
      <c r="R314" s="71" t="str">
        <f>MID(VLOOKUP($A314,Seqs!$A:$B,2,FALSE),VLOOKUP($A314,'NonXtal_SegEnds_Prot#'!A:AL,10,FALSE),1)</f>
        <v>I</v>
      </c>
      <c r="S314" s="102" t="str">
        <f>MID(VLOOKUP($A314,Seqs!$A:$B,2,FALSE),VLOOKUP($A314,'NonXtal_SegEnds_Prot#'!A:AL,10,FALSE)+6,1)</f>
        <v>L</v>
      </c>
      <c r="T314" s="102" t="str">
        <f>MID(VLOOKUP($A314,Seqs!$A:$B,2,FALSE),VLOOKUP($A314,'NonXtal_SegEnds_Prot#'!A:AL,10,FALSE)+7,1)</f>
        <v>I</v>
      </c>
      <c r="U314" s="102" t="str">
        <f>MID(VLOOKUP($A314,Seqs!$A:$B,2,FALSE),VLOOKUP($A314,'NonXtal_SegEnds_Prot#'!A:AL,10,FALSE)+8,1)</f>
        <v>L</v>
      </c>
      <c r="V314" s="102" t="str">
        <f>MID(VLOOKUP($A314,Seqs!$A:$B,2,FALSE),VLOOKUP($A314,'NonXtal_SegEnds_Prot#'!A:AL,10,FALSE)+9,1)</f>
        <v>V</v>
      </c>
      <c r="W314" s="71" t="str">
        <f>MID(VLOOKUP($A314,Seqs!$A:$B,2,FALSE),VLOOKUP($A314,'NonXtal_SegEnds_Prot#'!$A:$AL,22,FALSE)+6,1)</f>
        <v>V</v>
      </c>
      <c r="X314" s="102" t="str">
        <f>MID(VLOOKUP($A314,Seqs!$A:$B,2,FALSE),VLOOKUP($A314,'NonXtal_SegEnds_Prot#'!$A:$AL,22,FALSE)+7,1)</f>
        <v>V</v>
      </c>
      <c r="Y314" s="102" t="str">
        <f>MID(VLOOKUP($A314,Seqs!$A:$B,2,FALSE),VLOOKUP($A314,'NonXtal_SegEnds_Prot#'!$A:$AL,22,FALSE)+8,1)</f>
        <v>A</v>
      </c>
      <c r="Z314" s="102" t="str">
        <f>MID(VLOOKUP($A314,Seqs!$A:$B,2,FALSE),VLOOKUP($A314,'NonXtal_SegEnds_Prot#'!$A:$AL,22,FALSE)+9,1)</f>
        <v>V</v>
      </c>
      <c r="AA314" s="102" t="str">
        <f>MID(VLOOKUP($A314,Seqs!$A:$B,2,FALSE),VLOOKUP($A314,'NonXtal_SegEnds_Prot#'!$A:$AL,22,FALSE)+10,1)</f>
        <v>S</v>
      </c>
      <c r="AB314" s="71" t="str">
        <f>MID(VLOOKUP($A314,Seqs!$A:$B,2,FALSE),VLOOKUP($A314,'NonXtal_SegEnds_Prot#'!$A:$AL,28,FALSE)-4,1)</f>
        <v>P</v>
      </c>
      <c r="AC314" s="102" t="str">
        <f>MID(VLOOKUP($A314,Seqs!$A:$B,2,FALSE),VLOOKUP($A314,'NonXtal_SegEnds_Prot#'!$A:$AL,28,FALSE),1)</f>
        <v>I</v>
      </c>
    </row>
    <row r="315" spans="1:29" s="2" customFormat="1" x14ac:dyDescent="0.2">
      <c r="A315" s="2" t="s">
        <v>1400</v>
      </c>
      <c r="B315" s="2" t="str">
        <f>LOWER(VLOOKUP(A315,Xtal_Templ!A:B,2,FALSE))</f>
        <v>crfr1_human</v>
      </c>
      <c r="C315" s="2" t="str">
        <f>VLOOKUP(A315,Classification!A:D,2,FALSE)</f>
        <v>B2</v>
      </c>
      <c r="P315" s="4" t="s">
        <v>51</v>
      </c>
      <c r="R315" s="71" t="str">
        <f>MID(VLOOKUP($A315,Seqs!$A:$B,2,FALSE),VLOOKUP($A315,'NonXtal_SegEnds_Prot#'!A:AL,10,FALSE),1)</f>
        <v>I</v>
      </c>
      <c r="S315" s="102" t="str">
        <f>MID(VLOOKUP($A315,Seqs!$A:$B,2,FALSE),VLOOKUP($A315,'NonXtal_SegEnds_Prot#'!A:AL,10,FALSE)+6,1)</f>
        <v>L</v>
      </c>
      <c r="T315" s="102" t="str">
        <f>MID(VLOOKUP($A315,Seqs!$A:$B,2,FALSE),VLOOKUP($A315,'NonXtal_SegEnds_Prot#'!A:AL,10,FALSE)+7,1)</f>
        <v>I</v>
      </c>
      <c r="U315" s="102" t="str">
        <f>MID(VLOOKUP($A315,Seqs!$A:$B,2,FALSE),VLOOKUP($A315,'NonXtal_SegEnds_Prot#'!A:AL,10,FALSE)+8,1)</f>
        <v>L</v>
      </c>
      <c r="V315" s="102" t="str">
        <f>MID(VLOOKUP($A315,Seqs!$A:$B,2,FALSE),VLOOKUP($A315,'NonXtal_SegEnds_Prot#'!A:AL,10,FALSE)+9,1)</f>
        <v>V</v>
      </c>
      <c r="W315" s="71" t="str">
        <f>MID(VLOOKUP($A315,Seqs!$A:$B,2,FALSE),VLOOKUP($A315,'NonXtal_SegEnds_Prot#'!$A:$AL,22,FALSE)+6,1)</f>
        <v>V</v>
      </c>
      <c r="X315" s="102" t="str">
        <f>MID(VLOOKUP($A315,Seqs!$A:$B,2,FALSE),VLOOKUP($A315,'NonXtal_SegEnds_Prot#'!$A:$AL,22,FALSE)+7,1)</f>
        <v>V</v>
      </c>
      <c r="Y315" s="102" t="str">
        <f>MID(VLOOKUP($A315,Seqs!$A:$B,2,FALSE),VLOOKUP($A315,'NonXtal_SegEnds_Prot#'!$A:$AL,22,FALSE)+8,1)</f>
        <v>A</v>
      </c>
      <c r="Z315" s="102" t="str">
        <f>MID(VLOOKUP($A315,Seqs!$A:$B,2,FALSE),VLOOKUP($A315,'NonXtal_SegEnds_Prot#'!$A:$AL,22,FALSE)+9,1)</f>
        <v>T</v>
      </c>
      <c r="AA315" s="102" t="str">
        <f>MID(VLOOKUP($A315,Seqs!$A:$B,2,FALSE),VLOOKUP($A315,'NonXtal_SegEnds_Prot#'!$A:$AL,22,FALSE)+10,1)</f>
        <v>S</v>
      </c>
      <c r="AB315" s="71" t="str">
        <f>MID(VLOOKUP($A315,Seqs!$A:$B,2,FALSE),VLOOKUP($A315,'NonXtal_SegEnds_Prot#'!$A:$AL,28,FALSE)-4,1)</f>
        <v>P</v>
      </c>
      <c r="AC315" s="102" t="str">
        <f>MID(VLOOKUP($A315,Seqs!$A:$B,2,FALSE),VLOOKUP($A315,'NonXtal_SegEnds_Prot#'!$A:$AL,28,FALSE),1)</f>
        <v>V</v>
      </c>
    </row>
    <row r="316" spans="1:29" s="2" customFormat="1" x14ac:dyDescent="0.2">
      <c r="A316" s="2" t="s">
        <v>1401</v>
      </c>
      <c r="B316" s="2" t="str">
        <f>LOWER(VLOOKUP(A316,Xtal_Templ!A:B,2,FALSE))</f>
        <v>crfr1_human</v>
      </c>
      <c r="C316" s="2" t="str">
        <f>VLOOKUP(A316,Classification!A:D,2,FALSE)</f>
        <v>B2</v>
      </c>
      <c r="P316" s="4" t="s">
        <v>51</v>
      </c>
      <c r="R316" s="71" t="str">
        <f>MID(VLOOKUP($A316,Seqs!$A:$B,2,FALSE),VLOOKUP($A316,'NonXtal_SegEnds_Prot#'!A:AL,10,FALSE),1)</f>
        <v>V</v>
      </c>
      <c r="S316" s="102" t="str">
        <f>MID(VLOOKUP($A316,Seqs!$A:$B,2,FALSE),VLOOKUP($A316,'NonXtal_SegEnds_Prot#'!A:AL,10,FALSE)+6,1)</f>
        <v>L</v>
      </c>
      <c r="T316" s="102" t="str">
        <f>MID(VLOOKUP($A316,Seqs!$A:$B,2,FALSE),VLOOKUP($A316,'NonXtal_SegEnds_Prot#'!A:AL,10,FALSE)+7,1)</f>
        <v>L</v>
      </c>
      <c r="U316" s="102" t="str">
        <f>MID(VLOOKUP($A316,Seqs!$A:$B,2,FALSE),VLOOKUP($A316,'NonXtal_SegEnds_Prot#'!A:AL,10,FALSE)+8,1)</f>
        <v>L</v>
      </c>
      <c r="V316" s="102" t="str">
        <f>MID(VLOOKUP($A316,Seqs!$A:$B,2,FALSE),VLOOKUP($A316,'NonXtal_SegEnds_Prot#'!A:AL,10,FALSE)+9,1)</f>
        <v>I</v>
      </c>
      <c r="W316" s="71" t="str">
        <f>MID(VLOOKUP($A316,Seqs!$A:$B,2,FALSE),VLOOKUP($A316,'NonXtal_SegEnds_Prot#'!$A:$AL,22,FALSE)+6,1)</f>
        <v>I</v>
      </c>
      <c r="X316" s="102" t="str">
        <f>MID(VLOOKUP($A316,Seqs!$A:$B,2,FALSE),VLOOKUP($A316,'NonXtal_SegEnds_Prot#'!$A:$AL,22,FALSE)+7,1)</f>
        <v>C</v>
      </c>
      <c r="Y316" s="102" t="str">
        <f>MID(VLOOKUP($A316,Seqs!$A:$B,2,FALSE),VLOOKUP($A316,'NonXtal_SegEnds_Prot#'!$A:$AL,22,FALSE)+8,1)</f>
        <v>I</v>
      </c>
      <c r="Z316" s="102" t="str">
        <f>MID(VLOOKUP($A316,Seqs!$A:$B,2,FALSE),VLOOKUP($A316,'NonXtal_SegEnds_Prot#'!$A:$AL,22,FALSE)+9,1)</f>
        <v>I</v>
      </c>
      <c r="AA316" s="102" t="str">
        <f>MID(VLOOKUP($A316,Seqs!$A:$B,2,FALSE),VLOOKUP($A316,'NonXtal_SegEnds_Prot#'!$A:$AL,22,FALSE)+10,1)</f>
        <v>S</v>
      </c>
      <c r="AB316" s="71" t="str">
        <f>MID(VLOOKUP($A316,Seqs!$A:$B,2,FALSE),VLOOKUP($A316,'NonXtal_SegEnds_Prot#'!$A:$AL,28,FALSE)-4,1)</f>
        <v>P</v>
      </c>
      <c r="AC316" s="102" t="str">
        <f>MID(VLOOKUP($A316,Seqs!$A:$B,2,FALSE),VLOOKUP($A316,'NonXtal_SegEnds_Prot#'!$A:$AL,28,FALSE),1)</f>
        <v>V</v>
      </c>
    </row>
    <row r="317" spans="1:29" s="2" customFormat="1" x14ac:dyDescent="0.2">
      <c r="A317" s="2" t="s">
        <v>1402</v>
      </c>
      <c r="B317" s="2" t="str">
        <f>LOWER(VLOOKUP(A317,Xtal_Templ!A:B,2,FALSE))</f>
        <v>crfr1_human</v>
      </c>
      <c r="C317" s="2" t="str">
        <f>VLOOKUP(A317,Classification!A:D,2,FALSE)</f>
        <v>B2</v>
      </c>
      <c r="P317" s="4" t="s">
        <v>51</v>
      </c>
      <c r="R317" s="71" t="str">
        <f>MID(VLOOKUP($A317,Seqs!$A:$B,2,FALSE),VLOOKUP($A317,'NonXtal_SegEnds_Prot#'!A:AL,10,FALSE),1)</f>
        <v>L</v>
      </c>
      <c r="S317" s="102" t="str">
        <f>MID(VLOOKUP($A317,Seqs!$A:$B,2,FALSE),VLOOKUP($A317,'NonXtal_SegEnds_Prot#'!A:AL,10,FALSE)+6,1)</f>
        <v>F</v>
      </c>
      <c r="T317" s="102" t="str">
        <f>MID(VLOOKUP($A317,Seqs!$A:$B,2,FALSE),VLOOKUP($A317,'NonXtal_SegEnds_Prot#'!A:AL,10,FALSE)+7,1)</f>
        <v>L</v>
      </c>
      <c r="U317" s="102" t="str">
        <f>MID(VLOOKUP($A317,Seqs!$A:$B,2,FALSE),VLOOKUP($A317,'NonXtal_SegEnds_Prot#'!A:AL,10,FALSE)+8,1)</f>
        <v>M</v>
      </c>
      <c r="V317" s="102" t="str">
        <f>MID(VLOOKUP($A317,Seqs!$A:$B,2,FALSE),VLOOKUP($A317,'NonXtal_SegEnds_Prot#'!A:AL,10,FALSE)+9,1)</f>
        <v>T</v>
      </c>
      <c r="W317" s="71" t="str">
        <f>MID(VLOOKUP($A317,Seqs!$A:$B,2,FALSE),VLOOKUP($A317,'NonXtal_SegEnds_Prot#'!$A:$AL,22,FALSE)+6,1)</f>
        <v>I</v>
      </c>
      <c r="X317" s="102" t="str">
        <f>MID(VLOOKUP($A317,Seqs!$A:$B,2,FALSE),VLOOKUP($A317,'NonXtal_SegEnds_Prot#'!$A:$AL,22,FALSE)+7,1)</f>
        <v>V</v>
      </c>
      <c r="Y317" s="102" t="str">
        <f>MID(VLOOKUP($A317,Seqs!$A:$B,2,FALSE),VLOOKUP($A317,'NonXtal_SegEnds_Prot#'!$A:$AL,22,FALSE)+8,1)</f>
        <v>A</v>
      </c>
      <c r="Z317" s="102" t="str">
        <f>MID(VLOOKUP($A317,Seqs!$A:$B,2,FALSE),VLOOKUP($A317,'NonXtal_SegEnds_Prot#'!$A:$AL,22,FALSE)+9,1)</f>
        <v>V</v>
      </c>
      <c r="AA317" s="102" t="str">
        <f>MID(VLOOKUP($A317,Seqs!$A:$B,2,FALSE),VLOOKUP($A317,'NonXtal_SegEnds_Prot#'!$A:$AL,22,FALSE)+10,1)</f>
        <v>T</v>
      </c>
      <c r="AB317" s="71" t="str">
        <f>MID(VLOOKUP($A317,Seqs!$A:$B,2,FALSE),VLOOKUP($A317,'NonXtal_SegEnds_Prot#'!$A:$AL,28,FALSE)-4,1)</f>
        <v>P</v>
      </c>
      <c r="AC317" s="102" t="str">
        <f>MID(VLOOKUP($A317,Seqs!$A:$B,2,FALSE),VLOOKUP($A317,'NonXtal_SegEnds_Prot#'!$A:$AL,28,FALSE),1)</f>
        <v>V</v>
      </c>
    </row>
    <row r="318" spans="1:29" s="2" customFormat="1" x14ac:dyDescent="0.2">
      <c r="A318" s="2" t="s">
        <v>1403</v>
      </c>
      <c r="B318" s="2" t="str">
        <f>LOWER(VLOOKUP(A318,Xtal_Templ!A:B,2,FALSE))</f>
        <v>crfr1_human</v>
      </c>
      <c r="C318" s="2" t="str">
        <f>VLOOKUP(A318,Classification!A:D,2,FALSE)</f>
        <v>B2</v>
      </c>
      <c r="P318" s="4" t="s">
        <v>51</v>
      </c>
      <c r="R318" s="71" t="str">
        <f>MID(VLOOKUP($A318,Seqs!$A:$B,2,FALSE),VLOOKUP($A318,'NonXtal_SegEnds_Prot#'!A:AL,10,FALSE),1)</f>
        <v>L</v>
      </c>
      <c r="S318" s="102" t="str">
        <f>MID(VLOOKUP($A318,Seqs!$A:$B,2,FALSE),VLOOKUP($A318,'NonXtal_SegEnds_Prot#'!A:AL,10,FALSE)+6,1)</f>
        <v>L</v>
      </c>
      <c r="T318" s="102" t="str">
        <f>MID(VLOOKUP($A318,Seqs!$A:$B,2,FALSE),VLOOKUP($A318,'NonXtal_SegEnds_Prot#'!A:AL,10,FALSE)+7,1)</f>
        <v>F</v>
      </c>
      <c r="U318" s="102" t="str">
        <f>MID(VLOOKUP($A318,Seqs!$A:$B,2,FALSE),VLOOKUP($A318,'NonXtal_SegEnds_Prot#'!A:AL,10,FALSE)+8,1)</f>
        <v>L</v>
      </c>
      <c r="V318" s="102" t="str">
        <f>MID(VLOOKUP($A318,Seqs!$A:$B,2,FALSE),VLOOKUP($A318,'NonXtal_SegEnds_Prot#'!A:AL,10,FALSE)+9,1)</f>
        <v>A</v>
      </c>
      <c r="W318" s="71" t="str">
        <f>MID(VLOOKUP($A318,Seqs!$A:$B,2,FALSE),VLOOKUP($A318,'NonXtal_SegEnds_Prot#'!$A:$AL,22,FALSE)+6,1)</f>
        <v>V</v>
      </c>
      <c r="X318" s="102" t="str">
        <f>MID(VLOOKUP($A318,Seqs!$A:$B,2,FALSE),VLOOKUP($A318,'NonXtal_SegEnds_Prot#'!$A:$AL,22,FALSE)+7,1)</f>
        <v>V</v>
      </c>
      <c r="Y318" s="102" t="str">
        <f>MID(VLOOKUP($A318,Seqs!$A:$B,2,FALSE),VLOOKUP($A318,'NonXtal_SegEnds_Prot#'!$A:$AL,22,FALSE)+8,1)</f>
        <v>V</v>
      </c>
      <c r="Z318" s="102" t="str">
        <f>MID(VLOOKUP($A318,Seqs!$A:$B,2,FALSE),VLOOKUP($A318,'NonXtal_SegEnds_Prot#'!$A:$AL,22,FALSE)+9,1)</f>
        <v>I</v>
      </c>
      <c r="AA318" s="102" t="str">
        <f>MID(VLOOKUP($A318,Seqs!$A:$B,2,FALSE),VLOOKUP($A318,'NonXtal_SegEnds_Prot#'!$A:$AL,22,FALSE)+10,1)</f>
        <v>S</v>
      </c>
      <c r="AB318" s="71" t="str">
        <f>MID(VLOOKUP($A318,Seqs!$A:$B,2,FALSE),VLOOKUP($A318,'NonXtal_SegEnds_Prot#'!$A:$AL,28,FALSE)-4,1)</f>
        <v>P</v>
      </c>
      <c r="AC318" s="102" t="str">
        <f>MID(VLOOKUP($A318,Seqs!$A:$B,2,FALSE),VLOOKUP($A318,'NonXtal_SegEnds_Prot#'!$A:$AL,28,FALSE),1)</f>
        <v>V</v>
      </c>
    </row>
    <row r="319" spans="1:29" s="2" customFormat="1" x14ac:dyDescent="0.2">
      <c r="A319" s="2" t="s">
        <v>1404</v>
      </c>
      <c r="B319" s="2" t="str">
        <f>LOWER(VLOOKUP(A319,Xtal_Templ!A:B,2,FALSE))</f>
        <v>crfr1_human</v>
      </c>
      <c r="C319" s="2" t="str">
        <f>VLOOKUP(A319,Classification!A:D,2,FALSE)</f>
        <v>B2</v>
      </c>
      <c r="P319" s="4" t="s">
        <v>51</v>
      </c>
      <c r="R319" s="71" t="str">
        <f>MID(VLOOKUP($A319,Seqs!$A:$B,2,FALSE),VLOOKUP($A319,'NonXtal_SegEnds_Prot#'!A:AL,10,FALSE),1)</f>
        <v>L</v>
      </c>
      <c r="S319" s="102" t="str">
        <f>MID(VLOOKUP($A319,Seqs!$A:$B,2,FALSE),VLOOKUP($A319,'NonXtal_SegEnds_Prot#'!A:AL,10,FALSE)+6,1)</f>
        <v>L</v>
      </c>
      <c r="T319" s="102" t="str">
        <f>MID(VLOOKUP($A319,Seqs!$A:$B,2,FALSE),VLOOKUP($A319,'NonXtal_SegEnds_Prot#'!A:AL,10,FALSE)+7,1)</f>
        <v>F</v>
      </c>
      <c r="U319" s="102" t="str">
        <f>MID(VLOOKUP($A319,Seqs!$A:$B,2,FALSE),VLOOKUP($A319,'NonXtal_SegEnds_Prot#'!A:AL,10,FALSE)+8,1)</f>
        <v>L</v>
      </c>
      <c r="V319" s="102" t="str">
        <f>MID(VLOOKUP($A319,Seqs!$A:$B,2,FALSE),VLOOKUP($A319,'NonXtal_SegEnds_Prot#'!A:AL,10,FALSE)+9,1)</f>
        <v>V</v>
      </c>
      <c r="W319" s="71" t="str">
        <f>MID(VLOOKUP($A319,Seqs!$A:$B,2,FALSE),VLOOKUP($A319,'NonXtal_SegEnds_Prot#'!$A:$AL,22,FALSE)+6,1)</f>
        <v>T</v>
      </c>
      <c r="X319" s="102" t="str">
        <f>MID(VLOOKUP($A319,Seqs!$A:$B,2,FALSE),VLOOKUP($A319,'NonXtal_SegEnds_Prot#'!$A:$AL,22,FALSE)+7,1)</f>
        <v>V</v>
      </c>
      <c r="Y319" s="102" t="str">
        <f>MID(VLOOKUP($A319,Seqs!$A:$B,2,FALSE),VLOOKUP($A319,'NonXtal_SegEnds_Prot#'!$A:$AL,22,FALSE)+8,1)</f>
        <v>A</v>
      </c>
      <c r="Z319" s="102" t="str">
        <f>MID(VLOOKUP($A319,Seqs!$A:$B,2,FALSE),VLOOKUP($A319,'NonXtal_SegEnds_Prot#'!$A:$AL,22,FALSE)+9,1)</f>
        <v>I</v>
      </c>
      <c r="AA319" s="102" t="str">
        <f>MID(VLOOKUP($A319,Seqs!$A:$B,2,FALSE),VLOOKUP($A319,'NonXtal_SegEnds_Prot#'!$A:$AL,22,FALSE)+10,1)</f>
        <v>S</v>
      </c>
      <c r="AB319" s="71" t="str">
        <f>MID(VLOOKUP($A319,Seqs!$A:$B,2,FALSE),VLOOKUP($A319,'NonXtal_SegEnds_Prot#'!$A:$AL,28,FALSE)-4,1)</f>
        <v>P</v>
      </c>
      <c r="AC319" s="102" t="str">
        <f>MID(VLOOKUP($A319,Seqs!$A:$B,2,FALSE),VLOOKUP($A319,'NonXtal_SegEnds_Prot#'!$A:$AL,28,FALSE),1)</f>
        <v>I</v>
      </c>
    </row>
    <row r="320" spans="1:29" s="2" customFormat="1" x14ac:dyDescent="0.2">
      <c r="A320" s="2" t="s">
        <v>1405</v>
      </c>
      <c r="B320" s="2" t="str">
        <f>LOWER(VLOOKUP(A320,Xtal_Templ!A:B,2,FALSE))</f>
        <v>crfr1_human</v>
      </c>
      <c r="C320" s="2" t="str">
        <f>VLOOKUP(A320,Classification!A:D,2,FALSE)</f>
        <v>B2</v>
      </c>
      <c r="P320" s="4" t="s">
        <v>51</v>
      </c>
      <c r="R320" s="71" t="str">
        <f>MID(VLOOKUP($A320,Seqs!$A:$B,2,FALSE),VLOOKUP($A320,'NonXtal_SegEnds_Prot#'!A:AL,10,FALSE),1)</f>
        <v>L</v>
      </c>
      <c r="S320" s="102" t="str">
        <f>MID(VLOOKUP($A320,Seqs!$A:$B,2,FALSE),VLOOKUP($A320,'NonXtal_SegEnds_Prot#'!A:AL,10,FALSE)+6,1)</f>
        <v>L</v>
      </c>
      <c r="T320" s="102" t="str">
        <f>MID(VLOOKUP($A320,Seqs!$A:$B,2,FALSE),VLOOKUP($A320,'NonXtal_SegEnds_Prot#'!A:AL,10,FALSE)+7,1)</f>
        <v>F</v>
      </c>
      <c r="U320" s="102" t="str">
        <f>MID(VLOOKUP($A320,Seqs!$A:$B,2,FALSE),VLOOKUP($A320,'NonXtal_SegEnds_Prot#'!A:AL,10,FALSE)+8,1)</f>
        <v>L</v>
      </c>
      <c r="V320" s="102" t="str">
        <f>MID(VLOOKUP($A320,Seqs!$A:$B,2,FALSE),VLOOKUP($A320,'NonXtal_SegEnds_Prot#'!A:AL,10,FALSE)+9,1)</f>
        <v>V</v>
      </c>
      <c r="W320" s="71" t="str">
        <f>MID(VLOOKUP($A320,Seqs!$A:$B,2,FALSE),VLOOKUP($A320,'NonXtal_SegEnds_Prot#'!$A:$AL,22,FALSE)+6,1)</f>
        <v>T</v>
      </c>
      <c r="X320" s="102" t="str">
        <f>MID(VLOOKUP($A320,Seqs!$A:$B,2,FALSE),VLOOKUP($A320,'NonXtal_SegEnds_Prot#'!$A:$AL,22,FALSE)+7,1)</f>
        <v>V</v>
      </c>
      <c r="Y320" s="102" t="str">
        <f>MID(VLOOKUP($A320,Seqs!$A:$B,2,FALSE),VLOOKUP($A320,'NonXtal_SegEnds_Prot#'!$A:$AL,22,FALSE)+8,1)</f>
        <v>A</v>
      </c>
      <c r="Z320" s="102" t="str">
        <f>MID(VLOOKUP($A320,Seqs!$A:$B,2,FALSE),VLOOKUP($A320,'NonXtal_SegEnds_Prot#'!$A:$AL,22,FALSE)+9,1)</f>
        <v>I</v>
      </c>
      <c r="AA320" s="102" t="str">
        <f>MID(VLOOKUP($A320,Seqs!$A:$B,2,FALSE),VLOOKUP($A320,'NonXtal_SegEnds_Prot#'!$A:$AL,22,FALSE)+10,1)</f>
        <v>S</v>
      </c>
      <c r="AB320" s="71" t="str">
        <f>MID(VLOOKUP($A320,Seqs!$A:$B,2,FALSE),VLOOKUP($A320,'NonXtal_SegEnds_Prot#'!$A:$AL,28,FALSE)-4,1)</f>
        <v>P</v>
      </c>
      <c r="AC320" s="102" t="str">
        <f>MID(VLOOKUP($A320,Seqs!$A:$B,2,FALSE),VLOOKUP($A320,'NonXtal_SegEnds_Prot#'!$A:$AL,28,FALSE),1)</f>
        <v>I</v>
      </c>
    </row>
    <row r="321" spans="1:29" s="2" customFormat="1" x14ac:dyDescent="0.2">
      <c r="A321" s="2" t="s">
        <v>1406</v>
      </c>
      <c r="B321" s="2" t="str">
        <f>LOWER(VLOOKUP(A321,Xtal_Templ!A:B,2,FALSE))</f>
        <v>crfr1_human</v>
      </c>
      <c r="C321" s="2" t="str">
        <f>VLOOKUP(A321,Classification!A:D,2,FALSE)</f>
        <v>B2</v>
      </c>
      <c r="P321" s="4" t="s">
        <v>51</v>
      </c>
      <c r="R321" s="71" t="str">
        <f>MID(VLOOKUP($A321,Seqs!$A:$B,2,FALSE),VLOOKUP($A321,'NonXtal_SegEnds_Prot#'!A:AL,10,FALSE),1)</f>
        <v>L</v>
      </c>
      <c r="S321" s="102" t="str">
        <f>MID(VLOOKUP($A321,Seqs!$A:$B,2,FALSE),VLOOKUP($A321,'NonXtal_SegEnds_Prot#'!A:AL,10,FALSE)+6,1)</f>
        <v>L</v>
      </c>
      <c r="T321" s="102" t="str">
        <f>MID(VLOOKUP($A321,Seqs!$A:$B,2,FALSE),VLOOKUP($A321,'NonXtal_SegEnds_Prot#'!A:AL,10,FALSE)+7,1)</f>
        <v>F</v>
      </c>
      <c r="U321" s="102" t="str">
        <f>MID(VLOOKUP($A321,Seqs!$A:$B,2,FALSE),VLOOKUP($A321,'NonXtal_SegEnds_Prot#'!A:AL,10,FALSE)+8,1)</f>
        <v>L</v>
      </c>
      <c r="V321" s="102" t="str">
        <f>MID(VLOOKUP($A321,Seqs!$A:$B,2,FALSE),VLOOKUP($A321,'NonXtal_SegEnds_Prot#'!A:AL,10,FALSE)+9,1)</f>
        <v>T</v>
      </c>
      <c r="W321" s="71" t="str">
        <f>MID(VLOOKUP($A321,Seqs!$A:$B,2,FALSE),VLOOKUP($A321,'NonXtal_SegEnds_Prot#'!$A:$AL,22,FALSE)+6,1)</f>
        <v>I</v>
      </c>
      <c r="X321" s="102" t="str">
        <f>MID(VLOOKUP($A321,Seqs!$A:$B,2,FALSE),VLOOKUP($A321,'NonXtal_SegEnds_Prot#'!$A:$AL,22,FALSE)+7,1)</f>
        <v>I</v>
      </c>
      <c r="Y321" s="102" t="str">
        <f>MID(VLOOKUP($A321,Seqs!$A:$B,2,FALSE),VLOOKUP($A321,'NonXtal_SegEnds_Prot#'!$A:$AL,22,FALSE)+8,1)</f>
        <v>A</v>
      </c>
      <c r="Z321" s="102" t="str">
        <f>MID(VLOOKUP($A321,Seqs!$A:$B,2,FALSE),VLOOKUP($A321,'NonXtal_SegEnds_Prot#'!$A:$AL,22,FALSE)+9,1)</f>
        <v>V</v>
      </c>
      <c r="AA321" s="102" t="str">
        <f>MID(VLOOKUP($A321,Seqs!$A:$B,2,FALSE),VLOOKUP($A321,'NonXtal_SegEnds_Prot#'!$A:$AL,22,FALSE)+10,1)</f>
        <v>S</v>
      </c>
      <c r="AB321" s="71" t="str">
        <f>MID(VLOOKUP($A321,Seqs!$A:$B,2,FALSE),VLOOKUP($A321,'NonXtal_SegEnds_Prot#'!$A:$AL,28,FALSE)-4,1)</f>
        <v>P</v>
      </c>
      <c r="AC321" s="102" t="str">
        <f>MID(VLOOKUP($A321,Seqs!$A:$B,2,FALSE),VLOOKUP($A321,'NonXtal_SegEnds_Prot#'!$A:$AL,28,FALSE),1)</f>
        <v>I</v>
      </c>
    </row>
    <row r="322" spans="1:29" s="2" customFormat="1" x14ac:dyDescent="0.2">
      <c r="A322" s="2" t="s">
        <v>1407</v>
      </c>
      <c r="B322" s="2" t="str">
        <f>LOWER(VLOOKUP(A322,Xtal_Templ!A:B,2,FALSE))</f>
        <v>crfr1_human</v>
      </c>
      <c r="C322" s="2" t="str">
        <f>VLOOKUP(A322,Classification!A:D,2,FALSE)</f>
        <v>B2</v>
      </c>
      <c r="P322" s="4" t="s">
        <v>51</v>
      </c>
      <c r="R322" s="71" t="str">
        <f>MID(VLOOKUP($A322,Seqs!$A:$B,2,FALSE),VLOOKUP($A322,'NonXtal_SegEnds_Prot#'!A:AL,10,FALSE),1)</f>
        <v>A</v>
      </c>
      <c r="S322" s="102" t="str">
        <f>MID(VLOOKUP($A322,Seqs!$A:$B,2,FALSE),VLOOKUP($A322,'NonXtal_SegEnds_Prot#'!A:AL,10,FALSE)+6,1)</f>
        <v>A</v>
      </c>
      <c r="T322" s="102" t="str">
        <f>MID(VLOOKUP($A322,Seqs!$A:$B,2,FALSE),VLOOKUP($A322,'NonXtal_SegEnds_Prot#'!A:AL,10,FALSE)+7,1)</f>
        <v>D</v>
      </c>
      <c r="U322" s="102" t="str">
        <f>MID(VLOOKUP($A322,Seqs!$A:$B,2,FALSE),VLOOKUP($A322,'NonXtal_SegEnds_Prot#'!A:AL,10,FALSE)+8,1)</f>
        <v>V</v>
      </c>
      <c r="V322" s="102" t="str">
        <f>MID(VLOOKUP($A322,Seqs!$A:$B,2,FALSE),VLOOKUP($A322,'NonXtal_SegEnds_Prot#'!A:AL,10,FALSE)+9,1)</f>
        <v>W</v>
      </c>
      <c r="W322" s="71" t="str">
        <f>MID(VLOOKUP($A322,Seqs!$A:$B,2,FALSE),VLOOKUP($A322,'NonXtal_SegEnds_Prot#'!$A:$AL,22,FALSE)+6,1)</f>
        <v>I</v>
      </c>
      <c r="X322" s="102" t="str">
        <f>MID(VLOOKUP($A322,Seqs!$A:$B,2,FALSE),VLOOKUP($A322,'NonXtal_SegEnds_Prot#'!$A:$AL,22,FALSE)+7,1)</f>
        <v>S</v>
      </c>
      <c r="Y322" s="102" t="str">
        <f>MID(VLOOKUP($A322,Seqs!$A:$B,2,FALSE),VLOOKUP($A322,'NonXtal_SegEnds_Prot#'!$A:$AL,22,FALSE)+8,1)</f>
        <v>V</v>
      </c>
      <c r="Z322" s="102" t="str">
        <f>MID(VLOOKUP($A322,Seqs!$A:$B,2,FALSE),VLOOKUP($A322,'NonXtal_SegEnds_Prot#'!$A:$AL,22,FALSE)+9,1)</f>
        <v>I</v>
      </c>
      <c r="AA322" s="102" t="str">
        <f>MID(VLOOKUP($A322,Seqs!$A:$B,2,FALSE),VLOOKUP($A322,'NonXtal_SegEnds_Prot#'!$A:$AL,22,FALSE)+10,1)</f>
        <v>T</v>
      </c>
      <c r="AB322" s="71" t="str">
        <f>MID(VLOOKUP($A322,Seqs!$A:$B,2,FALSE),VLOOKUP($A322,'NonXtal_SegEnds_Prot#'!$A:$AL,28,FALSE)-4,1)</f>
        <v>P</v>
      </c>
      <c r="AC322" s="102" t="str">
        <f>MID(VLOOKUP($A322,Seqs!$A:$B,2,FALSE),VLOOKUP($A322,'NonXtal_SegEnds_Prot#'!$A:$AL,28,FALSE),1)</f>
        <v>I</v>
      </c>
    </row>
    <row r="323" spans="1:29" s="2" customFormat="1" x14ac:dyDescent="0.2">
      <c r="A323" s="2" t="s">
        <v>1408</v>
      </c>
      <c r="B323" s="2" t="str">
        <f>LOWER(VLOOKUP(A323,Xtal_Templ!A:B,2,FALSE))</f>
        <v>crfr1_human</v>
      </c>
      <c r="C323" s="2" t="str">
        <f>VLOOKUP(A323,Classification!A:D,2,FALSE)</f>
        <v>B2</v>
      </c>
      <c r="P323" s="4" t="s">
        <v>51</v>
      </c>
      <c r="R323" s="71" t="str">
        <f>MID(VLOOKUP($A323,Seqs!$A:$B,2,FALSE),VLOOKUP($A323,'NonXtal_SegEnds_Prot#'!A:AL,10,FALSE),1)</f>
        <v>A</v>
      </c>
      <c r="S323" s="102" t="str">
        <f>MID(VLOOKUP($A323,Seqs!$A:$B,2,FALSE),VLOOKUP($A323,'NonXtal_SegEnds_Prot#'!A:AL,10,FALSE)+6,1)</f>
        <v>A</v>
      </c>
      <c r="T323" s="102" t="str">
        <f>MID(VLOOKUP($A323,Seqs!$A:$B,2,FALSE),VLOOKUP($A323,'NonXtal_SegEnds_Prot#'!A:AL,10,FALSE)+7,1)</f>
        <v>D</v>
      </c>
      <c r="U323" s="102" t="str">
        <f>MID(VLOOKUP($A323,Seqs!$A:$B,2,FALSE),VLOOKUP($A323,'NonXtal_SegEnds_Prot#'!A:AL,10,FALSE)+8,1)</f>
        <v>V</v>
      </c>
      <c r="V323" s="102" t="str">
        <f>MID(VLOOKUP($A323,Seqs!$A:$B,2,FALSE),VLOOKUP($A323,'NonXtal_SegEnds_Prot#'!A:AL,10,FALSE)+9,1)</f>
        <v>W</v>
      </c>
      <c r="W323" s="71" t="str">
        <f>MID(VLOOKUP($A323,Seqs!$A:$B,2,FALSE),VLOOKUP($A323,'NonXtal_SegEnds_Prot#'!$A:$AL,22,FALSE)+6,1)</f>
        <v>I</v>
      </c>
      <c r="X323" s="102" t="str">
        <f>MID(VLOOKUP($A323,Seqs!$A:$B,2,FALSE),VLOOKUP($A323,'NonXtal_SegEnds_Prot#'!$A:$AL,22,FALSE)+7,1)</f>
        <v>A</v>
      </c>
      <c r="Y323" s="102" t="str">
        <f>MID(VLOOKUP($A323,Seqs!$A:$B,2,FALSE),VLOOKUP($A323,'NonXtal_SegEnds_Prot#'!$A:$AL,22,FALSE)+8,1)</f>
        <v>A</v>
      </c>
      <c r="Z323" s="102" t="str">
        <f>MID(VLOOKUP($A323,Seqs!$A:$B,2,FALSE),VLOOKUP($A323,'NonXtal_SegEnds_Prot#'!$A:$AL,22,FALSE)+9,1)</f>
        <v>I</v>
      </c>
      <c r="AA323" s="102" t="str">
        <f>MID(VLOOKUP($A323,Seqs!$A:$B,2,FALSE),VLOOKUP($A323,'NonXtal_SegEnds_Prot#'!$A:$AL,22,FALSE)+10,1)</f>
        <v>T</v>
      </c>
      <c r="AB323" s="71" t="str">
        <f>MID(VLOOKUP($A323,Seqs!$A:$B,2,FALSE),VLOOKUP($A323,'NonXtal_SegEnds_Prot#'!$A:$AL,28,FALSE)-4,1)</f>
        <v>P</v>
      </c>
      <c r="AC323" s="102" t="str">
        <f>MID(VLOOKUP($A323,Seqs!$A:$B,2,FALSE),VLOOKUP($A323,'NonXtal_SegEnds_Prot#'!$A:$AL,28,FALSE),1)</f>
        <v>I</v>
      </c>
    </row>
    <row r="324" spans="1:29" s="2" customFormat="1" x14ac:dyDescent="0.2">
      <c r="A324" s="2" t="s">
        <v>1409</v>
      </c>
      <c r="B324" s="2" t="str">
        <f>LOWER(VLOOKUP(A324,Xtal_Templ!A:B,2,FALSE))</f>
        <v>crfr1_human</v>
      </c>
      <c r="C324" s="2" t="str">
        <f>VLOOKUP(A324,Classification!A:D,2,FALSE)</f>
        <v>B2</v>
      </c>
      <c r="P324" s="4" t="s">
        <v>51</v>
      </c>
      <c r="R324" s="71" t="str">
        <f>MID(VLOOKUP($A324,Seqs!$A:$B,2,FALSE),VLOOKUP($A324,'NonXtal_SegEnds_Prot#'!A:AL,10,FALSE),1)</f>
        <v>V</v>
      </c>
      <c r="S324" s="102" t="str">
        <f>MID(VLOOKUP($A324,Seqs!$A:$B,2,FALSE),VLOOKUP($A324,'NonXtal_SegEnds_Prot#'!A:AL,10,FALSE)+6,1)</f>
        <v>A</v>
      </c>
      <c r="T324" s="102" t="str">
        <f>MID(VLOOKUP($A324,Seqs!$A:$B,2,FALSE),VLOOKUP($A324,'NonXtal_SegEnds_Prot#'!A:AL,10,FALSE)+7,1)</f>
        <v>D</v>
      </c>
      <c r="U324" s="102" t="str">
        <f>MID(VLOOKUP($A324,Seqs!$A:$B,2,FALSE),VLOOKUP($A324,'NonXtal_SegEnds_Prot#'!A:AL,10,FALSE)+8,1)</f>
        <v>T</v>
      </c>
      <c r="V324" s="102" t="str">
        <f>MID(VLOOKUP($A324,Seqs!$A:$B,2,FALSE),VLOOKUP($A324,'NonXtal_SegEnds_Prot#'!A:AL,10,FALSE)+9,1)</f>
        <v>C</v>
      </c>
      <c r="W324" s="71" t="str">
        <f>MID(VLOOKUP($A324,Seqs!$A:$B,2,FALSE),VLOOKUP($A324,'NonXtal_SegEnds_Prot#'!$A:$AL,22,FALSE)+6,1)</f>
        <v>L</v>
      </c>
      <c r="X324" s="102" t="str">
        <f>MID(VLOOKUP($A324,Seqs!$A:$B,2,FALSE),VLOOKUP($A324,'NonXtal_SegEnds_Prot#'!$A:$AL,22,FALSE)+7,1)</f>
        <v>A</v>
      </c>
      <c r="Y324" s="102" t="str">
        <f>MID(VLOOKUP($A324,Seqs!$A:$B,2,FALSE),VLOOKUP($A324,'NonXtal_SegEnds_Prot#'!$A:$AL,22,FALSE)+8,1)</f>
        <v>G</v>
      </c>
      <c r="Z324" s="102" t="str">
        <f>MID(VLOOKUP($A324,Seqs!$A:$B,2,FALSE),VLOOKUP($A324,'NonXtal_SegEnds_Prot#'!$A:$AL,22,FALSE)+9,1)</f>
        <v>V</v>
      </c>
      <c r="AA324" s="102" t="str">
        <f>MID(VLOOKUP($A324,Seqs!$A:$B,2,FALSE),VLOOKUP($A324,'NonXtal_SegEnds_Prot#'!$A:$AL,22,FALSE)+10,1)</f>
        <v>T</v>
      </c>
      <c r="AB324" s="71" t="str">
        <f>MID(VLOOKUP($A324,Seqs!$A:$B,2,FALSE),VLOOKUP($A324,'NonXtal_SegEnds_Prot#'!$A:$AL,28,FALSE)-4,1)</f>
        <v>P</v>
      </c>
      <c r="AC324" s="102" t="str">
        <f>MID(VLOOKUP($A324,Seqs!$A:$B,2,FALSE),VLOOKUP($A324,'NonXtal_SegEnds_Prot#'!$A:$AL,28,FALSE),1)</f>
        <v>I</v>
      </c>
    </row>
    <row r="325" spans="1:29" s="2" customFormat="1" x14ac:dyDescent="0.2">
      <c r="A325" s="2" t="s">
        <v>1410</v>
      </c>
      <c r="B325" s="2" t="str">
        <f>LOWER(VLOOKUP(A325,Xtal_Templ!A:B,2,FALSE))</f>
        <v>crfr1_human</v>
      </c>
      <c r="C325" s="2" t="str">
        <f>VLOOKUP(A325,Classification!A:D,2,FALSE)</f>
        <v>B2</v>
      </c>
      <c r="P325" s="4" t="s">
        <v>51</v>
      </c>
      <c r="R325" s="71" t="str">
        <f>MID(VLOOKUP($A325,Seqs!$A:$B,2,FALSE),VLOOKUP($A325,'NonXtal_SegEnds_Prot#'!A:AL,10,FALSE),1)</f>
        <v>A</v>
      </c>
      <c r="S325" s="102" t="str">
        <f>MID(VLOOKUP($A325,Seqs!$A:$B,2,FALSE),VLOOKUP($A325,'NonXtal_SegEnds_Prot#'!A:AL,10,FALSE)+6,1)</f>
        <v>A</v>
      </c>
      <c r="T325" s="102" t="str">
        <f>MID(VLOOKUP($A325,Seqs!$A:$B,2,FALSE),VLOOKUP($A325,'NonXtal_SegEnds_Prot#'!A:AL,10,FALSE)+7,1)</f>
        <v>N</v>
      </c>
      <c r="U325" s="102" t="str">
        <f>MID(VLOOKUP($A325,Seqs!$A:$B,2,FALSE),VLOOKUP($A325,'NonXtal_SegEnds_Prot#'!A:AL,10,FALSE)+8,1)</f>
        <v>V</v>
      </c>
      <c r="V325" s="102" t="str">
        <f>MID(VLOOKUP($A325,Seqs!$A:$B,2,FALSE),VLOOKUP($A325,'NonXtal_SegEnds_Prot#'!A:AL,10,FALSE)+9,1)</f>
        <v>W</v>
      </c>
      <c r="W325" s="71" t="str">
        <f>MID(VLOOKUP($A325,Seqs!$A:$B,2,FALSE),VLOOKUP($A325,'NonXtal_SegEnds_Prot#'!$A:$AL,22,FALSE)+6,1)</f>
        <v>I</v>
      </c>
      <c r="X325" s="102" t="str">
        <f>MID(VLOOKUP($A325,Seqs!$A:$B,2,FALSE),VLOOKUP($A325,'NonXtal_SegEnds_Prot#'!$A:$AL,22,FALSE)+7,1)</f>
        <v>A</v>
      </c>
      <c r="Y325" s="102" t="str">
        <f>MID(VLOOKUP($A325,Seqs!$A:$B,2,FALSE),VLOOKUP($A325,'NonXtal_SegEnds_Prot#'!$A:$AL,22,FALSE)+8,1)</f>
        <v>V</v>
      </c>
      <c r="Z325" s="102" t="str">
        <f>MID(VLOOKUP($A325,Seqs!$A:$B,2,FALSE),VLOOKUP($A325,'NonXtal_SegEnds_Prot#'!$A:$AL,22,FALSE)+9,1)</f>
        <v>T</v>
      </c>
      <c r="AA325" s="102" t="str">
        <f>MID(VLOOKUP($A325,Seqs!$A:$B,2,FALSE),VLOOKUP($A325,'NonXtal_SegEnds_Prot#'!$A:$AL,22,FALSE)+10,1)</f>
        <v>T</v>
      </c>
      <c r="AB325" s="71" t="str">
        <f>MID(VLOOKUP($A325,Seqs!$A:$B,2,FALSE),VLOOKUP($A325,'NonXtal_SegEnds_Prot#'!$A:$AL,28,FALSE)-4,1)</f>
        <v>P</v>
      </c>
      <c r="AC325" s="102" t="str">
        <f>MID(VLOOKUP($A325,Seqs!$A:$B,2,FALSE),VLOOKUP($A325,'NonXtal_SegEnds_Prot#'!$A:$AL,28,FALSE),1)</f>
        <v>I</v>
      </c>
    </row>
    <row r="326" spans="1:29" s="2" customFormat="1" x14ac:dyDescent="0.2">
      <c r="A326" s="2" t="s">
        <v>1411</v>
      </c>
      <c r="B326" s="2" t="str">
        <f>LOWER(VLOOKUP(A326,Xtal_Templ!A:B,2,FALSE))</f>
        <v>crfr1_human</v>
      </c>
      <c r="C326" s="2" t="str">
        <f>VLOOKUP(A326,Classification!A:D,2,FALSE)</f>
        <v>B2</v>
      </c>
      <c r="P326" s="4" t="s">
        <v>51</v>
      </c>
      <c r="R326" s="71" t="str">
        <f>MID(VLOOKUP($A326,Seqs!$A:$B,2,FALSE),VLOOKUP($A326,'NonXtal_SegEnds_Prot#'!A:AL,10,FALSE),1)</f>
        <v>A</v>
      </c>
      <c r="S326" s="102" t="str">
        <f>MID(VLOOKUP($A326,Seqs!$A:$B,2,FALSE),VLOOKUP($A326,'NonXtal_SegEnds_Prot#'!A:AL,10,FALSE)+6,1)</f>
        <v>A</v>
      </c>
      <c r="T326" s="102" t="str">
        <f>MID(VLOOKUP($A326,Seqs!$A:$B,2,FALSE),VLOOKUP($A326,'NonXtal_SegEnds_Prot#'!A:AL,10,FALSE)+7,1)</f>
        <v>N</v>
      </c>
      <c r="U326" s="102" t="str">
        <f>MID(VLOOKUP($A326,Seqs!$A:$B,2,FALSE),VLOOKUP($A326,'NonXtal_SegEnds_Prot#'!A:AL,10,FALSE)+8,1)</f>
        <v>T</v>
      </c>
      <c r="V326" s="102" t="str">
        <f>MID(VLOOKUP($A326,Seqs!$A:$B,2,FALSE),VLOOKUP($A326,'NonXtal_SegEnds_Prot#'!A:AL,10,FALSE)+9,1)</f>
        <v>W</v>
      </c>
      <c r="W326" s="71" t="str">
        <f>MID(VLOOKUP($A326,Seqs!$A:$B,2,FALSE),VLOOKUP($A326,'NonXtal_SegEnds_Prot#'!$A:$AL,22,FALSE)+6,1)</f>
        <v>I</v>
      </c>
      <c r="X326" s="102" t="str">
        <f>MID(VLOOKUP($A326,Seqs!$A:$B,2,FALSE),VLOOKUP($A326,'NonXtal_SegEnds_Prot#'!$A:$AL,22,FALSE)+7,1)</f>
        <v>S</v>
      </c>
      <c r="Y326" s="102" t="str">
        <f>MID(VLOOKUP($A326,Seqs!$A:$B,2,FALSE),VLOOKUP($A326,'NonXtal_SegEnds_Prot#'!$A:$AL,22,FALSE)+8,1)</f>
        <v>V</v>
      </c>
      <c r="Z326" s="102" t="str">
        <f>MID(VLOOKUP($A326,Seqs!$A:$B,2,FALSE),VLOOKUP($A326,'NonXtal_SegEnds_Prot#'!$A:$AL,22,FALSE)+9,1)</f>
        <v>I</v>
      </c>
      <c r="AA326" s="102" t="str">
        <f>MID(VLOOKUP($A326,Seqs!$A:$B,2,FALSE),VLOOKUP($A326,'NonXtal_SegEnds_Prot#'!$A:$AL,22,FALSE)+10,1)</f>
        <v>T</v>
      </c>
      <c r="AB326" s="71" t="str">
        <f>MID(VLOOKUP($A326,Seqs!$A:$B,2,FALSE),VLOOKUP($A326,'NonXtal_SegEnds_Prot#'!$A:$AL,28,FALSE)-4,1)</f>
        <v>P</v>
      </c>
      <c r="AC326" s="102" t="str">
        <f>MID(VLOOKUP($A326,Seqs!$A:$B,2,FALSE),VLOOKUP($A326,'NonXtal_SegEnds_Prot#'!$A:$AL,28,FALSE),1)</f>
        <v>I</v>
      </c>
    </row>
    <row r="327" spans="1:29" s="2" customFormat="1" x14ac:dyDescent="0.2">
      <c r="A327" s="2" t="s">
        <v>1412</v>
      </c>
      <c r="B327" s="2" t="str">
        <f>LOWER(VLOOKUP(A327,Xtal_Templ!A:B,2,FALSE))</f>
        <v>crfr1_human</v>
      </c>
      <c r="C327" s="2" t="str">
        <f>VLOOKUP(A327,Classification!A:D,2,FALSE)</f>
        <v>B2</v>
      </c>
      <c r="P327" s="4" t="s">
        <v>51</v>
      </c>
      <c r="R327" s="71" t="str">
        <f>MID(VLOOKUP($A327,Seqs!$A:$B,2,FALSE),VLOOKUP($A327,'NonXtal_SegEnds_Prot#'!A:AL,10,FALSE),1)</f>
        <v>V</v>
      </c>
      <c r="S327" s="102" t="str">
        <f>MID(VLOOKUP($A327,Seqs!$A:$B,2,FALSE),VLOOKUP($A327,'NonXtal_SegEnds_Prot#'!A:AL,10,FALSE)+6,1)</f>
        <v>S</v>
      </c>
      <c r="T327" s="102" t="str">
        <f>MID(VLOOKUP($A327,Seqs!$A:$B,2,FALSE),VLOOKUP($A327,'NonXtal_SegEnds_Prot#'!A:AL,10,FALSE)+7,1)</f>
        <v>F</v>
      </c>
      <c r="U327" s="102" t="str">
        <f>MID(VLOOKUP($A327,Seqs!$A:$B,2,FALSE),VLOOKUP($A327,'NonXtal_SegEnds_Prot#'!A:AL,10,FALSE)+8,1)</f>
        <v>L</v>
      </c>
      <c r="V327" s="102" t="str">
        <f>MID(VLOOKUP($A327,Seqs!$A:$B,2,FALSE),VLOOKUP($A327,'NonXtal_SegEnds_Prot#'!A:AL,10,FALSE)+9,1)</f>
        <v>L</v>
      </c>
      <c r="W327" s="71" t="str">
        <f>MID(VLOOKUP($A327,Seqs!$A:$B,2,FALSE),VLOOKUP($A327,'NonXtal_SegEnds_Prot#'!$A:$AL,22,FALSE)+6,1)</f>
        <v>L</v>
      </c>
      <c r="X327" s="102" t="str">
        <f>MID(VLOOKUP($A327,Seqs!$A:$B,2,FALSE),VLOOKUP($A327,'NonXtal_SegEnds_Prot#'!$A:$AL,22,FALSE)+7,1)</f>
        <v>V</v>
      </c>
      <c r="Y327" s="102" t="str">
        <f>MID(VLOOKUP($A327,Seqs!$A:$B,2,FALSE),VLOOKUP($A327,'NonXtal_SegEnds_Prot#'!$A:$AL,22,FALSE)+8,1)</f>
        <v>T</v>
      </c>
      <c r="Z327" s="102" t="str">
        <f>MID(VLOOKUP($A327,Seqs!$A:$B,2,FALSE),VLOOKUP($A327,'NonXtal_SegEnds_Prot#'!$A:$AL,22,FALSE)+9,1)</f>
        <v>L</v>
      </c>
      <c r="AA327" s="102" t="str">
        <f>MID(VLOOKUP($A327,Seqs!$A:$B,2,FALSE),VLOOKUP($A327,'NonXtal_SegEnds_Prot#'!$A:$AL,22,FALSE)+10,1)</f>
        <v>V</v>
      </c>
      <c r="AB327" s="71" t="str">
        <f>MID(VLOOKUP($A327,Seqs!$A:$B,2,FALSE),VLOOKUP($A327,'NonXtal_SegEnds_Prot#'!$A:$AL,28,FALSE)-4,1)</f>
        <v>L</v>
      </c>
      <c r="AC327" s="102" t="str">
        <f>MID(VLOOKUP($A327,Seqs!$A:$B,2,FALSE),VLOOKUP($A327,'NonXtal_SegEnds_Prot#'!$A:$AL,28,FALSE),1)</f>
        <v>V</v>
      </c>
    </row>
    <row r="328" spans="1:29" s="2" customFormat="1" x14ac:dyDescent="0.2">
      <c r="A328" s="2" t="s">
        <v>1413</v>
      </c>
      <c r="B328" s="2" t="str">
        <f>LOWER(VLOOKUP(A328,Xtal_Templ!A:B,2,FALSE))</f>
        <v>crfr1_human</v>
      </c>
      <c r="C328" s="2" t="str">
        <f>VLOOKUP(A328,Classification!A:D,2,FALSE)</f>
        <v>B2</v>
      </c>
      <c r="P328" s="4" t="s">
        <v>51</v>
      </c>
      <c r="R328" s="71" t="str">
        <f>MID(VLOOKUP($A328,Seqs!$A:$B,2,FALSE),VLOOKUP($A328,'NonXtal_SegEnds_Prot#'!A:AL,10,FALSE),1)</f>
        <v>L</v>
      </c>
      <c r="S328" s="102" t="str">
        <f>MID(VLOOKUP($A328,Seqs!$A:$B,2,FALSE),VLOOKUP($A328,'NonXtal_SegEnds_Prot#'!A:AL,10,FALSE)+6,1)</f>
        <v>V</v>
      </c>
      <c r="T328" s="102" t="str">
        <f>MID(VLOOKUP($A328,Seqs!$A:$B,2,FALSE),VLOOKUP($A328,'NonXtal_SegEnds_Prot#'!A:AL,10,FALSE)+7,1)</f>
        <v>F</v>
      </c>
      <c r="U328" s="102" t="str">
        <f>MID(VLOOKUP($A328,Seqs!$A:$B,2,FALSE),VLOOKUP($A328,'NonXtal_SegEnds_Prot#'!A:AL,10,FALSE)+8,1)</f>
        <v>L</v>
      </c>
      <c r="V328" s="102" t="str">
        <f>MID(VLOOKUP($A328,Seqs!$A:$B,2,FALSE),VLOOKUP($A328,'NonXtal_SegEnds_Prot#'!A:AL,10,FALSE)+9,1)</f>
        <v>L</v>
      </c>
      <c r="W328" s="71" t="str">
        <f>MID(VLOOKUP($A328,Seqs!$A:$B,2,FALSE),VLOOKUP($A328,'NonXtal_SegEnds_Prot#'!$A:$AL,22,FALSE)+6,1)</f>
        <v>V</v>
      </c>
      <c r="X328" s="102" t="str">
        <f>MID(VLOOKUP($A328,Seqs!$A:$B,2,FALSE),VLOOKUP($A328,'NonXtal_SegEnds_Prot#'!$A:$AL,22,FALSE)+7,1)</f>
        <v>V</v>
      </c>
      <c r="Y328" s="102" t="str">
        <f>MID(VLOOKUP($A328,Seqs!$A:$B,2,FALSE),VLOOKUP($A328,'NonXtal_SegEnds_Prot#'!$A:$AL,22,FALSE)+8,1)</f>
        <v>T</v>
      </c>
      <c r="Z328" s="102" t="str">
        <f>MID(VLOOKUP($A328,Seqs!$A:$B,2,FALSE),VLOOKUP($A328,'NonXtal_SegEnds_Prot#'!$A:$AL,22,FALSE)+9,1)</f>
        <v>I</v>
      </c>
      <c r="AA328" s="102" t="str">
        <f>MID(VLOOKUP($A328,Seqs!$A:$B,2,FALSE),VLOOKUP($A328,'NonXtal_SegEnds_Prot#'!$A:$AL,22,FALSE)+10,1)</f>
        <v>I</v>
      </c>
      <c r="AB328" s="71" t="str">
        <f>MID(VLOOKUP($A328,Seqs!$A:$B,2,FALSE),VLOOKUP($A328,'NonXtal_SegEnds_Prot#'!$A:$AL,28,FALSE)-4,1)</f>
        <v>Y</v>
      </c>
      <c r="AC328" s="102" t="str">
        <f>MID(VLOOKUP($A328,Seqs!$A:$B,2,FALSE),VLOOKUP($A328,'NonXtal_SegEnds_Prot#'!$A:$AL,28,FALSE),1)</f>
        <v>I</v>
      </c>
    </row>
    <row r="329" spans="1:29" s="2" customFormat="1" x14ac:dyDescent="0.2">
      <c r="A329" s="2" t="s">
        <v>1414</v>
      </c>
      <c r="B329" s="2" t="str">
        <f>LOWER(VLOOKUP(A329,Xtal_Templ!A:B,2,FALSE))</f>
        <v>crfr1_human</v>
      </c>
      <c r="C329" s="2" t="str">
        <f>VLOOKUP(A329,Classification!A:D,2,FALSE)</f>
        <v>B2</v>
      </c>
      <c r="P329" s="4" t="s">
        <v>51</v>
      </c>
      <c r="R329" s="71" t="str">
        <f>MID(VLOOKUP($A329,Seqs!$A:$B,2,FALSE),VLOOKUP($A329,'NonXtal_SegEnds_Prot#'!A:AL,10,FALSE),1)</f>
        <v>L</v>
      </c>
      <c r="S329" s="102" t="str">
        <f>MID(VLOOKUP($A329,Seqs!$A:$B,2,FALSE),VLOOKUP($A329,'NonXtal_SegEnds_Prot#'!A:AL,10,FALSE)+6,1)</f>
        <v>A</v>
      </c>
      <c r="T329" s="102" t="str">
        <f>MID(VLOOKUP($A329,Seqs!$A:$B,2,FALSE),VLOOKUP($A329,'NonXtal_SegEnds_Prot#'!A:AL,10,FALSE)+7,1)</f>
        <v>F</v>
      </c>
      <c r="U329" s="102" t="str">
        <f>MID(VLOOKUP($A329,Seqs!$A:$B,2,FALSE),VLOOKUP($A329,'NonXtal_SegEnds_Prot#'!A:AL,10,FALSE)+8,1)</f>
        <v>L</v>
      </c>
      <c r="V329" s="102" t="str">
        <f>MID(VLOOKUP($A329,Seqs!$A:$B,2,FALSE),VLOOKUP($A329,'NonXtal_SegEnds_Prot#'!A:AL,10,FALSE)+9,1)</f>
        <v>V</v>
      </c>
      <c r="W329" s="71" t="str">
        <f>MID(VLOOKUP($A329,Seqs!$A:$B,2,FALSE),VLOOKUP($A329,'NonXtal_SegEnds_Prot#'!$A:$AL,22,FALSE)+6,1)</f>
        <v>M</v>
      </c>
      <c r="X329" s="102" t="str">
        <f>MID(VLOOKUP($A329,Seqs!$A:$B,2,FALSE),VLOOKUP($A329,'NonXtal_SegEnds_Prot#'!$A:$AL,22,FALSE)+7,1)</f>
        <v>V</v>
      </c>
      <c r="Y329" s="102" t="str">
        <f>MID(VLOOKUP($A329,Seqs!$A:$B,2,FALSE),VLOOKUP($A329,'NonXtal_SegEnds_Prot#'!$A:$AL,22,FALSE)+8,1)</f>
        <v>I</v>
      </c>
      <c r="Z329" s="102" t="str">
        <f>MID(VLOOKUP($A329,Seqs!$A:$B,2,FALSE),VLOOKUP($A329,'NonXtal_SegEnds_Prot#'!$A:$AL,22,FALSE)+9,1)</f>
        <v>G</v>
      </c>
      <c r="AA329" s="102" t="str">
        <f>MID(VLOOKUP($A329,Seqs!$A:$B,2,FALSE),VLOOKUP($A329,'NonXtal_SegEnds_Prot#'!$A:$AL,22,FALSE)+10,1)</f>
        <v>T</v>
      </c>
      <c r="AB329" s="71" t="str">
        <f>MID(VLOOKUP($A329,Seqs!$A:$B,2,FALSE),VLOOKUP($A329,'NonXtal_SegEnds_Prot#'!$A:$AL,28,FALSE)-4,1)</f>
        <v>T</v>
      </c>
      <c r="AC329" s="102" t="str">
        <f>MID(VLOOKUP($A329,Seqs!$A:$B,2,FALSE),VLOOKUP($A329,'NonXtal_SegEnds_Prot#'!$A:$AL,28,FALSE),1)</f>
        <v>Y</v>
      </c>
    </row>
    <row r="330" spans="1:29" s="2" customFormat="1" x14ac:dyDescent="0.2">
      <c r="A330" s="2" t="s">
        <v>1415</v>
      </c>
      <c r="B330" s="2" t="str">
        <f>LOWER(VLOOKUP(A330,Xtal_Templ!A:B,2,FALSE))</f>
        <v>crfr1_human</v>
      </c>
      <c r="C330" s="2" t="str">
        <f>VLOOKUP(A330,Classification!A:D,2,FALSE)</f>
        <v>B2</v>
      </c>
      <c r="P330" s="4" t="s">
        <v>51</v>
      </c>
      <c r="R330" s="71" t="str">
        <f>MID(VLOOKUP($A330,Seqs!$A:$B,2,FALSE),VLOOKUP($A330,'NonXtal_SegEnds_Prot#'!A:AL,10,FALSE),1)</f>
        <v>L</v>
      </c>
      <c r="S330" s="102" t="str">
        <f>MID(VLOOKUP($A330,Seqs!$A:$B,2,FALSE),VLOOKUP($A330,'NonXtal_SegEnds_Prot#'!A:AL,10,FALSE)+6,1)</f>
        <v>V</v>
      </c>
      <c r="T330" s="102" t="str">
        <f>MID(VLOOKUP($A330,Seqs!$A:$B,2,FALSE),VLOOKUP($A330,'NonXtal_SegEnds_Prot#'!A:AL,10,FALSE)+7,1)</f>
        <v>F</v>
      </c>
      <c r="U330" s="102" t="str">
        <f>MID(VLOOKUP($A330,Seqs!$A:$B,2,FALSE),VLOOKUP($A330,'NonXtal_SegEnds_Prot#'!A:AL,10,FALSE)+8,1)</f>
        <v>L</v>
      </c>
      <c r="V330" s="102" t="str">
        <f>MID(VLOOKUP($A330,Seqs!$A:$B,2,FALSE),VLOOKUP($A330,'NonXtal_SegEnds_Prot#'!A:AL,10,FALSE)+9,1)</f>
        <v>I</v>
      </c>
      <c r="W330" s="71" t="str">
        <f>MID(VLOOKUP($A330,Seqs!$A:$B,2,FALSE),VLOOKUP($A330,'NonXtal_SegEnds_Prot#'!$A:$AL,22,FALSE)+6,1)</f>
        <v>M</v>
      </c>
      <c r="X330" s="102" t="str">
        <f>MID(VLOOKUP($A330,Seqs!$A:$B,2,FALSE),VLOOKUP($A330,'NonXtal_SegEnds_Prot#'!$A:$AL,22,FALSE)+7,1)</f>
        <v>V</v>
      </c>
      <c r="Y330" s="102" t="str">
        <f>MID(VLOOKUP($A330,Seqs!$A:$B,2,FALSE),VLOOKUP($A330,'NonXtal_SegEnds_Prot#'!$A:$AL,22,FALSE)+8,1)</f>
        <v>A</v>
      </c>
      <c r="Z330" s="102" t="str">
        <f>MID(VLOOKUP($A330,Seqs!$A:$B,2,FALSE),VLOOKUP($A330,'NonXtal_SegEnds_Prot#'!$A:$AL,22,FALSE)+9,1)</f>
        <v>I</v>
      </c>
      <c r="AA330" s="102" t="str">
        <f>MID(VLOOKUP($A330,Seqs!$A:$B,2,FALSE),VLOOKUP($A330,'NonXtal_SegEnds_Prot#'!$A:$AL,22,FALSE)+10,1)</f>
        <v>T</v>
      </c>
      <c r="AB330" s="71" t="str">
        <f>MID(VLOOKUP($A330,Seqs!$A:$B,2,FALSE),VLOOKUP($A330,'NonXtal_SegEnds_Prot#'!$A:$AL,28,FALSE)-4,1)</f>
        <v>Y</v>
      </c>
      <c r="AC330" s="102" t="str">
        <f>MID(VLOOKUP($A330,Seqs!$A:$B,2,FALSE),VLOOKUP($A330,'NonXtal_SegEnds_Prot#'!$A:$AL,28,FALSE),1)</f>
        <v>I</v>
      </c>
    </row>
    <row r="331" spans="1:29" s="2" customFormat="1" x14ac:dyDescent="0.2">
      <c r="A331" s="2" t="s">
        <v>1416</v>
      </c>
      <c r="B331" s="2" t="str">
        <f>LOWER(VLOOKUP(A331,Xtal_Templ!A:B,2,FALSE))</f>
        <v>crfr1_human</v>
      </c>
      <c r="C331" s="2" t="str">
        <f>VLOOKUP(A331,Classification!A:D,2,FALSE)</f>
        <v>B2</v>
      </c>
      <c r="P331" s="4" t="s">
        <v>51</v>
      </c>
      <c r="R331" s="71" t="str">
        <f>MID(VLOOKUP($A331,Seqs!$A:$B,2,FALSE),VLOOKUP($A331,'NonXtal_SegEnds_Prot#'!A:AL,10,FALSE),1)</f>
        <v>V</v>
      </c>
      <c r="S331" s="102" t="str">
        <f>MID(VLOOKUP($A331,Seqs!$A:$B,2,FALSE),VLOOKUP($A331,'NonXtal_SegEnds_Prot#'!A:AL,10,FALSE)+6,1)</f>
        <v>A</v>
      </c>
      <c r="T331" s="102" t="str">
        <f>MID(VLOOKUP($A331,Seqs!$A:$B,2,FALSE),VLOOKUP($A331,'NonXtal_SegEnds_Prot#'!A:AL,10,FALSE)+7,1)</f>
        <v>F</v>
      </c>
      <c r="U331" s="102" t="str">
        <f>MID(VLOOKUP($A331,Seqs!$A:$B,2,FALSE),VLOOKUP($A331,'NonXtal_SegEnds_Prot#'!A:AL,10,FALSE)+8,1)</f>
        <v>L</v>
      </c>
      <c r="V331" s="102" t="str">
        <f>MID(VLOOKUP($A331,Seqs!$A:$B,2,FALSE),VLOOKUP($A331,'NonXtal_SegEnds_Prot#'!A:AL,10,FALSE)+9,1)</f>
        <v>L</v>
      </c>
      <c r="W331" s="71" t="str">
        <f>MID(VLOOKUP($A331,Seqs!$A:$B,2,FALSE),VLOOKUP($A331,'NonXtal_SegEnds_Prot#'!$A:$AL,22,FALSE)+6,1)</f>
        <v>L</v>
      </c>
      <c r="X331" s="102" t="str">
        <f>MID(VLOOKUP($A331,Seqs!$A:$B,2,FALSE),VLOOKUP($A331,'NonXtal_SegEnds_Prot#'!$A:$AL,22,FALSE)+7,1)</f>
        <v>V</v>
      </c>
      <c r="Y331" s="102" t="str">
        <f>MID(VLOOKUP($A331,Seqs!$A:$B,2,FALSE),VLOOKUP($A331,'NonXtal_SegEnds_Prot#'!$A:$AL,22,FALSE)+8,1)</f>
        <v>L</v>
      </c>
      <c r="Z331" s="102" t="str">
        <f>MID(VLOOKUP($A331,Seqs!$A:$B,2,FALSE),VLOOKUP($A331,'NonXtal_SegEnds_Prot#'!$A:$AL,22,FALSE)+9,1)</f>
        <v>L</v>
      </c>
      <c r="AA331" s="102" t="str">
        <f>MID(VLOOKUP($A331,Seqs!$A:$B,2,FALSE),VLOOKUP($A331,'NonXtal_SegEnds_Prot#'!$A:$AL,22,FALSE)+10,1)</f>
        <v>S</v>
      </c>
      <c r="AB331" s="71" t="str">
        <f>MID(VLOOKUP($A331,Seqs!$A:$B,2,FALSE),VLOOKUP($A331,'NonXtal_SegEnds_Prot#'!$A:$AL,28,FALSE)-4,1)</f>
        <v>Y</v>
      </c>
      <c r="AC331" s="102" t="str">
        <f>MID(VLOOKUP($A331,Seqs!$A:$B,2,FALSE),VLOOKUP($A331,'NonXtal_SegEnds_Prot#'!$A:$AL,28,FALSE),1)</f>
        <v>T</v>
      </c>
    </row>
    <row r="332" spans="1:29" s="2" customFormat="1" x14ac:dyDescent="0.2">
      <c r="A332" s="2" t="s">
        <v>1417</v>
      </c>
      <c r="B332" s="2" t="str">
        <f>LOWER(VLOOKUP(A332,Xtal_Templ!A:B,2,FALSE))</f>
        <v>crfr1_human</v>
      </c>
      <c r="C332" s="2" t="str">
        <f>VLOOKUP(A332,Classification!A:D,2,FALSE)</f>
        <v>B2</v>
      </c>
      <c r="P332" s="4" t="s">
        <v>51</v>
      </c>
      <c r="R332" s="71" t="str">
        <f>MID(VLOOKUP($A332,Seqs!$A:$B,2,FALSE),VLOOKUP($A332,'NonXtal_SegEnds_Prot#'!A:AL,10,FALSE),1)</f>
        <v>M</v>
      </c>
      <c r="S332" s="102" t="str">
        <f>MID(VLOOKUP($A332,Seqs!$A:$B,2,FALSE),VLOOKUP($A332,'NonXtal_SegEnds_Prot#'!A:AL,10,FALSE)+6,1)</f>
        <v>L</v>
      </c>
      <c r="T332" s="102" t="str">
        <f>MID(VLOOKUP($A332,Seqs!$A:$B,2,FALSE),VLOOKUP($A332,'NonXtal_SegEnds_Prot#'!A:AL,10,FALSE)+7,1)</f>
        <v>F</v>
      </c>
      <c r="U332" s="102" t="str">
        <f>MID(VLOOKUP($A332,Seqs!$A:$B,2,FALSE),VLOOKUP($A332,'NonXtal_SegEnds_Prot#'!A:AL,10,FALSE)+8,1)</f>
        <v>V</v>
      </c>
      <c r="V332" s="102" t="str">
        <f>MID(VLOOKUP($A332,Seqs!$A:$B,2,FALSE),VLOOKUP($A332,'NonXtal_SegEnds_Prot#'!A:AL,10,FALSE)+9,1)</f>
        <v>F</v>
      </c>
      <c r="W332" s="71" t="str">
        <f>MID(VLOOKUP($A332,Seqs!$A:$B,2,FALSE),VLOOKUP($A332,'NonXtal_SegEnds_Prot#'!$A:$AL,22,FALSE)+6,1)</f>
        <v>V</v>
      </c>
      <c r="X332" s="102" t="str">
        <f>MID(VLOOKUP($A332,Seqs!$A:$B,2,FALSE),VLOOKUP($A332,'NonXtal_SegEnds_Prot#'!$A:$AL,22,FALSE)+7,1)</f>
        <v>V</v>
      </c>
      <c r="Y332" s="102" t="str">
        <f>MID(VLOOKUP($A332,Seqs!$A:$B,2,FALSE),VLOOKUP($A332,'NonXtal_SegEnds_Prot#'!$A:$AL,22,FALSE)+8,1)</f>
        <v>A</v>
      </c>
      <c r="Z332" s="102" t="str">
        <f>MID(VLOOKUP($A332,Seqs!$A:$B,2,FALSE),VLOOKUP($A332,'NonXtal_SegEnds_Prot#'!$A:$AL,22,FALSE)+9,1)</f>
        <v>I</v>
      </c>
      <c r="AA332" s="102" t="str">
        <f>MID(VLOOKUP($A332,Seqs!$A:$B,2,FALSE),VLOOKUP($A332,'NonXtal_SegEnds_Prot#'!$A:$AL,22,FALSE)+10,1)</f>
        <v>T</v>
      </c>
      <c r="AB332" s="71" t="str">
        <f>MID(VLOOKUP($A332,Seqs!$A:$B,2,FALSE),VLOOKUP($A332,'NonXtal_SegEnds_Prot#'!$A:$AL,28,FALSE)-4,1)</f>
        <v>P</v>
      </c>
      <c r="AC332" s="102" t="str">
        <f>MID(VLOOKUP($A332,Seqs!$A:$B,2,FALSE),VLOOKUP($A332,'NonXtal_SegEnds_Prot#'!$A:$AL,28,FALSE),1)</f>
        <v>I</v>
      </c>
    </row>
    <row r="333" spans="1:29" s="2" customFormat="1" x14ac:dyDescent="0.2">
      <c r="A333" s="2" t="s">
        <v>1418</v>
      </c>
      <c r="B333" s="2" t="str">
        <f>LOWER(VLOOKUP(A333,Xtal_Templ!A:B,2,FALSE))</f>
        <v>crfr1_human</v>
      </c>
      <c r="C333" s="2" t="str">
        <f>VLOOKUP(A333,Classification!A:D,2,FALSE)</f>
        <v>B2</v>
      </c>
      <c r="P333" s="4" t="s">
        <v>51</v>
      </c>
      <c r="R333" s="71" t="str">
        <f>MID(VLOOKUP($A333,Seqs!$A:$B,2,FALSE),VLOOKUP($A333,'NonXtal_SegEnds_Prot#'!A:AL,10,FALSE),1)</f>
        <v>L</v>
      </c>
      <c r="S333" s="102" t="str">
        <f>MID(VLOOKUP($A333,Seqs!$A:$B,2,FALSE),VLOOKUP($A333,'NonXtal_SegEnds_Prot#'!A:AL,10,FALSE)+6,1)</f>
        <v>L</v>
      </c>
      <c r="T333" s="102" t="str">
        <f>MID(VLOOKUP($A333,Seqs!$A:$B,2,FALSE),VLOOKUP($A333,'NonXtal_SegEnds_Prot#'!A:AL,10,FALSE)+7,1)</f>
        <v>F</v>
      </c>
      <c r="U333" s="102" t="str">
        <f>MID(VLOOKUP($A333,Seqs!$A:$B,2,FALSE),VLOOKUP($A333,'NonXtal_SegEnds_Prot#'!A:AL,10,FALSE)+8,1)</f>
        <v>L</v>
      </c>
      <c r="V333" s="102" t="str">
        <f>MID(VLOOKUP($A333,Seqs!$A:$B,2,FALSE),VLOOKUP($A333,'NonXtal_SegEnds_Prot#'!A:AL,10,FALSE)+9,1)</f>
        <v>V</v>
      </c>
      <c r="W333" s="71" t="str">
        <f>MID(VLOOKUP($A333,Seqs!$A:$B,2,FALSE),VLOOKUP($A333,'NonXtal_SegEnds_Prot#'!$A:$AL,22,FALSE)+6,1)</f>
        <v>V</v>
      </c>
      <c r="X333" s="102" t="str">
        <f>MID(VLOOKUP($A333,Seqs!$A:$B,2,FALSE),VLOOKUP($A333,'NonXtal_SegEnds_Prot#'!$A:$AL,22,FALSE)+7,1)</f>
        <v>V</v>
      </c>
      <c r="Y333" s="102" t="str">
        <f>MID(VLOOKUP($A333,Seqs!$A:$B,2,FALSE),VLOOKUP($A333,'NonXtal_SegEnds_Prot#'!$A:$AL,22,FALSE)+8,1)</f>
        <v>G</v>
      </c>
      <c r="Z333" s="102" t="str">
        <f>MID(VLOOKUP($A333,Seqs!$A:$B,2,FALSE),VLOOKUP($A333,'NonXtal_SegEnds_Prot#'!$A:$AL,22,FALSE)+9,1)</f>
        <v>I</v>
      </c>
      <c r="AA333" s="102" t="str">
        <f>MID(VLOOKUP($A333,Seqs!$A:$B,2,FALSE),VLOOKUP($A333,'NonXtal_SegEnds_Prot#'!$A:$AL,22,FALSE)+10,1)</f>
        <v>A</v>
      </c>
      <c r="AB333" s="71" t="str">
        <f>MID(VLOOKUP($A333,Seqs!$A:$B,2,FALSE),VLOOKUP($A333,'NonXtal_SegEnds_Prot#'!$A:$AL,28,FALSE)-4,1)</f>
        <v>P</v>
      </c>
      <c r="AC333" s="102" t="str">
        <f>MID(VLOOKUP($A333,Seqs!$A:$B,2,FALSE),VLOOKUP($A333,'NonXtal_SegEnds_Prot#'!$A:$AL,28,FALSE),1)</f>
        <v>V</v>
      </c>
    </row>
    <row r="334" spans="1:29" s="2" customFormat="1" x14ac:dyDescent="0.2">
      <c r="A334" s="2" t="s">
        <v>1419</v>
      </c>
      <c r="B334" s="2" t="str">
        <f>LOWER(VLOOKUP(A334,Xtal_Templ!A:B,2,FALSE))</f>
        <v>crfr1_human</v>
      </c>
      <c r="C334" s="2" t="str">
        <f>VLOOKUP(A334,Classification!A:D,2,FALSE)</f>
        <v>B2</v>
      </c>
      <c r="P334" s="4" t="s">
        <v>51</v>
      </c>
      <c r="R334" s="71" t="str">
        <f>MID(VLOOKUP($A334,Seqs!$A:$B,2,FALSE),VLOOKUP($A334,'NonXtal_SegEnds_Prot#'!A:AL,10,FALSE),1)</f>
        <v>L</v>
      </c>
      <c r="S334" s="102" t="str">
        <f>MID(VLOOKUP($A334,Seqs!$A:$B,2,FALSE),VLOOKUP($A334,'NonXtal_SegEnds_Prot#'!A:AL,10,FALSE)+6,1)</f>
        <v>I</v>
      </c>
      <c r="T334" s="102" t="str">
        <f>MID(VLOOKUP($A334,Seqs!$A:$B,2,FALSE),VLOOKUP($A334,'NonXtal_SegEnds_Prot#'!A:AL,10,FALSE)+7,1)</f>
        <v>F</v>
      </c>
      <c r="U334" s="102" t="str">
        <f>MID(VLOOKUP($A334,Seqs!$A:$B,2,FALSE),VLOOKUP($A334,'NonXtal_SegEnds_Prot#'!A:AL,10,FALSE)+8,1)</f>
        <v>L</v>
      </c>
      <c r="V334" s="102" t="str">
        <f>MID(VLOOKUP($A334,Seqs!$A:$B,2,FALSE),VLOOKUP($A334,'NonXtal_SegEnds_Prot#'!A:AL,10,FALSE)+9,1)</f>
        <v>I</v>
      </c>
      <c r="W334" s="71" t="str">
        <f>MID(VLOOKUP($A334,Seqs!$A:$B,2,FALSE),VLOOKUP($A334,'NonXtal_SegEnds_Prot#'!$A:$AL,22,FALSE)+6,1)</f>
        <v>V</v>
      </c>
      <c r="X334" s="102" t="str">
        <f>MID(VLOOKUP($A334,Seqs!$A:$B,2,FALSE),VLOOKUP($A334,'NonXtal_SegEnds_Prot#'!$A:$AL,22,FALSE)+7,1)</f>
        <v>V</v>
      </c>
      <c r="Y334" s="102" t="str">
        <f>MID(VLOOKUP($A334,Seqs!$A:$B,2,FALSE),VLOOKUP($A334,'NonXtal_SegEnds_Prot#'!$A:$AL,22,FALSE)+8,1)</f>
        <v>G</v>
      </c>
      <c r="Z334" s="102" t="str">
        <f>MID(VLOOKUP($A334,Seqs!$A:$B,2,FALSE),VLOOKUP($A334,'NonXtal_SegEnds_Prot#'!$A:$AL,22,FALSE)+9,1)</f>
        <v>V</v>
      </c>
      <c r="AA334" s="102" t="str">
        <f>MID(VLOOKUP($A334,Seqs!$A:$B,2,FALSE),VLOOKUP($A334,'NonXtal_SegEnds_Prot#'!$A:$AL,22,FALSE)+10,1)</f>
        <v>S</v>
      </c>
      <c r="AB334" s="71" t="str">
        <f>MID(VLOOKUP($A334,Seqs!$A:$B,2,FALSE),VLOOKUP($A334,'NonXtal_SegEnds_Prot#'!$A:$AL,28,FALSE)-4,1)</f>
        <v>P</v>
      </c>
      <c r="AC334" s="102" t="str">
        <f>MID(VLOOKUP($A334,Seqs!$A:$B,2,FALSE),VLOOKUP($A334,'NonXtal_SegEnds_Prot#'!$A:$AL,28,FALSE),1)</f>
        <v>I</v>
      </c>
    </row>
    <row r="335" spans="1:29" s="2" customFormat="1" x14ac:dyDescent="0.2">
      <c r="A335" s="2" t="s">
        <v>1420</v>
      </c>
      <c r="B335" s="2" t="str">
        <f>LOWER(VLOOKUP(A335,Xtal_Templ!A:B,2,FALSE))</f>
        <v>crfr1_human</v>
      </c>
      <c r="C335" s="2" t="str">
        <f>VLOOKUP(A335,Classification!A:D,2,FALSE)</f>
        <v>B2</v>
      </c>
      <c r="P335" s="4" t="s">
        <v>51</v>
      </c>
      <c r="R335" s="71" t="str">
        <f>MID(VLOOKUP($A335,Seqs!$A:$B,2,FALSE),VLOOKUP($A335,'NonXtal_SegEnds_Prot#'!A:AL,10,FALSE),1)</f>
        <v>L</v>
      </c>
      <c r="S335" s="102" t="str">
        <f>MID(VLOOKUP($A335,Seqs!$A:$B,2,FALSE),VLOOKUP($A335,'NonXtal_SegEnds_Prot#'!A:AL,10,FALSE)+6,1)</f>
        <v>L</v>
      </c>
      <c r="T335" s="102" t="str">
        <f>MID(VLOOKUP($A335,Seqs!$A:$B,2,FALSE),VLOOKUP($A335,'NonXtal_SegEnds_Prot#'!A:AL,10,FALSE)+7,1)</f>
        <v>F</v>
      </c>
      <c r="U335" s="102" t="str">
        <f>MID(VLOOKUP($A335,Seqs!$A:$B,2,FALSE),VLOOKUP($A335,'NonXtal_SegEnds_Prot#'!A:AL,10,FALSE)+8,1)</f>
        <v>L</v>
      </c>
      <c r="V335" s="102" t="str">
        <f>MID(VLOOKUP($A335,Seqs!$A:$B,2,FALSE),VLOOKUP($A335,'NonXtal_SegEnds_Prot#'!A:AL,10,FALSE)+9,1)</f>
        <v>I</v>
      </c>
      <c r="W335" s="71" t="str">
        <f>MID(VLOOKUP($A335,Seqs!$A:$B,2,FALSE),VLOOKUP($A335,'NonXtal_SegEnds_Prot#'!$A:$AL,22,FALSE)+6,1)</f>
        <v>I</v>
      </c>
      <c r="X335" s="102" t="str">
        <f>MID(VLOOKUP($A335,Seqs!$A:$B,2,FALSE),VLOOKUP($A335,'NonXtal_SegEnds_Prot#'!$A:$AL,22,FALSE)+7,1)</f>
        <v>V</v>
      </c>
      <c r="Y335" s="102" t="str">
        <f>MID(VLOOKUP($A335,Seqs!$A:$B,2,FALSE),VLOOKUP($A335,'NonXtal_SegEnds_Prot#'!$A:$AL,22,FALSE)+8,1)</f>
        <v>A</v>
      </c>
      <c r="Z335" s="102" t="str">
        <f>MID(VLOOKUP($A335,Seqs!$A:$B,2,FALSE),VLOOKUP($A335,'NonXtal_SegEnds_Prot#'!$A:$AL,22,FALSE)+9,1)</f>
        <v>V</v>
      </c>
      <c r="AA335" s="102" t="str">
        <f>MID(VLOOKUP($A335,Seqs!$A:$B,2,FALSE),VLOOKUP($A335,'NonXtal_SegEnds_Prot#'!$A:$AL,22,FALSE)+10,1)</f>
        <v>S</v>
      </c>
      <c r="AB335" s="71" t="str">
        <f>MID(VLOOKUP($A335,Seqs!$A:$B,2,FALSE),VLOOKUP($A335,'NonXtal_SegEnds_Prot#'!$A:$AL,28,FALSE)-4,1)</f>
        <v>P</v>
      </c>
      <c r="AC335" s="102" t="str">
        <f>MID(VLOOKUP($A335,Seqs!$A:$B,2,FALSE),VLOOKUP($A335,'NonXtal_SegEnds_Prot#'!$A:$AL,28,FALSE),1)</f>
        <v>I</v>
      </c>
    </row>
    <row r="336" spans="1:29" s="2" customFormat="1" x14ac:dyDescent="0.2">
      <c r="A336" s="2" t="s">
        <v>1421</v>
      </c>
      <c r="B336" s="2" t="str">
        <f>LOWER(VLOOKUP(A336,Xtal_Templ!A:B,2,FALSE))</f>
        <v>crfr1_human</v>
      </c>
      <c r="C336" s="2" t="str">
        <f>VLOOKUP(A336,Classification!A:D,2,FALSE)</f>
        <v>B2</v>
      </c>
      <c r="P336" s="4" t="s">
        <v>51</v>
      </c>
      <c r="R336" s="71" t="str">
        <f>MID(VLOOKUP($A336,Seqs!$A:$B,2,FALSE),VLOOKUP($A336,'NonXtal_SegEnds_Prot#'!A:AL,10,FALSE),1)</f>
        <v>L</v>
      </c>
      <c r="S336" s="102" t="str">
        <f>MID(VLOOKUP($A336,Seqs!$A:$B,2,FALSE),VLOOKUP($A336,'NonXtal_SegEnds_Prot#'!A:AL,10,FALSE)+6,1)</f>
        <v>V</v>
      </c>
      <c r="T336" s="102" t="str">
        <f>MID(VLOOKUP($A336,Seqs!$A:$B,2,FALSE),VLOOKUP($A336,'NonXtal_SegEnds_Prot#'!A:AL,10,FALSE)+7,1)</f>
        <v>F</v>
      </c>
      <c r="U336" s="102" t="str">
        <f>MID(VLOOKUP($A336,Seqs!$A:$B,2,FALSE),VLOOKUP($A336,'NonXtal_SegEnds_Prot#'!A:AL,10,FALSE)+8,1)</f>
        <v>L</v>
      </c>
      <c r="V336" s="102" t="str">
        <f>MID(VLOOKUP($A336,Seqs!$A:$B,2,FALSE),VLOOKUP($A336,'NonXtal_SegEnds_Prot#'!A:AL,10,FALSE)+9,1)</f>
        <v>V</v>
      </c>
      <c r="W336" s="71" t="str">
        <f>MID(VLOOKUP($A336,Seqs!$A:$B,2,FALSE),VLOOKUP($A336,'NonXtal_SegEnds_Prot#'!$A:$AL,22,FALSE)+6,1)</f>
        <v>V</v>
      </c>
      <c r="X336" s="102" t="str">
        <f>MID(VLOOKUP($A336,Seqs!$A:$B,2,FALSE),VLOOKUP($A336,'NonXtal_SegEnds_Prot#'!$A:$AL,22,FALSE)+7,1)</f>
        <v>V</v>
      </c>
      <c r="Y336" s="102" t="str">
        <f>MID(VLOOKUP($A336,Seqs!$A:$B,2,FALSE),VLOOKUP($A336,'NonXtal_SegEnds_Prot#'!$A:$AL,22,FALSE)+8,1)</f>
        <v>G</v>
      </c>
      <c r="Z336" s="102" t="str">
        <f>MID(VLOOKUP($A336,Seqs!$A:$B,2,FALSE),VLOOKUP($A336,'NonXtal_SegEnds_Prot#'!$A:$AL,22,FALSE)+9,1)</f>
        <v>F</v>
      </c>
      <c r="AA336" s="102" t="str">
        <f>MID(VLOOKUP($A336,Seqs!$A:$B,2,FALSE),VLOOKUP($A336,'NonXtal_SegEnds_Prot#'!$A:$AL,22,FALSE)+10,1)</f>
        <v>S</v>
      </c>
      <c r="AB336" s="71" t="str">
        <f>MID(VLOOKUP($A336,Seqs!$A:$B,2,FALSE),VLOOKUP($A336,'NonXtal_SegEnds_Prot#'!$A:$AL,28,FALSE)-4,1)</f>
        <v>P</v>
      </c>
      <c r="AC336" s="102" t="str">
        <f>MID(VLOOKUP($A336,Seqs!$A:$B,2,FALSE),VLOOKUP($A336,'NonXtal_SegEnds_Prot#'!$A:$AL,28,FALSE),1)</f>
        <v>I</v>
      </c>
    </row>
    <row r="337" spans="1:29" s="2" customFormat="1" x14ac:dyDescent="0.2">
      <c r="A337" s="2" t="s">
        <v>608</v>
      </c>
      <c r="B337" s="2" t="str">
        <f>LOWER(VLOOKUP(A337,Xtal_Templ!A:B,2,FALSE))</f>
        <v>crfr1_human</v>
      </c>
      <c r="C337" s="2" t="str">
        <f>VLOOKUP(A337,Classification!A:D,2,FALSE)</f>
        <v>B2</v>
      </c>
      <c r="P337" s="4" t="s">
        <v>51</v>
      </c>
      <c r="R337" s="71" t="str">
        <f>MID(VLOOKUP($A337,Seqs!$A:$B,2,FALSE),VLOOKUP($A337,'NonXtal_SegEnds_Prot#'!A:AL,10,FALSE),1)</f>
        <v>I</v>
      </c>
      <c r="S337" s="102" t="str">
        <f>MID(VLOOKUP($A337,Seqs!$A:$B,2,FALSE),VLOOKUP($A337,'NonXtal_SegEnds_Prot#'!A:AL,10,FALSE)+6,1)</f>
        <v>L</v>
      </c>
      <c r="T337" s="102" t="str">
        <f>MID(VLOOKUP($A337,Seqs!$A:$B,2,FALSE),VLOOKUP($A337,'NonXtal_SegEnds_Prot#'!A:AL,10,FALSE)+7,1)</f>
        <v>I</v>
      </c>
      <c r="U337" s="102" t="str">
        <f>MID(VLOOKUP($A337,Seqs!$A:$B,2,FALSE),VLOOKUP($A337,'NonXtal_SegEnds_Prot#'!A:AL,10,FALSE)+8,1)</f>
        <v>L</v>
      </c>
      <c r="V337" s="102" t="str">
        <f>MID(VLOOKUP($A337,Seqs!$A:$B,2,FALSE),VLOOKUP($A337,'NonXtal_SegEnds_Prot#'!A:AL,10,FALSE)+9,1)</f>
        <v>I</v>
      </c>
      <c r="W337" s="71" t="str">
        <f>MID(VLOOKUP($A337,Seqs!$A:$B,2,FALSE),VLOOKUP($A337,'NonXtal_SegEnds_Prot#'!$A:$AL,22,FALSE)+6,1)</f>
        <v>V</v>
      </c>
      <c r="X337" s="102" t="str">
        <f>MID(VLOOKUP($A337,Seqs!$A:$B,2,FALSE),VLOOKUP($A337,'NonXtal_SegEnds_Prot#'!$A:$AL,22,FALSE)+7,1)</f>
        <v>V</v>
      </c>
      <c r="Y337" s="102" t="str">
        <f>MID(VLOOKUP($A337,Seqs!$A:$B,2,FALSE),VLOOKUP($A337,'NonXtal_SegEnds_Prot#'!$A:$AL,22,FALSE)+8,1)</f>
        <v>A</v>
      </c>
      <c r="Z337" s="102" t="str">
        <f>MID(VLOOKUP($A337,Seqs!$A:$B,2,FALSE),VLOOKUP($A337,'NonXtal_SegEnds_Prot#'!$A:$AL,22,FALSE)+9,1)</f>
        <v>I</v>
      </c>
      <c r="AA337" s="102" t="str">
        <f>MID(VLOOKUP($A337,Seqs!$A:$B,2,FALSE),VLOOKUP($A337,'NonXtal_SegEnds_Prot#'!$A:$AL,22,FALSE)+10,1)</f>
        <v>S</v>
      </c>
      <c r="AB337" s="71" t="str">
        <f>MID(VLOOKUP($A337,Seqs!$A:$B,2,FALSE),VLOOKUP($A337,'NonXtal_SegEnds_Prot#'!$A:$AL,28,FALSE)-4,1)</f>
        <v>P</v>
      </c>
      <c r="AC337" s="102" t="str">
        <f>MID(VLOOKUP($A337,Seqs!$A:$B,2,FALSE),VLOOKUP($A337,'NonXtal_SegEnds_Prot#'!$A:$AL,28,FALSE),1)</f>
        <v>V</v>
      </c>
    </row>
    <row r="338" spans="1:29" s="2" customFormat="1" x14ac:dyDescent="0.2">
      <c r="A338" s="2" t="s">
        <v>611</v>
      </c>
      <c r="B338" s="2" t="str">
        <f>LOWER(VLOOKUP(A338,Xtal_Templ!A:B,2,FALSE))</f>
        <v>glr_human</v>
      </c>
      <c r="C338" s="2" t="str">
        <f>VLOOKUP(A338,Classification!A:D,2,FALSE)</f>
        <v>B2</v>
      </c>
      <c r="P338" s="4" t="s">
        <v>51</v>
      </c>
      <c r="R338" s="71" t="str">
        <f>MID(VLOOKUP($A338,Seqs!$A:$B,2,FALSE),VLOOKUP($A338,'NonXtal_SegEnds_Prot#'!A:AL,10,FALSE),1)</f>
        <v>L</v>
      </c>
      <c r="S338" s="102" t="str">
        <f>MID(VLOOKUP($A338,Seqs!$A:$B,2,FALSE),VLOOKUP($A338,'NonXtal_SegEnds_Prot#'!A:AL,10,FALSE)+6,1)</f>
        <v>I</v>
      </c>
      <c r="T338" s="102" t="str">
        <f>MID(VLOOKUP($A338,Seqs!$A:$B,2,FALSE),VLOOKUP($A338,'NonXtal_SegEnds_Prot#'!A:AL,10,FALSE)+7,1)</f>
        <v>F</v>
      </c>
      <c r="U338" s="102" t="str">
        <f>MID(VLOOKUP($A338,Seqs!$A:$B,2,FALSE),VLOOKUP($A338,'NonXtal_SegEnds_Prot#'!A:AL,10,FALSE)+8,1)</f>
        <v>L</v>
      </c>
      <c r="V338" s="102" t="str">
        <f>MID(VLOOKUP($A338,Seqs!$A:$B,2,FALSE),VLOOKUP($A338,'NonXtal_SegEnds_Prot#'!A:AL,10,FALSE)+9,1)</f>
        <v>A</v>
      </c>
      <c r="W338" s="71" t="str">
        <f>MID(VLOOKUP($A338,Seqs!$A:$B,2,FALSE),VLOOKUP($A338,'NonXtal_SegEnds_Prot#'!$A:$AL,22,FALSE)+6,1)</f>
        <v>I</v>
      </c>
      <c r="X338" s="102" t="str">
        <f>MID(VLOOKUP($A338,Seqs!$A:$B,2,FALSE),VLOOKUP($A338,'NonXtal_SegEnds_Prot#'!$A:$AL,22,FALSE)+7,1)</f>
        <v>V</v>
      </c>
      <c r="Y338" s="102" t="str">
        <f>MID(VLOOKUP($A338,Seqs!$A:$B,2,FALSE),VLOOKUP($A338,'NonXtal_SegEnds_Prot#'!$A:$AL,22,FALSE)+8,1)</f>
        <v>G</v>
      </c>
      <c r="Z338" s="102" t="str">
        <f>MID(VLOOKUP($A338,Seqs!$A:$B,2,FALSE),VLOOKUP($A338,'NonXtal_SegEnds_Prot#'!$A:$AL,22,FALSE)+9,1)</f>
        <v>V</v>
      </c>
      <c r="AA338" s="102" t="str">
        <f>MID(VLOOKUP($A338,Seqs!$A:$B,2,FALSE),VLOOKUP($A338,'NonXtal_SegEnds_Prot#'!$A:$AL,22,FALSE)+10,1)</f>
        <v>S</v>
      </c>
      <c r="AB338" s="71" t="str">
        <f>MID(VLOOKUP($A338,Seqs!$A:$B,2,FALSE),VLOOKUP($A338,'NonXtal_SegEnds_Prot#'!$A:$AL,28,FALSE)-4,1)</f>
        <v>P</v>
      </c>
      <c r="AC338" s="102" t="str">
        <f>MID(VLOOKUP($A338,Seqs!$A:$B,2,FALSE),VLOOKUP($A338,'NonXtal_SegEnds_Prot#'!$A:$AL,28,FALSE),1)</f>
        <v>I</v>
      </c>
    </row>
    <row r="339" spans="1:29" s="2" customFormat="1" x14ac:dyDescent="0.2">
      <c r="A339" s="2" t="s">
        <v>612</v>
      </c>
      <c r="B339" s="2" t="str">
        <f>LOWER(VLOOKUP(A339,Xtal_Templ!A:B,2,FALSE))</f>
        <v>crfr1_human</v>
      </c>
      <c r="C339" s="2" t="str">
        <f>VLOOKUP(A339,Classification!A:D,2,FALSE)</f>
        <v>B2</v>
      </c>
      <c r="P339" s="4" t="s">
        <v>51</v>
      </c>
      <c r="R339" s="71" t="str">
        <f>MID(VLOOKUP($A339,Seqs!$A:$B,2,FALSE),VLOOKUP($A339,'NonXtal_SegEnds_Prot#'!A:AL,10,FALSE),1)</f>
        <v>L</v>
      </c>
      <c r="S339" s="102" t="str">
        <f>MID(VLOOKUP($A339,Seqs!$A:$B,2,FALSE),VLOOKUP($A339,'NonXtal_SegEnds_Prot#'!A:AL,10,FALSE)+6,1)</f>
        <v>V</v>
      </c>
      <c r="T339" s="102" t="str">
        <f>MID(VLOOKUP($A339,Seqs!$A:$B,2,FALSE),VLOOKUP($A339,'NonXtal_SegEnds_Prot#'!A:AL,10,FALSE)+7,1)</f>
        <v>F</v>
      </c>
      <c r="U339" s="102" t="str">
        <f>MID(VLOOKUP($A339,Seqs!$A:$B,2,FALSE),VLOOKUP($A339,'NonXtal_SegEnds_Prot#'!A:AL,10,FALSE)+8,1)</f>
        <v>V</v>
      </c>
      <c r="V339" s="102" t="str">
        <f>MID(VLOOKUP($A339,Seqs!$A:$B,2,FALSE),VLOOKUP($A339,'NonXtal_SegEnds_Prot#'!A:AL,10,FALSE)+9,1)</f>
        <v>I</v>
      </c>
      <c r="W339" s="71" t="str">
        <f>MID(VLOOKUP($A339,Seqs!$A:$B,2,FALSE),VLOOKUP($A339,'NonXtal_SegEnds_Prot#'!$A:$AL,22,FALSE)+6,1)</f>
        <v>V</v>
      </c>
      <c r="X339" s="102" t="str">
        <f>MID(VLOOKUP($A339,Seqs!$A:$B,2,FALSE),VLOOKUP($A339,'NonXtal_SegEnds_Prot#'!$A:$AL,22,FALSE)+7,1)</f>
        <v>T</v>
      </c>
      <c r="Y339" s="102" t="str">
        <f>MID(VLOOKUP($A339,Seqs!$A:$B,2,FALSE),VLOOKUP($A339,'NonXtal_SegEnds_Prot#'!$A:$AL,22,FALSE)+8,1)</f>
        <v>G</v>
      </c>
      <c r="Z339" s="102" t="str">
        <f>MID(VLOOKUP($A339,Seqs!$A:$B,2,FALSE),VLOOKUP($A339,'NonXtal_SegEnds_Prot#'!$A:$AL,22,FALSE)+9,1)</f>
        <v>L</v>
      </c>
      <c r="AA339" s="102" t="str">
        <f>MID(VLOOKUP($A339,Seqs!$A:$B,2,FALSE),VLOOKUP($A339,'NonXtal_SegEnds_Prot#'!$A:$AL,22,FALSE)+10,1)</f>
        <v>A</v>
      </c>
      <c r="AB339" s="71" t="str">
        <f>MID(VLOOKUP($A339,Seqs!$A:$B,2,FALSE),VLOOKUP($A339,'NonXtal_SegEnds_Prot#'!$A:$AL,28,FALSE)-4,1)</f>
        <v>P</v>
      </c>
      <c r="AC339" s="102" t="str">
        <f>MID(VLOOKUP($A339,Seqs!$A:$B,2,FALSE),VLOOKUP($A339,'NonXtal_SegEnds_Prot#'!$A:$AL,28,FALSE),1)</f>
        <v>V</v>
      </c>
    </row>
    <row r="340" spans="1:29" s="2" customFormat="1" x14ac:dyDescent="0.2">
      <c r="A340" s="2" t="s">
        <v>613</v>
      </c>
      <c r="B340" s="2" t="str">
        <f>LOWER(VLOOKUP(A340,Xtal_Templ!A:B,2,FALSE))</f>
        <v>crfr1_human</v>
      </c>
      <c r="C340" s="2" t="str">
        <f>VLOOKUP(A340,Classification!A:D,2,FALSE)</f>
        <v>B2</v>
      </c>
      <c r="P340" s="4" t="s">
        <v>51</v>
      </c>
      <c r="R340" s="71" t="str">
        <f>MID(VLOOKUP($A340,Seqs!$A:$B,2,FALSE),VLOOKUP($A340,'NonXtal_SegEnds_Prot#'!A:AL,10,FALSE),1)</f>
        <v>L</v>
      </c>
      <c r="S340" s="102" t="str">
        <f>MID(VLOOKUP($A340,Seqs!$A:$B,2,FALSE),VLOOKUP($A340,'NonXtal_SegEnds_Prot#'!A:AL,10,FALSE)+6,1)</f>
        <v>V</v>
      </c>
      <c r="T340" s="102" t="str">
        <f>MID(VLOOKUP($A340,Seqs!$A:$B,2,FALSE),VLOOKUP($A340,'NonXtal_SegEnds_Prot#'!A:AL,10,FALSE)+7,1)</f>
        <v>F</v>
      </c>
      <c r="U340" s="102" t="str">
        <f>MID(VLOOKUP($A340,Seqs!$A:$B,2,FALSE),VLOOKUP($A340,'NonXtal_SegEnds_Prot#'!A:AL,10,FALSE)+8,1)</f>
        <v>L</v>
      </c>
      <c r="V340" s="102" t="str">
        <f>MID(VLOOKUP($A340,Seqs!$A:$B,2,FALSE),VLOOKUP($A340,'NonXtal_SegEnds_Prot#'!A:AL,10,FALSE)+9,1)</f>
        <v>L</v>
      </c>
      <c r="W340" s="71" t="str">
        <f>MID(VLOOKUP($A340,Seqs!$A:$B,2,FALSE),VLOOKUP($A340,'NonXtal_SegEnds_Prot#'!$A:$AL,22,FALSE)+6,1)</f>
        <v>I</v>
      </c>
      <c r="X340" s="102" t="str">
        <f>MID(VLOOKUP($A340,Seqs!$A:$B,2,FALSE),VLOOKUP($A340,'NonXtal_SegEnds_Prot#'!$A:$AL,22,FALSE)+7,1)</f>
        <v>T</v>
      </c>
      <c r="Y340" s="102" t="str">
        <f>MID(VLOOKUP($A340,Seqs!$A:$B,2,FALSE),VLOOKUP($A340,'NonXtal_SegEnds_Prot#'!$A:$AL,22,FALSE)+8,1)</f>
        <v>G</v>
      </c>
      <c r="Z340" s="102" t="str">
        <f>MID(VLOOKUP($A340,Seqs!$A:$B,2,FALSE),VLOOKUP($A340,'NonXtal_SegEnds_Prot#'!$A:$AL,22,FALSE)+9,1)</f>
        <v>L</v>
      </c>
      <c r="AA340" s="102" t="str">
        <f>MID(VLOOKUP($A340,Seqs!$A:$B,2,FALSE),VLOOKUP($A340,'NonXtal_SegEnds_Prot#'!$A:$AL,22,FALSE)+10,1)</f>
        <v>A</v>
      </c>
      <c r="AB340" s="71" t="str">
        <f>MID(VLOOKUP($A340,Seqs!$A:$B,2,FALSE),VLOOKUP($A340,'NonXtal_SegEnds_Prot#'!$A:$AL,28,FALSE)-4,1)</f>
        <v>P</v>
      </c>
      <c r="AC340" s="102" t="str">
        <f>MID(VLOOKUP($A340,Seqs!$A:$B,2,FALSE),VLOOKUP($A340,'NonXtal_SegEnds_Prot#'!$A:$AL,28,FALSE),1)</f>
        <v>A</v>
      </c>
    </row>
    <row r="341" spans="1:29" s="2" customFormat="1" x14ac:dyDescent="0.2">
      <c r="A341" s="2" t="s">
        <v>614</v>
      </c>
      <c r="B341" s="2" t="str">
        <f>LOWER(VLOOKUP(A341,Xtal_Templ!A:B,2,FALSE))</f>
        <v>glr_human</v>
      </c>
      <c r="C341" s="2" t="str">
        <f>VLOOKUP(A341,Classification!A:D,2,FALSE)</f>
        <v>B2</v>
      </c>
      <c r="P341" s="4" t="s">
        <v>51</v>
      </c>
      <c r="R341" s="71" t="str">
        <f>MID(VLOOKUP($A341,Seqs!$A:$B,2,FALSE),VLOOKUP($A341,'NonXtal_SegEnds_Prot#'!A:AL,10,FALSE),1)</f>
        <v>L</v>
      </c>
      <c r="S341" s="102" t="str">
        <f>MID(VLOOKUP($A341,Seqs!$A:$B,2,FALSE),VLOOKUP($A341,'NonXtal_SegEnds_Prot#'!A:AL,10,FALSE)+6,1)</f>
        <v>L</v>
      </c>
      <c r="T341" s="102" t="str">
        <f>MID(VLOOKUP($A341,Seqs!$A:$B,2,FALSE),VLOOKUP($A341,'NonXtal_SegEnds_Prot#'!A:AL,10,FALSE)+7,1)</f>
        <v>F</v>
      </c>
      <c r="U341" s="102" t="str">
        <f>MID(VLOOKUP($A341,Seqs!$A:$B,2,FALSE),VLOOKUP($A341,'NonXtal_SegEnds_Prot#'!A:AL,10,FALSE)+8,1)</f>
        <v>L</v>
      </c>
      <c r="V341" s="102" t="str">
        <f>MID(VLOOKUP($A341,Seqs!$A:$B,2,FALSE),VLOOKUP($A341,'NonXtal_SegEnds_Prot#'!A:AL,10,FALSE)+9,1)</f>
        <v>L</v>
      </c>
      <c r="W341" s="71" t="str">
        <f>MID(VLOOKUP($A341,Seqs!$A:$B,2,FALSE),VLOOKUP($A341,'NonXtal_SegEnds_Prot#'!$A:$AL,22,FALSE)+6,1)</f>
        <v>L</v>
      </c>
      <c r="X341" s="102" t="str">
        <f>MID(VLOOKUP($A341,Seqs!$A:$B,2,FALSE),VLOOKUP($A341,'NonXtal_SegEnds_Prot#'!$A:$AL,22,FALSE)+7,1)</f>
        <v>L</v>
      </c>
      <c r="Y341" s="102" t="str">
        <f>MID(VLOOKUP($A341,Seqs!$A:$B,2,FALSE),VLOOKUP($A341,'NonXtal_SegEnds_Prot#'!$A:$AL,22,FALSE)+8,1)</f>
        <v>G</v>
      </c>
      <c r="Z341" s="102" t="str">
        <f>MID(VLOOKUP($A341,Seqs!$A:$B,2,FALSE),VLOOKUP($A341,'NonXtal_SegEnds_Prot#'!$A:$AL,22,FALSE)+9,1)</f>
        <v>L</v>
      </c>
      <c r="AA341" s="102" t="str">
        <f>MID(VLOOKUP($A341,Seqs!$A:$B,2,FALSE),VLOOKUP($A341,'NonXtal_SegEnds_Prot#'!$A:$AL,22,FALSE)+10,1)</f>
        <v>A</v>
      </c>
      <c r="AB341" s="71" t="str">
        <f>MID(VLOOKUP($A341,Seqs!$A:$B,2,FALSE),VLOOKUP($A341,'NonXtal_SegEnds_Prot#'!$A:$AL,28,FALSE)-4,1)</f>
        <v>P</v>
      </c>
      <c r="AC341" s="102" t="str">
        <f>MID(VLOOKUP($A341,Seqs!$A:$B,2,FALSE),VLOOKUP($A341,'NonXtal_SegEnds_Prot#'!$A:$AL,28,FALSE),1)</f>
        <v>V</v>
      </c>
    </row>
    <row r="342" spans="1:29" s="2" customFormat="1" x14ac:dyDescent="0.2">
      <c r="A342" s="2" t="s">
        <v>630</v>
      </c>
      <c r="B342" s="2" t="str">
        <f>LOWER(VLOOKUP(A342,Xtal_Templ!A:B,2,FALSE))</f>
        <v>crfr1_human</v>
      </c>
      <c r="C342" s="2" t="str">
        <f>VLOOKUP(A342,Classification!A:D,2,FALSE)</f>
        <v>B2</v>
      </c>
      <c r="P342" s="4" t="s">
        <v>51</v>
      </c>
      <c r="R342" s="71" t="str">
        <f>MID(VLOOKUP($A342,Seqs!$A:$B,2,FALSE),VLOOKUP($A342,'NonXtal_SegEnds_Prot#'!A:AL,10,FALSE),1)</f>
        <v>L</v>
      </c>
      <c r="S342" s="102" t="str">
        <f>MID(VLOOKUP($A342,Seqs!$A:$B,2,FALSE),VLOOKUP($A342,'NonXtal_SegEnds_Prot#'!A:AL,10,FALSE)+6,1)</f>
        <v>L</v>
      </c>
      <c r="T342" s="102" t="str">
        <f>MID(VLOOKUP($A342,Seqs!$A:$B,2,FALSE),VLOOKUP($A342,'NonXtal_SegEnds_Prot#'!A:AL,10,FALSE)+7,1)</f>
        <v>F</v>
      </c>
      <c r="U342" s="102" t="str">
        <f>MID(VLOOKUP($A342,Seqs!$A:$B,2,FALSE),VLOOKUP($A342,'NonXtal_SegEnds_Prot#'!A:AL,10,FALSE)+8,1)</f>
        <v>L</v>
      </c>
      <c r="V342" s="102" t="str">
        <f>MID(VLOOKUP($A342,Seqs!$A:$B,2,FALSE),VLOOKUP($A342,'NonXtal_SegEnds_Prot#'!A:AL,10,FALSE)+9,1)</f>
        <v>L</v>
      </c>
      <c r="W342" s="71" t="str">
        <f>MID(VLOOKUP($A342,Seqs!$A:$B,2,FALSE),VLOOKUP($A342,'NonXtal_SegEnds_Prot#'!$A:$AL,22,FALSE)+6,1)</f>
        <v>V</v>
      </c>
      <c r="X342" s="102" t="str">
        <f>MID(VLOOKUP($A342,Seqs!$A:$B,2,FALSE),VLOOKUP($A342,'NonXtal_SegEnds_Prot#'!$A:$AL,22,FALSE)+7,1)</f>
        <v>V</v>
      </c>
      <c r="Y342" s="102" t="str">
        <f>MID(VLOOKUP($A342,Seqs!$A:$B,2,FALSE),VLOOKUP($A342,'NonXtal_SegEnds_Prot#'!$A:$AL,22,FALSE)+8,1)</f>
        <v>S</v>
      </c>
      <c r="Z342" s="102" t="str">
        <f>MID(VLOOKUP($A342,Seqs!$A:$B,2,FALSE),VLOOKUP($A342,'NonXtal_SegEnds_Prot#'!$A:$AL,22,FALSE)+9,1)</f>
        <v>V</v>
      </c>
      <c r="AA342" s="102" t="str">
        <f>MID(VLOOKUP($A342,Seqs!$A:$B,2,FALSE),VLOOKUP($A342,'NonXtal_SegEnds_Prot#'!$A:$AL,22,FALSE)+10,1)</f>
        <v>V</v>
      </c>
      <c r="AB342" s="71" t="str">
        <f>MID(VLOOKUP($A342,Seqs!$A:$B,2,FALSE),VLOOKUP($A342,'NonXtal_SegEnds_Prot#'!$A:$AL,28,FALSE)-4,1)</f>
        <v>Y</v>
      </c>
      <c r="AC342" s="102" t="str">
        <f>MID(VLOOKUP($A342,Seqs!$A:$B,2,FALSE),VLOOKUP($A342,'NonXtal_SegEnds_Prot#'!$A:$AL,28,FALSE),1)</f>
        <v>M</v>
      </c>
    </row>
    <row r="343" spans="1:29" s="2" customFormat="1" x14ac:dyDescent="0.2">
      <c r="A343" s="2" t="s">
        <v>637</v>
      </c>
      <c r="B343" s="2" t="str">
        <f>LOWER(VLOOKUP(A343,Xtal_Templ!A:B,2,FALSE))</f>
        <v>crfr1_human</v>
      </c>
      <c r="C343" s="2" t="str">
        <f>VLOOKUP(A343,Classification!A:D,2,FALSE)</f>
        <v>B2</v>
      </c>
      <c r="P343" s="4" t="s">
        <v>51</v>
      </c>
      <c r="R343" s="71" t="str">
        <f>MID(VLOOKUP($A343,Seqs!$A:$B,2,FALSE),VLOOKUP($A343,'NonXtal_SegEnds_Prot#'!A:AL,10,FALSE),1)</f>
        <v>S</v>
      </c>
      <c r="S343" s="102" t="str">
        <f>MID(VLOOKUP($A343,Seqs!$A:$B,2,FALSE),VLOOKUP($A343,'NonXtal_SegEnds_Prot#'!A:AL,10,FALSE)+6,1)</f>
        <v>L</v>
      </c>
      <c r="T343" s="102" t="str">
        <f>MID(VLOOKUP($A343,Seqs!$A:$B,2,FALSE),VLOOKUP($A343,'NonXtal_SegEnds_Prot#'!A:AL,10,FALSE)+7,1)</f>
        <v>F</v>
      </c>
      <c r="U343" s="102" t="str">
        <f>MID(VLOOKUP($A343,Seqs!$A:$B,2,FALSE),VLOOKUP($A343,'NonXtal_SegEnds_Prot#'!A:AL,10,FALSE)+8,1)</f>
        <v>L</v>
      </c>
      <c r="V343" s="102" t="str">
        <f>MID(VLOOKUP($A343,Seqs!$A:$B,2,FALSE),VLOOKUP($A343,'NonXtal_SegEnds_Prot#'!A:AL,10,FALSE)+9,1)</f>
        <v>A</v>
      </c>
      <c r="W343" s="71" t="str">
        <f>MID(VLOOKUP($A343,Seqs!$A:$B,2,FALSE),VLOOKUP($A343,'NonXtal_SegEnds_Prot#'!$A:$AL,22,FALSE)+6,1)</f>
        <v>V</v>
      </c>
      <c r="X343" s="102" t="str">
        <f>MID(VLOOKUP($A343,Seqs!$A:$B,2,FALSE),VLOOKUP($A343,'NonXtal_SegEnds_Prot#'!$A:$AL,22,FALSE)+7,1)</f>
        <v>V</v>
      </c>
      <c r="Y343" s="102" t="str">
        <f>MID(VLOOKUP($A343,Seqs!$A:$B,2,FALSE),VLOOKUP($A343,'NonXtal_SegEnds_Prot#'!$A:$AL,22,FALSE)+8,1)</f>
        <v>I</v>
      </c>
      <c r="Z343" s="102" t="str">
        <f>MID(VLOOKUP($A343,Seqs!$A:$B,2,FALSE),VLOOKUP($A343,'NonXtal_SegEnds_Prot#'!$A:$AL,22,FALSE)+9,1)</f>
        <v>L</v>
      </c>
      <c r="AA343" s="102" t="str">
        <f>MID(VLOOKUP($A343,Seqs!$A:$B,2,FALSE),VLOOKUP($A343,'NonXtal_SegEnds_Prot#'!$A:$AL,22,FALSE)+10,1)</f>
        <v>L</v>
      </c>
      <c r="AB343" s="71" t="str">
        <f>MID(VLOOKUP($A343,Seqs!$A:$B,2,FALSE),VLOOKUP($A343,'NonXtal_SegEnds_Prot#'!$A:$AL,28,FALSE)-4,1)</f>
        <v>P</v>
      </c>
      <c r="AC343" s="102" t="str">
        <f>MID(VLOOKUP($A343,Seqs!$A:$B,2,FALSE),VLOOKUP($A343,'NonXtal_SegEnds_Prot#'!$A:$AL,28,FALSE),1)</f>
        <v>L</v>
      </c>
    </row>
    <row r="344" spans="1:29" s="2" customFormat="1" x14ac:dyDescent="0.2">
      <c r="A344" s="2" t="s">
        <v>299</v>
      </c>
      <c r="B344" s="2" t="str">
        <f>LOWER(VLOOKUP(A344,Xtal_Templ!A:B,2,FALSE))</f>
        <v>grm5_human</v>
      </c>
      <c r="C344" s="2" t="str">
        <f>VLOOKUP(A344,Classification!A:D,2,FALSE)</f>
        <v>C</v>
      </c>
      <c r="Q344" s="2" t="s">
        <v>1556</v>
      </c>
      <c r="R344" s="71" t="str">
        <f>MID(VLOOKUP($A344,Seqs!$A:$B,2,FALSE),VLOOKUP($A344,'NonXtal_SegEnds_Prot#'!A:AL,10,FALSE),1)</f>
        <v>L</v>
      </c>
      <c r="S344" s="102" t="str">
        <f>MID(VLOOKUP($A344,Seqs!$A:$B,2,FALSE),VLOOKUP($A344,'NonXtal_SegEnds_Prot#'!A:AL,10,FALSE)+6,1)</f>
        <v>S</v>
      </c>
      <c r="T344" s="102" t="str">
        <f>MID(VLOOKUP($A344,Seqs!$A:$B,2,FALSE),VLOOKUP($A344,'NonXtal_SegEnds_Prot#'!A:AL,10,FALSE)+7,1)</f>
        <v>S</v>
      </c>
      <c r="U344" s="102" t="str">
        <f>MID(VLOOKUP($A344,Seqs!$A:$B,2,FALSE),VLOOKUP($A344,'NonXtal_SegEnds_Prot#'!A:AL,10,FALSE)+8,1)</f>
        <v>L</v>
      </c>
      <c r="V344" s="102" t="str">
        <f>MID(VLOOKUP($A344,Seqs!$A:$B,2,FALSE),VLOOKUP($A344,'NonXtal_SegEnds_Prot#'!A:AL,10,FALSE)+9,1)</f>
        <v>F</v>
      </c>
      <c r="W344" s="71" t="str">
        <f>MID(VLOOKUP($A344,Seqs!$A:$B,2,FALSE),VLOOKUP($A344,'NonXtal_SegEnds_Prot#'!$A:$AL,22,FALSE)+6,1)</f>
        <v>I</v>
      </c>
      <c r="X344" s="102" t="str">
        <f>MID(VLOOKUP($A344,Seqs!$A:$B,2,FALSE),VLOOKUP($A344,'NonXtal_SegEnds_Prot#'!$A:$AL,22,FALSE)+7,1)</f>
        <v>C</v>
      </c>
      <c r="Y344" s="102" t="str">
        <f>MID(VLOOKUP($A344,Seqs!$A:$B,2,FALSE),VLOOKUP($A344,'NonXtal_SegEnds_Prot#'!$A:$AL,22,FALSE)+8,1)</f>
        <v>V</v>
      </c>
      <c r="Z344" s="102" t="str">
        <f>MID(VLOOKUP($A344,Seqs!$A:$B,2,FALSE),VLOOKUP($A344,'NonXtal_SegEnds_Prot#'!$A:$AL,22,FALSE)+9,1)</f>
        <v>I</v>
      </c>
      <c r="AA344" s="102" t="str">
        <f>MID(VLOOKUP($A344,Seqs!$A:$B,2,FALSE),VLOOKUP($A344,'NonXtal_SegEnds_Prot#'!$A:$AL,22,FALSE)+10,1)</f>
        <v>W</v>
      </c>
      <c r="AB344" s="71" t="str">
        <f>MID(VLOOKUP($A344,Seqs!$A:$B,2,FALSE),VLOOKUP($A344,'NonXtal_SegEnds_Prot#'!$A:$AL,28,FALSE)-4,1)</f>
        <v>Y</v>
      </c>
      <c r="AC344" s="102" t="str">
        <f>MID(VLOOKUP($A344,Seqs!$A:$B,2,FALSE),VLOOKUP($A344,'NonXtal_SegEnds_Prot#'!$A:$AL,28,FALSE),1)</f>
        <v>L</v>
      </c>
    </row>
    <row r="345" spans="1:29" s="2" customFormat="1" x14ac:dyDescent="0.2">
      <c r="A345" s="2" t="s">
        <v>300</v>
      </c>
      <c r="B345" s="2" t="str">
        <f>LOWER(VLOOKUP(A345,Xtal_Templ!A:B,2,FALSE))</f>
        <v>grm1_human</v>
      </c>
      <c r="C345" s="2" t="str">
        <f>VLOOKUP(A345,Classification!A:D,2,FALSE)</f>
        <v>C</v>
      </c>
      <c r="Q345" s="2" t="s">
        <v>1556</v>
      </c>
      <c r="R345" s="71" t="str">
        <f>MID(VLOOKUP($A345,Seqs!$A:$B,2,FALSE),VLOOKUP($A345,'NonXtal_SegEnds_Prot#'!A:AL,10,FALSE),1)</f>
        <v>C</v>
      </c>
      <c r="S345" s="102" t="str">
        <f>MID(VLOOKUP($A345,Seqs!$A:$B,2,FALSE),VLOOKUP($A345,'NonXtal_SegEnds_Prot#'!A:AL,10,FALSE)+6,1)</f>
        <v>A</v>
      </c>
      <c r="T345" s="102" t="str">
        <f>MID(VLOOKUP($A345,Seqs!$A:$B,2,FALSE),VLOOKUP($A345,'NonXtal_SegEnds_Prot#'!A:AL,10,FALSE)+7,1)</f>
        <v>V</v>
      </c>
      <c r="U345" s="102" t="str">
        <f>MID(VLOOKUP($A345,Seqs!$A:$B,2,FALSE),VLOOKUP($A345,'NonXtal_SegEnds_Prot#'!A:AL,10,FALSE)+8,1)</f>
        <v>F</v>
      </c>
      <c r="V345" s="102" t="str">
        <f>MID(VLOOKUP($A345,Seqs!$A:$B,2,FALSE),VLOOKUP($A345,'NonXtal_SegEnds_Prot#'!A:AL,10,FALSE)+9,1)</f>
        <v>P</v>
      </c>
      <c r="W345" s="71" t="str">
        <f>MID(VLOOKUP($A345,Seqs!$A:$B,2,FALSE),VLOOKUP($A345,'NonXtal_SegEnds_Prot#'!$A:$AL,22,FALSE)+6,1)</f>
        <v>T</v>
      </c>
      <c r="X345" s="102" t="str">
        <f>MID(VLOOKUP($A345,Seqs!$A:$B,2,FALSE),VLOOKUP($A345,'NonXtal_SegEnds_Prot#'!$A:$AL,22,FALSE)+7,1)</f>
        <v>L</v>
      </c>
      <c r="Y345" s="102" t="str">
        <f>MID(VLOOKUP($A345,Seqs!$A:$B,2,FALSE),VLOOKUP($A345,'NonXtal_SegEnds_Prot#'!$A:$AL,22,FALSE)+8,1)</f>
        <v>A</v>
      </c>
      <c r="Z345" s="102" t="str">
        <f>MID(VLOOKUP($A345,Seqs!$A:$B,2,FALSE),VLOOKUP($A345,'NonXtal_SegEnds_Prot#'!$A:$AL,22,FALSE)+9,1)</f>
        <v>I</v>
      </c>
      <c r="AA345" s="102" t="str">
        <f>MID(VLOOKUP($A345,Seqs!$A:$B,2,FALSE),VLOOKUP($A345,'NonXtal_SegEnds_Prot#'!$A:$AL,22,FALSE)+10,1)</f>
        <v>W</v>
      </c>
      <c r="AB345" s="71" t="str">
        <f>MID(VLOOKUP($A345,Seqs!$A:$B,2,FALSE),VLOOKUP($A345,'NonXtal_SegEnds_Prot#'!$A:$AL,28,FALSE)-4,1)</f>
        <v>Y</v>
      </c>
      <c r="AC345" s="102" t="str">
        <f>MID(VLOOKUP($A345,Seqs!$A:$B,2,FALSE),VLOOKUP($A345,'NonXtal_SegEnds_Prot#'!$A:$AL,28,FALSE),1)</f>
        <v>L</v>
      </c>
    </row>
    <row r="346" spans="1:29" s="2" customFormat="1" x14ac:dyDescent="0.2">
      <c r="A346" s="2" t="s">
        <v>301</v>
      </c>
      <c r="B346" s="2" t="str">
        <f>LOWER(VLOOKUP(A346,Xtal_Templ!A:B,2,FALSE))</f>
        <v>grm5_human</v>
      </c>
      <c r="C346" s="2" t="str">
        <f>VLOOKUP(A346,Classification!A:D,2,FALSE)</f>
        <v>C</v>
      </c>
      <c r="Q346" s="2" t="s">
        <v>1556</v>
      </c>
      <c r="R346" s="71" t="str">
        <f>MID(VLOOKUP($A346,Seqs!$A:$B,2,FALSE),VLOOKUP($A346,'NonXtal_SegEnds_Prot#'!A:AL,10,FALSE),1)</f>
        <v>G</v>
      </c>
      <c r="S346" s="102" t="str">
        <f>MID(VLOOKUP($A346,Seqs!$A:$B,2,FALSE),VLOOKUP($A346,'NonXtal_SegEnds_Prot#'!A:AL,10,FALSE)+6,1)</f>
        <v>S</v>
      </c>
      <c r="T346" s="102" t="str">
        <f>MID(VLOOKUP($A346,Seqs!$A:$B,2,FALSE),VLOOKUP($A346,'NonXtal_SegEnds_Prot#'!A:AL,10,FALSE)+7,1)</f>
        <v>I</v>
      </c>
      <c r="U346" s="102" t="str">
        <f>MID(VLOOKUP($A346,Seqs!$A:$B,2,FALSE),VLOOKUP($A346,'NonXtal_SegEnds_Prot#'!A:AL,10,FALSE)+8,1)</f>
        <v>F</v>
      </c>
      <c r="V346" s="102" t="str">
        <f>MID(VLOOKUP($A346,Seqs!$A:$B,2,FALSE),VLOOKUP($A346,'NonXtal_SegEnds_Prot#'!A:AL,10,FALSE)+9,1)</f>
        <v>L</v>
      </c>
      <c r="W346" s="71" t="str">
        <f>MID(VLOOKUP($A346,Seqs!$A:$B,2,FALSE),VLOOKUP($A346,'NonXtal_SegEnds_Prot#'!$A:$AL,22,FALSE)+6,1)</f>
        <v>I</v>
      </c>
      <c r="X346" s="102" t="str">
        <f>MID(VLOOKUP($A346,Seqs!$A:$B,2,FALSE),VLOOKUP($A346,'NonXtal_SegEnds_Prot#'!$A:$AL,22,FALSE)+7,1)</f>
        <v>L</v>
      </c>
      <c r="Y346" s="102" t="str">
        <f>MID(VLOOKUP($A346,Seqs!$A:$B,2,FALSE),VLOOKUP($A346,'NonXtal_SegEnds_Prot#'!$A:$AL,22,FALSE)+8,1)</f>
        <v>I</v>
      </c>
      <c r="Z346" s="102" t="str">
        <f>MID(VLOOKUP($A346,Seqs!$A:$B,2,FALSE),VLOOKUP($A346,'NonXtal_SegEnds_Prot#'!$A:$AL,22,FALSE)+9,1)</f>
        <v>C</v>
      </c>
      <c r="AA346" s="102" t="str">
        <f>MID(VLOOKUP($A346,Seqs!$A:$B,2,FALSE),VLOOKUP($A346,'NonXtal_SegEnds_Prot#'!$A:$AL,22,FALSE)+10,1)</f>
        <v>W</v>
      </c>
      <c r="AB346" s="71" t="str">
        <f>MID(VLOOKUP($A346,Seqs!$A:$B,2,FALSE),VLOOKUP($A346,'NonXtal_SegEnds_Prot#'!$A:$AL,28,FALSE)-4,1)</f>
        <v>Y</v>
      </c>
      <c r="AC346" s="102" t="str">
        <f>MID(VLOOKUP($A346,Seqs!$A:$B,2,FALSE),VLOOKUP($A346,'NonXtal_SegEnds_Prot#'!$A:$AL,28,FALSE),1)</f>
        <v>L</v>
      </c>
    </row>
    <row r="347" spans="1:29" s="2" customFormat="1" x14ac:dyDescent="0.2">
      <c r="A347" s="2" t="s">
        <v>302</v>
      </c>
      <c r="B347" s="2" t="str">
        <f>LOWER(VLOOKUP(A347,Xtal_Templ!A:B,2,FALSE))</f>
        <v>grm1_human</v>
      </c>
      <c r="C347" s="2" t="str">
        <f>VLOOKUP(A347,Classification!A:D,2,FALSE)</f>
        <v>C</v>
      </c>
      <c r="Q347" s="2" t="s">
        <v>1556</v>
      </c>
      <c r="R347" s="71" t="str">
        <f>MID(VLOOKUP($A347,Seqs!$A:$B,2,FALSE),VLOOKUP($A347,'NonXtal_SegEnds_Prot#'!A:AL,10,FALSE),1)</f>
        <v>S</v>
      </c>
      <c r="S347" s="102" t="str">
        <f>MID(VLOOKUP($A347,Seqs!$A:$B,2,FALSE),VLOOKUP($A347,'NonXtal_SegEnds_Prot#'!A:AL,10,FALSE)+6,1)</f>
        <v>S</v>
      </c>
      <c r="T347" s="102" t="str">
        <f>MID(VLOOKUP($A347,Seqs!$A:$B,2,FALSE),VLOOKUP($A347,'NonXtal_SegEnds_Prot#'!A:AL,10,FALSE)+7,1)</f>
        <v>A</v>
      </c>
      <c r="U347" s="102" t="str">
        <f>MID(VLOOKUP($A347,Seqs!$A:$B,2,FALSE),VLOOKUP($A347,'NonXtal_SegEnds_Prot#'!A:AL,10,FALSE)+8,1)</f>
        <v>Y</v>
      </c>
      <c r="V347" s="102" t="str">
        <f>MID(VLOOKUP($A347,Seqs!$A:$B,2,FALSE),VLOOKUP($A347,'NonXtal_SegEnds_Prot#'!A:AL,10,FALSE)+9,1)</f>
        <v>L</v>
      </c>
      <c r="W347" s="71" t="str">
        <f>MID(VLOOKUP($A347,Seqs!$A:$B,2,FALSE),VLOOKUP($A347,'NonXtal_SegEnds_Prot#'!$A:$AL,22,FALSE)+6,1)</f>
        <v>L</v>
      </c>
      <c r="X347" s="102" t="str">
        <f>MID(VLOOKUP($A347,Seqs!$A:$B,2,FALSE),VLOOKUP($A347,'NonXtal_SegEnds_Prot#'!$A:$AL,22,FALSE)+7,1)</f>
        <v>L</v>
      </c>
      <c r="Y347" s="102" t="str">
        <f>MID(VLOOKUP($A347,Seqs!$A:$B,2,FALSE),VLOOKUP($A347,'NonXtal_SegEnds_Prot#'!$A:$AL,22,FALSE)+8,1)</f>
        <v>M</v>
      </c>
      <c r="Z347" s="102" t="str">
        <f>MID(VLOOKUP($A347,Seqs!$A:$B,2,FALSE),VLOOKUP($A347,'NonXtal_SegEnds_Prot#'!$A:$AL,22,FALSE)+9,1)</f>
        <v>T</v>
      </c>
      <c r="AA347" s="102" t="str">
        <f>MID(VLOOKUP($A347,Seqs!$A:$B,2,FALSE),VLOOKUP($A347,'NonXtal_SegEnds_Prot#'!$A:$AL,22,FALSE)+10,1)</f>
        <v>W</v>
      </c>
      <c r="AB347" s="71" t="str">
        <f>MID(VLOOKUP($A347,Seqs!$A:$B,2,FALSE),VLOOKUP($A347,'NonXtal_SegEnds_Prot#'!$A:$AL,28,FALSE)-4,1)</f>
        <v>C</v>
      </c>
      <c r="AC347" s="102" t="str">
        <f>MID(VLOOKUP($A347,Seqs!$A:$B,2,FALSE),VLOOKUP($A347,'NonXtal_SegEnds_Prot#'!$A:$AL,28,FALSE),1)</f>
        <v>L</v>
      </c>
    </row>
    <row r="348" spans="1:29" s="2" customFormat="1" x14ac:dyDescent="0.2">
      <c r="A348" s="2" t="s">
        <v>303</v>
      </c>
      <c r="B348" s="2" t="str">
        <f>LOWER(VLOOKUP(A348,Xtal_Templ!A:B,2,FALSE))</f>
        <v>grm1_human</v>
      </c>
      <c r="C348" s="2" t="str">
        <f>VLOOKUP(A348,Classification!A:D,2,FALSE)</f>
        <v>C</v>
      </c>
      <c r="Q348" s="2" t="s">
        <v>1556</v>
      </c>
      <c r="R348" s="71" t="str">
        <f>MID(VLOOKUP($A348,Seqs!$A:$B,2,FALSE),VLOOKUP($A348,'NonXtal_SegEnds_Prot#'!A:AL,10,FALSE),1)</f>
        <v>S</v>
      </c>
      <c r="S348" s="102" t="str">
        <f>MID(VLOOKUP($A348,Seqs!$A:$B,2,FALSE),VLOOKUP($A348,'NonXtal_SegEnds_Prot#'!A:AL,10,FALSE)+6,1)</f>
        <v>P</v>
      </c>
      <c r="T348" s="102" t="str">
        <f>MID(VLOOKUP($A348,Seqs!$A:$B,2,FALSE),VLOOKUP($A348,'NonXtal_SegEnds_Prot#'!A:AL,10,FALSE)+7,1)</f>
        <v>V</v>
      </c>
      <c r="U348" s="102" t="str">
        <f>MID(VLOOKUP($A348,Seqs!$A:$B,2,FALSE),VLOOKUP($A348,'NonXtal_SegEnds_Prot#'!A:AL,10,FALSE)+8,1)</f>
        <v>V</v>
      </c>
      <c r="V348" s="102" t="str">
        <f>MID(VLOOKUP($A348,Seqs!$A:$B,2,FALSE),VLOOKUP($A348,'NonXtal_SegEnds_Prot#'!A:AL,10,FALSE)+9,1)</f>
        <v>I</v>
      </c>
      <c r="W348" s="71" t="str">
        <f>MID(VLOOKUP($A348,Seqs!$A:$B,2,FALSE),VLOOKUP($A348,'NonXtal_SegEnds_Prot#'!$A:$AL,22,FALSE)+6,1)</f>
        <v>L</v>
      </c>
      <c r="X348" s="102" t="str">
        <f>MID(VLOOKUP($A348,Seqs!$A:$B,2,FALSE),VLOOKUP($A348,'NonXtal_SegEnds_Prot#'!$A:$AL,22,FALSE)+7,1)</f>
        <v>A</v>
      </c>
      <c r="Y348" s="102" t="str">
        <f>MID(VLOOKUP($A348,Seqs!$A:$B,2,FALSE),VLOOKUP($A348,'NonXtal_SegEnds_Prot#'!$A:$AL,22,FALSE)+8,1)</f>
        <v>V</v>
      </c>
      <c r="Z348" s="102" t="str">
        <f>MID(VLOOKUP($A348,Seqs!$A:$B,2,FALSE),VLOOKUP($A348,'NonXtal_SegEnds_Prot#'!$A:$AL,22,FALSE)+9,1)</f>
        <v>I</v>
      </c>
      <c r="AA348" s="102" t="str">
        <f>MID(VLOOKUP($A348,Seqs!$A:$B,2,FALSE),VLOOKUP($A348,'NonXtal_SegEnds_Prot#'!$A:$AL,22,FALSE)+10,1)</f>
        <v>L</v>
      </c>
      <c r="AB348" s="71" t="str">
        <f>MID(VLOOKUP($A348,Seqs!$A:$B,2,FALSE),VLOOKUP($A348,'NonXtal_SegEnds_Prot#'!$A:$AL,28,FALSE)-4,1)</f>
        <v>A</v>
      </c>
      <c r="AC348" s="102" t="str">
        <f>MID(VLOOKUP($A348,Seqs!$A:$B,2,FALSE),VLOOKUP($A348,'NonXtal_SegEnds_Prot#'!$A:$AL,28,FALSE),1)</f>
        <v>F</v>
      </c>
    </row>
    <row r="349" spans="1:29" s="2" customFormat="1" x14ac:dyDescent="0.2">
      <c r="A349" s="2" t="s">
        <v>304</v>
      </c>
      <c r="B349" s="2" t="str">
        <f>LOWER(VLOOKUP(A349,Xtal_Templ!A:B,2,FALSE))</f>
        <v>grm1_human</v>
      </c>
      <c r="C349" s="2" t="str">
        <f>VLOOKUP(A349,Classification!A:D,2,FALSE)</f>
        <v>C</v>
      </c>
      <c r="Q349" s="2" t="s">
        <v>1556</v>
      </c>
      <c r="R349" s="71" t="str">
        <f>MID(VLOOKUP($A349,Seqs!$A:$B,2,FALSE),VLOOKUP($A349,'NonXtal_SegEnds_Prot#'!A:AL,10,FALSE),1)</f>
        <v>F</v>
      </c>
      <c r="S349" s="102" t="str">
        <f>MID(VLOOKUP($A349,Seqs!$A:$B,2,FALSE),VLOOKUP($A349,'NonXtal_SegEnds_Prot#'!A:AL,10,FALSE)+6,1)</f>
        <v>P</v>
      </c>
      <c r="T349" s="102" t="str">
        <f>MID(VLOOKUP($A349,Seqs!$A:$B,2,FALSE),VLOOKUP($A349,'NonXtal_SegEnds_Prot#'!A:AL,10,FALSE)+7,1)</f>
        <v>V</v>
      </c>
      <c r="U349" s="102" t="str">
        <f>MID(VLOOKUP($A349,Seqs!$A:$B,2,FALSE),VLOOKUP($A349,'NonXtal_SegEnds_Prot#'!A:AL,10,FALSE)+8,1)</f>
        <v>F</v>
      </c>
      <c r="V349" s="102" t="str">
        <f>MID(VLOOKUP($A349,Seqs!$A:$B,2,FALSE),VLOOKUP($A349,'NonXtal_SegEnds_Prot#'!A:AL,10,FALSE)+9,1)</f>
        <v>I</v>
      </c>
      <c r="W349" s="71" t="str">
        <f>MID(VLOOKUP($A349,Seqs!$A:$B,2,FALSE),VLOOKUP($A349,'NonXtal_SegEnds_Prot#'!$A:$AL,22,FALSE)+6,1)</f>
        <v>L</v>
      </c>
      <c r="X349" s="102" t="str">
        <f>MID(VLOOKUP($A349,Seqs!$A:$B,2,FALSE),VLOOKUP($A349,'NonXtal_SegEnds_Prot#'!$A:$AL,22,FALSE)+7,1)</f>
        <v>G</v>
      </c>
      <c r="Y349" s="102" t="str">
        <f>MID(VLOOKUP($A349,Seqs!$A:$B,2,FALSE),VLOOKUP($A349,'NonXtal_SegEnds_Prot#'!$A:$AL,22,FALSE)+8,1)</f>
        <v>L</v>
      </c>
      <c r="Z349" s="102" t="str">
        <f>MID(VLOOKUP($A349,Seqs!$A:$B,2,FALSE),VLOOKUP($A349,'NonXtal_SegEnds_Prot#'!$A:$AL,22,FALSE)+9,1)</f>
        <v>L</v>
      </c>
      <c r="AA349" s="102" t="str">
        <f>MID(VLOOKUP($A349,Seqs!$A:$B,2,FALSE),VLOOKUP($A349,'NonXtal_SegEnds_Prot#'!$A:$AL,22,FALSE)+10,1)</f>
        <v>L</v>
      </c>
      <c r="AB349" s="71" t="str">
        <f>MID(VLOOKUP($A349,Seqs!$A:$B,2,FALSE),VLOOKUP($A349,'NonXtal_SegEnds_Prot#'!$A:$AL,28,FALSE)-4,1)</f>
        <v>A</v>
      </c>
      <c r="AC349" s="102" t="str">
        <f>MID(VLOOKUP($A349,Seqs!$A:$B,2,FALSE),VLOOKUP($A349,'NonXtal_SegEnds_Prot#'!$A:$AL,28,FALSE),1)</f>
        <v>L</v>
      </c>
    </row>
    <row r="350" spans="1:29" s="2" customFormat="1" x14ac:dyDescent="0.2">
      <c r="A350" s="2" t="s">
        <v>305</v>
      </c>
      <c r="B350" s="2" t="str">
        <f>LOWER(VLOOKUP(A350,Xtal_Templ!A:B,2,FALSE))</f>
        <v>grm1_human</v>
      </c>
      <c r="C350" s="2" t="str">
        <f>VLOOKUP(A350,Classification!A:D,2,FALSE)</f>
        <v>C</v>
      </c>
      <c r="Q350" s="2" t="s">
        <v>1556</v>
      </c>
      <c r="R350" s="71" t="str">
        <f>MID(VLOOKUP($A350,Seqs!$A:$B,2,FALSE),VLOOKUP($A350,'NonXtal_SegEnds_Prot#'!A:AL,10,FALSE),1)</f>
        <v>T</v>
      </c>
      <c r="S350" s="102" t="str">
        <f>MID(VLOOKUP($A350,Seqs!$A:$B,2,FALSE),VLOOKUP($A350,'NonXtal_SegEnds_Prot#'!A:AL,10,FALSE)+6,1)</f>
        <v>L</v>
      </c>
      <c r="T350" s="102" t="str">
        <f>MID(VLOOKUP($A350,Seqs!$A:$B,2,FALSE),VLOOKUP($A350,'NonXtal_SegEnds_Prot#'!A:AL,10,FALSE)+7,1)</f>
        <v>T</v>
      </c>
      <c r="U350" s="102" t="str">
        <f>MID(VLOOKUP($A350,Seqs!$A:$B,2,FALSE),VLOOKUP($A350,'NonXtal_SegEnds_Prot#'!A:AL,10,FALSE)+8,1)</f>
        <v>F</v>
      </c>
      <c r="V350" s="102" t="str">
        <f>MID(VLOOKUP($A350,Seqs!$A:$B,2,FALSE),VLOOKUP($A350,'NonXtal_SegEnds_Prot#'!A:AL,10,FALSE)+9,1)</f>
        <v>A</v>
      </c>
      <c r="W350" s="71" t="str">
        <f>MID(VLOOKUP($A350,Seqs!$A:$B,2,FALSE),VLOOKUP($A350,'NonXtal_SegEnds_Prot#'!$A:$AL,22,FALSE)+6,1)</f>
        <v>I</v>
      </c>
      <c r="X350" s="102" t="str">
        <f>MID(VLOOKUP($A350,Seqs!$A:$B,2,FALSE),VLOOKUP($A350,'NonXtal_SegEnds_Prot#'!$A:$AL,22,FALSE)+7,1)</f>
        <v>A</v>
      </c>
      <c r="Y350" s="102" t="str">
        <f>MID(VLOOKUP($A350,Seqs!$A:$B,2,FALSE),VLOOKUP($A350,'NonXtal_SegEnds_Prot#'!$A:$AL,22,FALSE)+8,1)</f>
        <v>V</v>
      </c>
      <c r="Z350" s="102" t="str">
        <f>MID(VLOOKUP($A350,Seqs!$A:$B,2,FALSE),VLOOKUP($A350,'NonXtal_SegEnds_Prot#'!$A:$AL,22,FALSE)+9,1)</f>
        <v>E</v>
      </c>
      <c r="AA350" s="102" t="str">
        <f>MID(VLOOKUP($A350,Seqs!$A:$B,2,FALSE),VLOOKUP($A350,'NonXtal_SegEnds_Prot#'!$A:$AL,22,FALSE)+10,1)</f>
        <v>W</v>
      </c>
      <c r="AB350" s="71" t="str">
        <f>MID(VLOOKUP($A350,Seqs!$A:$B,2,FALSE),VLOOKUP($A350,'NonXtal_SegEnds_Prot#'!$A:$AL,28,FALSE)-4,1)</f>
        <v>Y</v>
      </c>
      <c r="AC350" s="102" t="str">
        <f>MID(VLOOKUP($A350,Seqs!$A:$B,2,FALSE),VLOOKUP($A350,'NonXtal_SegEnds_Prot#'!$A:$AL,28,FALSE),1)</f>
        <v>L</v>
      </c>
    </row>
    <row r="351" spans="1:29" s="2" customFormat="1" x14ac:dyDescent="0.2">
      <c r="A351" s="2" t="s">
        <v>306</v>
      </c>
      <c r="B351" s="2" t="str">
        <f>LOWER(VLOOKUP(A351,Xtal_Templ!A:B,2,FALSE))</f>
        <v>grm1_human</v>
      </c>
      <c r="C351" s="2" t="str">
        <f>VLOOKUP(A351,Classification!A:D,2,FALSE)</f>
        <v>C</v>
      </c>
      <c r="Q351" s="2" t="s">
        <v>1556</v>
      </c>
      <c r="R351" s="71" t="str">
        <f>MID(VLOOKUP($A351,Seqs!$A:$B,2,FALSE),VLOOKUP($A351,'NonXtal_SegEnds_Prot#'!A:AL,10,FALSE),1)</f>
        <v>T</v>
      </c>
      <c r="S351" s="102" t="str">
        <f>MID(VLOOKUP($A351,Seqs!$A:$B,2,FALSE),VLOOKUP($A351,'NonXtal_SegEnds_Prot#'!A:AL,10,FALSE)+6,1)</f>
        <v>L</v>
      </c>
      <c r="T351" s="102" t="str">
        <f>MID(VLOOKUP($A351,Seqs!$A:$B,2,FALSE),VLOOKUP($A351,'NonXtal_SegEnds_Prot#'!A:AL,10,FALSE)+7,1)</f>
        <v>V</v>
      </c>
      <c r="U351" s="102" t="str">
        <f>MID(VLOOKUP($A351,Seqs!$A:$B,2,FALSE),VLOOKUP($A351,'NonXtal_SegEnds_Prot#'!A:AL,10,FALSE)+8,1)</f>
        <v>F</v>
      </c>
      <c r="V351" s="102" t="str">
        <f>MID(VLOOKUP($A351,Seqs!$A:$B,2,FALSE),VLOOKUP($A351,'NonXtal_SegEnds_Prot#'!A:AL,10,FALSE)+9,1)</f>
        <v>A</v>
      </c>
      <c r="W351" s="71" t="str">
        <f>MID(VLOOKUP($A351,Seqs!$A:$B,2,FALSE),VLOOKUP($A351,'NonXtal_SegEnds_Prot#'!$A:$AL,22,FALSE)+6,1)</f>
        <v>I</v>
      </c>
      <c r="X351" s="102" t="str">
        <f>MID(VLOOKUP($A351,Seqs!$A:$B,2,FALSE),VLOOKUP($A351,'NonXtal_SegEnds_Prot#'!$A:$AL,22,FALSE)+7,1)</f>
        <v>N</v>
      </c>
      <c r="Y351" s="102" t="str">
        <f>MID(VLOOKUP($A351,Seqs!$A:$B,2,FALSE),VLOOKUP($A351,'NonXtal_SegEnds_Prot#'!$A:$AL,22,FALSE)+8,1)</f>
        <v>T</v>
      </c>
      <c r="Z351" s="102" t="str">
        <f>MID(VLOOKUP($A351,Seqs!$A:$B,2,FALSE),VLOOKUP($A351,'NonXtal_SegEnds_Prot#'!$A:$AL,22,FALSE)+9,1)</f>
        <v>E</v>
      </c>
      <c r="AA351" s="102" t="str">
        <f>MID(VLOOKUP($A351,Seqs!$A:$B,2,FALSE),VLOOKUP($A351,'NonXtal_SegEnds_Prot#'!$A:$AL,22,FALSE)+10,1)</f>
        <v>W</v>
      </c>
      <c r="AB351" s="71" t="str">
        <f>MID(VLOOKUP($A351,Seqs!$A:$B,2,FALSE),VLOOKUP($A351,'NonXtal_SegEnds_Prot#'!$A:$AL,28,FALSE)-4,1)</f>
        <v>Y</v>
      </c>
      <c r="AC351" s="102" t="str">
        <f>MID(VLOOKUP($A351,Seqs!$A:$B,2,FALSE),VLOOKUP($A351,'NonXtal_SegEnds_Prot#'!$A:$AL,28,FALSE),1)</f>
        <v>L</v>
      </c>
    </row>
    <row r="352" spans="1:29" s="2" customFormat="1" x14ac:dyDescent="0.2">
      <c r="A352" s="2" t="s">
        <v>307</v>
      </c>
      <c r="B352" s="2" t="str">
        <f>LOWER(VLOOKUP(A352,Xtal_Templ!A:B,2,FALSE))</f>
        <v>grm1_human</v>
      </c>
      <c r="C352" s="2" t="str">
        <f>VLOOKUP(A352,Classification!A:D,2,FALSE)</f>
        <v>C</v>
      </c>
      <c r="Q352" s="2" t="s">
        <v>1556</v>
      </c>
      <c r="R352" s="71" t="str">
        <f>MID(VLOOKUP($A352,Seqs!$A:$B,2,FALSE),VLOOKUP($A352,'NonXtal_SegEnds_Prot#'!A:AL,10,FALSE),1)</f>
        <v>V</v>
      </c>
      <c r="S352" s="102" t="str">
        <f>MID(VLOOKUP($A352,Seqs!$A:$B,2,FALSE),VLOOKUP($A352,'NonXtal_SegEnds_Prot#'!A:AL,10,FALSE)+6,1)</f>
        <v>L</v>
      </c>
      <c r="T352" s="102" t="str">
        <f>MID(VLOOKUP($A352,Seqs!$A:$B,2,FALSE),VLOOKUP($A352,'NonXtal_SegEnds_Prot#'!A:AL,10,FALSE)+7,1)</f>
        <v>A</v>
      </c>
      <c r="U352" s="102" t="str">
        <f>MID(VLOOKUP($A352,Seqs!$A:$B,2,FALSE),VLOOKUP($A352,'NonXtal_SegEnds_Prot#'!A:AL,10,FALSE)+8,1)</f>
        <v>F</v>
      </c>
      <c r="V352" s="102" t="str">
        <f>MID(VLOOKUP($A352,Seqs!$A:$B,2,FALSE),VLOOKUP($A352,'NonXtal_SegEnds_Prot#'!A:AL,10,FALSE)+9,1)</f>
        <v>A</v>
      </c>
      <c r="W352" s="71" t="str">
        <f>MID(VLOOKUP($A352,Seqs!$A:$B,2,FALSE),VLOOKUP($A352,'NonXtal_SegEnds_Prot#'!$A:$AL,22,FALSE)+6,1)</f>
        <v>I</v>
      </c>
      <c r="X352" s="102" t="str">
        <f>MID(VLOOKUP($A352,Seqs!$A:$B,2,FALSE),VLOOKUP($A352,'NonXtal_SegEnds_Prot#'!$A:$AL,22,FALSE)+7,1)</f>
        <v>A</v>
      </c>
      <c r="Y352" s="102" t="str">
        <f>MID(VLOOKUP($A352,Seqs!$A:$B,2,FALSE),VLOOKUP($A352,'NonXtal_SegEnds_Prot#'!$A:$AL,22,FALSE)+8,1)</f>
        <v>T</v>
      </c>
      <c r="Z352" s="102" t="str">
        <f>MID(VLOOKUP($A352,Seqs!$A:$B,2,FALSE),VLOOKUP($A352,'NonXtal_SegEnds_Prot#'!$A:$AL,22,FALSE)+9,1)</f>
        <v>E</v>
      </c>
      <c r="AA352" s="102" t="str">
        <f>MID(VLOOKUP($A352,Seqs!$A:$B,2,FALSE),VLOOKUP($A352,'NonXtal_SegEnds_Prot#'!$A:$AL,22,FALSE)+10,1)</f>
        <v>Y</v>
      </c>
      <c r="AB352" s="71" t="str">
        <f>MID(VLOOKUP($A352,Seqs!$A:$B,2,FALSE),VLOOKUP($A352,'NonXtal_SegEnds_Prot#'!$A:$AL,28,FALSE)-4,1)</f>
        <v>Y</v>
      </c>
      <c r="AC352" s="102" t="str">
        <f>MID(VLOOKUP($A352,Seqs!$A:$B,2,FALSE),VLOOKUP($A352,'NonXtal_SegEnds_Prot#'!$A:$AL,28,FALSE),1)</f>
        <v>L</v>
      </c>
    </row>
    <row r="353" spans="1:29" s="2" customFormat="1" x14ac:dyDescent="0.2">
      <c r="A353" s="2" t="s">
        <v>308</v>
      </c>
      <c r="B353" s="2" t="str">
        <f>LOWER(VLOOKUP(A353,Xtal_Templ!A:B,2,FALSE))</f>
        <v>grm1_human</v>
      </c>
      <c r="C353" s="2" t="str">
        <f>VLOOKUP(A353,Classification!A:D,2,FALSE)</f>
        <v>C</v>
      </c>
      <c r="Q353" s="2" t="s">
        <v>1556</v>
      </c>
      <c r="R353" s="71" t="str">
        <f>MID(VLOOKUP($A353,Seqs!$A:$B,2,FALSE),VLOOKUP($A353,'NonXtal_SegEnds_Prot#'!A:AL,10,FALSE),1)</f>
        <v>H</v>
      </c>
      <c r="S353" s="102" t="str">
        <f>MID(VLOOKUP($A353,Seqs!$A:$B,2,FALSE),VLOOKUP($A353,'NonXtal_SegEnds_Prot#'!A:AL,10,FALSE)+6,1)</f>
        <v>S</v>
      </c>
      <c r="T353" s="102" t="str">
        <f>MID(VLOOKUP($A353,Seqs!$A:$B,2,FALSE),VLOOKUP($A353,'NonXtal_SegEnds_Prot#'!A:AL,10,FALSE)+7,1)</f>
        <v>T</v>
      </c>
      <c r="U353" s="102" t="str">
        <f>MID(VLOOKUP($A353,Seqs!$A:$B,2,FALSE),VLOOKUP($A353,'NonXtal_SegEnds_Prot#'!A:AL,10,FALSE)+8,1)</f>
        <v>S</v>
      </c>
      <c r="V353" s="102" t="str">
        <f>MID(VLOOKUP($A353,Seqs!$A:$B,2,FALSE),VLOOKUP($A353,'NonXtal_SegEnds_Prot#'!A:AL,10,FALSE)+9,1)</f>
        <v>F</v>
      </c>
      <c r="W353" s="71" t="str">
        <f>MID(VLOOKUP($A353,Seqs!$A:$B,2,FALSE),VLOOKUP($A353,'NonXtal_SegEnds_Prot#'!$A:$AL,22,FALSE)+6,1)</f>
        <v>I</v>
      </c>
      <c r="X353" s="102" t="str">
        <f>MID(VLOOKUP($A353,Seqs!$A:$B,2,FALSE),VLOOKUP($A353,'NonXtal_SegEnds_Prot#'!$A:$AL,22,FALSE)+7,1)</f>
        <v>C</v>
      </c>
      <c r="Y353" s="102" t="str">
        <f>MID(VLOOKUP($A353,Seqs!$A:$B,2,FALSE),VLOOKUP($A353,'NonXtal_SegEnds_Prot#'!$A:$AL,22,FALSE)+8,1)</f>
        <v>T</v>
      </c>
      <c r="Z353" s="102" t="str">
        <f>MID(VLOOKUP($A353,Seqs!$A:$B,2,FALSE),VLOOKUP($A353,'NonXtal_SegEnds_Prot#'!$A:$AL,22,FALSE)+9,1)</f>
        <v>L</v>
      </c>
      <c r="AA353" s="102" t="str">
        <f>MID(VLOOKUP($A353,Seqs!$A:$B,2,FALSE),VLOOKUP($A353,'NonXtal_SegEnds_Prot#'!$A:$AL,22,FALSE)+10,1)</f>
        <v>W</v>
      </c>
      <c r="AB353" s="71" t="str">
        <f>MID(VLOOKUP($A353,Seqs!$A:$B,2,FALSE),VLOOKUP($A353,'NonXtal_SegEnds_Prot#'!$A:$AL,28,FALSE)-4,1)</f>
        <v>Y</v>
      </c>
      <c r="AC353" s="102" t="str">
        <f>MID(VLOOKUP($A353,Seqs!$A:$B,2,FALSE),VLOOKUP($A353,'NonXtal_SegEnds_Prot#'!$A:$AL,28,FALSE),1)</f>
        <v>L</v>
      </c>
    </row>
    <row r="354" spans="1:29" s="2" customFormat="1" x14ac:dyDescent="0.2">
      <c r="A354" s="2" t="s">
        <v>223</v>
      </c>
      <c r="B354" s="2" t="str">
        <f>LOWER(VLOOKUP(A354,Xtal_Templ!A:B,2,FALSE))</f>
        <v>grm1_human</v>
      </c>
      <c r="C354" s="2" t="str">
        <f>VLOOKUP(A354,Classification!A:D,2,FALSE)</f>
        <v>C</v>
      </c>
      <c r="Q354" s="2" t="s">
        <v>1556</v>
      </c>
      <c r="R354" s="71" t="str">
        <f>MID(VLOOKUP($A354,Seqs!$A:$B,2,FALSE),VLOOKUP($A354,'NonXtal_SegEnds_Prot#'!A:AL,10,FALSE),1)</f>
        <v>I</v>
      </c>
      <c r="S354" s="102" t="str">
        <f>MID(VLOOKUP($A354,Seqs!$A:$B,2,FALSE),VLOOKUP($A354,'NonXtal_SegEnds_Prot#'!A:AL,10,FALSE)+6,1)</f>
        <v>C</v>
      </c>
      <c r="T354" s="102" t="str">
        <f>MID(VLOOKUP($A354,Seqs!$A:$B,2,FALSE),VLOOKUP($A354,'NonXtal_SegEnds_Prot#'!A:AL,10,FALSE)+7,1)</f>
        <v>P</v>
      </c>
      <c r="U354" s="102" t="str">
        <f>MID(VLOOKUP($A354,Seqs!$A:$B,2,FALSE),VLOOKUP($A354,'NonXtal_SegEnds_Prot#'!A:AL,10,FALSE)+8,1)</f>
        <v>F</v>
      </c>
      <c r="V354" s="102" t="str">
        <f>MID(VLOOKUP($A354,Seqs!$A:$B,2,FALSE),VLOOKUP($A354,'NonXtal_SegEnds_Prot#'!A:AL,10,FALSE)+9,1)</f>
        <v>T</v>
      </c>
      <c r="W354" s="71" t="str">
        <f>MID(VLOOKUP($A354,Seqs!$A:$B,2,FALSE),VLOOKUP($A354,'NonXtal_SegEnds_Prot#'!$A:$AL,22,FALSE)+6,1)</f>
        <v>L</v>
      </c>
      <c r="X354" s="102" t="str">
        <f>MID(VLOOKUP($A354,Seqs!$A:$B,2,FALSE),VLOOKUP($A354,'NonXtal_SegEnds_Prot#'!$A:$AL,22,FALSE)+7,1)</f>
        <v>V</v>
      </c>
      <c r="Y354" s="102" t="str">
        <f>MID(VLOOKUP($A354,Seqs!$A:$B,2,FALSE),VLOOKUP($A354,'NonXtal_SegEnds_Prot#'!$A:$AL,22,FALSE)+8,1)</f>
        <v>V</v>
      </c>
      <c r="Z354" s="102" t="str">
        <f>MID(VLOOKUP($A354,Seqs!$A:$B,2,FALSE),VLOOKUP($A354,'NonXtal_SegEnds_Prot#'!$A:$AL,22,FALSE)+9,1)</f>
        <v>T</v>
      </c>
      <c r="AA354" s="102" t="str">
        <f>MID(VLOOKUP($A354,Seqs!$A:$B,2,FALSE),VLOOKUP($A354,'NonXtal_SegEnds_Prot#'!$A:$AL,22,FALSE)+10,1)</f>
        <v>L</v>
      </c>
      <c r="AB354" s="71" t="str">
        <f>MID(VLOOKUP($A354,Seqs!$A:$B,2,FALSE),VLOOKUP($A354,'NonXtal_SegEnds_Prot#'!$A:$AL,28,FALSE)-4,1)</f>
        <v>Y</v>
      </c>
      <c r="AC354" s="102" t="str">
        <f>MID(VLOOKUP($A354,Seqs!$A:$B,2,FALSE),VLOOKUP($A354,'NonXtal_SegEnds_Prot#'!$A:$AL,28,FALSE),1)</f>
        <v>L</v>
      </c>
    </row>
    <row r="355" spans="1:29" s="2" customFormat="1" x14ac:dyDescent="0.2">
      <c r="A355" s="2" t="s">
        <v>309</v>
      </c>
      <c r="B355" s="2" t="str">
        <f>LOWER(VLOOKUP(A355,Xtal_Templ!A:B,2,FALSE))</f>
        <v>grm5_human</v>
      </c>
      <c r="C355" s="2" t="str">
        <f>VLOOKUP(A355,Classification!A:D,2,FALSE)</f>
        <v>C</v>
      </c>
      <c r="Q355" s="2" t="s">
        <v>1556</v>
      </c>
      <c r="R355" s="71" t="str">
        <f>MID(VLOOKUP($A355,Seqs!$A:$B,2,FALSE),VLOOKUP($A355,'NonXtal_SegEnds_Prot#'!A:AL,10,FALSE),1)</f>
        <v>V</v>
      </c>
      <c r="S355" s="102" t="str">
        <f>MID(VLOOKUP($A355,Seqs!$A:$B,2,FALSE),VLOOKUP($A355,'NonXtal_SegEnds_Prot#'!A:AL,10,FALSE)+6,1)</f>
        <v>M</v>
      </c>
      <c r="T355" s="102" t="str">
        <f>MID(VLOOKUP($A355,Seqs!$A:$B,2,FALSE),VLOOKUP($A355,'NonXtal_SegEnds_Prot#'!A:AL,10,FALSE)+7,1)</f>
        <v>T</v>
      </c>
      <c r="U355" s="102" t="str">
        <f>MID(VLOOKUP($A355,Seqs!$A:$B,2,FALSE),VLOOKUP($A355,'NonXtal_SegEnds_Prot#'!A:AL,10,FALSE)+8,1)</f>
        <v>F</v>
      </c>
      <c r="V355" s="102" t="str">
        <f>MID(VLOOKUP($A355,Seqs!$A:$B,2,FALSE),VLOOKUP($A355,'NonXtal_SegEnds_Prot#'!A:AL,10,FALSE)+9,1)</f>
        <v>I</v>
      </c>
      <c r="W355" s="71" t="str">
        <f>MID(VLOOKUP($A355,Seqs!$A:$B,2,FALSE),VLOOKUP($A355,'NonXtal_SegEnds_Prot#'!$A:$AL,22,FALSE)+6,1)</f>
        <v>I</v>
      </c>
      <c r="X355" s="102" t="str">
        <f>MID(VLOOKUP($A355,Seqs!$A:$B,2,FALSE),VLOOKUP($A355,'NonXtal_SegEnds_Prot#'!$A:$AL,22,FALSE)+7,1)</f>
        <v>V</v>
      </c>
      <c r="Y355" s="102" t="str">
        <f>MID(VLOOKUP($A355,Seqs!$A:$B,2,FALSE),VLOOKUP($A355,'NonXtal_SegEnds_Prot#'!$A:$AL,22,FALSE)+8,1)</f>
        <v>V</v>
      </c>
      <c r="Z355" s="102" t="str">
        <f>MID(VLOOKUP($A355,Seqs!$A:$B,2,FALSE),VLOOKUP($A355,'NonXtal_SegEnds_Prot#'!$A:$AL,22,FALSE)+9,1)</f>
        <v>A</v>
      </c>
      <c r="AA355" s="102" t="str">
        <f>MID(VLOOKUP($A355,Seqs!$A:$B,2,FALSE),VLOOKUP($A355,'NonXtal_SegEnds_Prot#'!$A:$AL,22,FALSE)+10,1)</f>
        <v>W</v>
      </c>
      <c r="AB355" s="71" t="str">
        <f>MID(VLOOKUP($A355,Seqs!$A:$B,2,FALSE),VLOOKUP($A355,'NonXtal_SegEnds_Prot#'!$A:$AL,28,FALSE)-4,1)</f>
        <v>Y</v>
      </c>
      <c r="AC355" s="102" t="str">
        <f>MID(VLOOKUP($A355,Seqs!$A:$B,2,FALSE),VLOOKUP($A355,'NonXtal_SegEnds_Prot#'!$A:$AL,28,FALSE),1)</f>
        <v>L</v>
      </c>
    </row>
    <row r="356" spans="1:29" s="2" customFormat="1" x14ac:dyDescent="0.2">
      <c r="A356" s="2" t="s">
        <v>310</v>
      </c>
      <c r="B356" s="2" t="str">
        <f>LOWER(VLOOKUP(A356,Xtal_Templ!A:B,2,FALSE))</f>
        <v>grm5_human</v>
      </c>
      <c r="C356" s="2" t="str">
        <f>VLOOKUP(A356,Classification!A:D,2,FALSE)</f>
        <v>C</v>
      </c>
      <c r="Q356" s="2" t="s">
        <v>1556</v>
      </c>
      <c r="R356" s="71" t="str">
        <f>MID(VLOOKUP($A356,Seqs!$A:$B,2,FALSE),VLOOKUP($A356,'NonXtal_SegEnds_Prot#'!A:AL,10,FALSE),1)</f>
        <v>V</v>
      </c>
      <c r="S356" s="102" t="str">
        <f>MID(VLOOKUP($A356,Seqs!$A:$B,2,FALSE),VLOOKUP($A356,'NonXtal_SegEnds_Prot#'!A:AL,10,FALSE)+6,1)</f>
        <v>M</v>
      </c>
      <c r="T356" s="102" t="str">
        <f>MID(VLOOKUP($A356,Seqs!$A:$B,2,FALSE),VLOOKUP($A356,'NonXtal_SegEnds_Prot#'!A:AL,10,FALSE)+7,1)</f>
        <v>T</v>
      </c>
      <c r="U356" s="102" t="str">
        <f>MID(VLOOKUP($A356,Seqs!$A:$B,2,FALSE),VLOOKUP($A356,'NonXtal_SegEnds_Prot#'!A:AL,10,FALSE)+8,1)</f>
        <v>F</v>
      </c>
      <c r="V356" s="102" t="str">
        <f>MID(VLOOKUP($A356,Seqs!$A:$B,2,FALSE),VLOOKUP($A356,'NonXtal_SegEnds_Prot#'!A:AL,10,FALSE)+9,1)</f>
        <v>F</v>
      </c>
      <c r="W356" s="71" t="str">
        <f>MID(VLOOKUP($A356,Seqs!$A:$B,2,FALSE),VLOOKUP($A356,'NonXtal_SegEnds_Prot#'!$A:$AL,22,FALSE)+6,1)</f>
        <v>M</v>
      </c>
      <c r="X356" s="102" t="str">
        <f>MID(VLOOKUP($A356,Seqs!$A:$B,2,FALSE),VLOOKUP($A356,'NonXtal_SegEnds_Prot#'!$A:$AL,22,FALSE)+7,1)</f>
        <v>V</v>
      </c>
      <c r="Y356" s="102" t="str">
        <f>MID(VLOOKUP($A356,Seqs!$A:$B,2,FALSE),VLOOKUP($A356,'NonXtal_SegEnds_Prot#'!$A:$AL,22,FALSE)+8,1)</f>
        <v>S</v>
      </c>
      <c r="Z356" s="102" t="str">
        <f>MID(VLOOKUP($A356,Seqs!$A:$B,2,FALSE),VLOOKUP($A356,'NonXtal_SegEnds_Prot#'!$A:$AL,22,FALSE)+9,1)</f>
        <v>V</v>
      </c>
      <c r="AA356" s="102" t="str">
        <f>MID(VLOOKUP($A356,Seqs!$A:$B,2,FALSE),VLOOKUP($A356,'NonXtal_SegEnds_Prot#'!$A:$AL,22,FALSE)+10,1)</f>
        <v>W</v>
      </c>
      <c r="AB356" s="71" t="str">
        <f>MID(VLOOKUP($A356,Seqs!$A:$B,2,FALSE),VLOOKUP($A356,'NonXtal_SegEnds_Prot#'!$A:$AL,28,FALSE)-4,1)</f>
        <v>Y</v>
      </c>
      <c r="AC356" s="102" t="str">
        <f>MID(VLOOKUP($A356,Seqs!$A:$B,2,FALSE),VLOOKUP($A356,'NonXtal_SegEnds_Prot#'!$A:$AL,28,FALSE),1)</f>
        <v>L</v>
      </c>
    </row>
    <row r="357" spans="1:29" s="2" customFormat="1" x14ac:dyDescent="0.2">
      <c r="A357" s="2" t="s">
        <v>311</v>
      </c>
      <c r="B357" s="2" t="str">
        <f>LOWER(VLOOKUP(A357,Xtal_Templ!A:B,2,FALSE))</f>
        <v>grm5_human</v>
      </c>
      <c r="C357" s="2" t="str">
        <f>VLOOKUP(A357,Classification!A:D,2,FALSE)</f>
        <v>C</v>
      </c>
      <c r="Q357" s="2" t="s">
        <v>1556</v>
      </c>
      <c r="R357" s="71" t="str">
        <f>MID(VLOOKUP($A357,Seqs!$A:$B,2,FALSE),VLOOKUP($A357,'NonXtal_SegEnds_Prot#'!A:AL,10,FALSE),1)</f>
        <v>I</v>
      </c>
      <c r="S357" s="102" t="str">
        <f>MID(VLOOKUP($A357,Seqs!$A:$B,2,FALSE),VLOOKUP($A357,'NonXtal_SegEnds_Prot#'!A:AL,10,FALSE)+6,1)</f>
        <v>T</v>
      </c>
      <c r="T357" s="102" t="str">
        <f>MID(VLOOKUP($A357,Seqs!$A:$B,2,FALSE),VLOOKUP($A357,'NonXtal_SegEnds_Prot#'!A:AL,10,FALSE)+7,1)</f>
        <v>T</v>
      </c>
      <c r="U357" s="102" t="str">
        <f>MID(VLOOKUP($A357,Seqs!$A:$B,2,FALSE),VLOOKUP($A357,'NonXtal_SegEnds_Prot#'!A:AL,10,FALSE)+8,1)</f>
        <v>F</v>
      </c>
      <c r="V357" s="102" t="str">
        <f>MID(VLOOKUP($A357,Seqs!$A:$B,2,FALSE),VLOOKUP($A357,'NonXtal_SegEnds_Prot#'!A:AL,10,FALSE)+9,1)</f>
        <v>L</v>
      </c>
      <c r="W357" s="71" t="str">
        <f>MID(VLOOKUP($A357,Seqs!$A:$B,2,FALSE),VLOOKUP($A357,'NonXtal_SegEnds_Prot#'!$A:$AL,22,FALSE)+6,1)</f>
        <v>G</v>
      </c>
      <c r="X357" s="102" t="str">
        <f>MID(VLOOKUP($A357,Seqs!$A:$B,2,FALSE),VLOOKUP($A357,'NonXtal_SegEnds_Prot#'!$A:$AL,22,FALSE)+7,1)</f>
        <v>I</v>
      </c>
      <c r="Y357" s="102" t="str">
        <f>MID(VLOOKUP($A357,Seqs!$A:$B,2,FALSE),VLOOKUP($A357,'NonXtal_SegEnds_Prot#'!$A:$AL,22,FALSE)+8,1)</f>
        <v>C</v>
      </c>
      <c r="Z357" s="102" t="str">
        <f>MID(VLOOKUP($A357,Seqs!$A:$B,2,FALSE),VLOOKUP($A357,'NonXtal_SegEnds_Prot#'!$A:$AL,22,FALSE)+9,1)</f>
        <v>V</v>
      </c>
      <c r="AA357" s="102" t="str">
        <f>MID(VLOOKUP($A357,Seqs!$A:$B,2,FALSE),VLOOKUP($A357,'NonXtal_SegEnds_Prot#'!$A:$AL,22,FALSE)+10,1)</f>
        <v>W</v>
      </c>
      <c r="AB357" s="71" t="str">
        <f>MID(VLOOKUP($A357,Seqs!$A:$B,2,FALSE),VLOOKUP($A357,'NonXtal_SegEnds_Prot#'!$A:$AL,28,FALSE)-4,1)</f>
        <v>Y</v>
      </c>
      <c r="AC357" s="102" t="str">
        <f>MID(VLOOKUP($A357,Seqs!$A:$B,2,FALSE),VLOOKUP($A357,'NonXtal_SegEnds_Prot#'!$A:$AL,28,FALSE),1)</f>
        <v>L</v>
      </c>
    </row>
    <row r="358" spans="1:29" s="2" customFormat="1" x14ac:dyDescent="0.2">
      <c r="A358" s="2" t="s">
        <v>224</v>
      </c>
      <c r="B358" s="2" t="str">
        <f>LOWER(VLOOKUP(A358,Xtal_Templ!A:B,2,FALSE))</f>
        <v>grm5_human</v>
      </c>
      <c r="C358" s="2" t="str">
        <f>VLOOKUP(A358,Classification!A:D,2,FALSE)</f>
        <v>C</v>
      </c>
      <c r="Q358" s="2" t="s">
        <v>1556</v>
      </c>
      <c r="R358" s="71" t="str">
        <f>MID(VLOOKUP($A358,Seqs!$A:$B,2,FALSE),VLOOKUP($A358,'NonXtal_SegEnds_Prot#'!A:AL,10,FALSE),1)</f>
        <v>I</v>
      </c>
      <c r="S358" s="102" t="str">
        <f>MID(VLOOKUP($A358,Seqs!$A:$B,2,FALSE),VLOOKUP($A358,'NonXtal_SegEnds_Prot#'!A:AL,10,FALSE)+6,1)</f>
        <v>C</v>
      </c>
      <c r="T358" s="102" t="str">
        <f>MID(VLOOKUP($A358,Seqs!$A:$B,2,FALSE),VLOOKUP($A358,'NonXtal_SegEnds_Prot#'!A:AL,10,FALSE)+7,1)</f>
        <v>T</v>
      </c>
      <c r="U358" s="102" t="str">
        <f>MID(VLOOKUP($A358,Seqs!$A:$B,2,FALSE),VLOOKUP($A358,'NonXtal_SegEnds_Prot#'!A:AL,10,FALSE)+8,1)</f>
        <v>F</v>
      </c>
      <c r="V358" s="102" t="str">
        <f>MID(VLOOKUP($A358,Seqs!$A:$B,2,FALSE),VLOOKUP($A358,'NonXtal_SegEnds_Prot#'!A:AL,10,FALSE)+9,1)</f>
        <v>C</v>
      </c>
      <c r="W358" s="71" t="str">
        <f>MID(VLOOKUP($A358,Seqs!$A:$B,2,FALSE),VLOOKUP($A358,'NonXtal_SegEnds_Prot#'!$A:$AL,22,FALSE)+6,1)</f>
        <v>I</v>
      </c>
      <c r="X358" s="102" t="str">
        <f>MID(VLOOKUP($A358,Seqs!$A:$B,2,FALSE),VLOOKUP($A358,'NonXtal_SegEnds_Prot#'!$A:$AL,22,FALSE)+7,1)</f>
        <v>I</v>
      </c>
      <c r="Y358" s="102" t="str">
        <f>MID(VLOOKUP($A358,Seqs!$A:$B,2,FALSE),VLOOKUP($A358,'NonXtal_SegEnds_Prot#'!$A:$AL,22,FALSE)+8,1)</f>
        <v>V</v>
      </c>
      <c r="Z358" s="102" t="str">
        <f>MID(VLOOKUP($A358,Seqs!$A:$B,2,FALSE),VLOOKUP($A358,'NonXtal_SegEnds_Prot#'!$A:$AL,22,FALSE)+9,1)</f>
        <v>A</v>
      </c>
      <c r="AA358" s="102" t="str">
        <f>MID(VLOOKUP($A358,Seqs!$A:$B,2,FALSE),VLOOKUP($A358,'NonXtal_SegEnds_Prot#'!$A:$AL,22,FALSE)+10,1)</f>
        <v>L</v>
      </c>
      <c r="AB358" s="71" t="str">
        <f>MID(VLOOKUP($A358,Seqs!$A:$B,2,FALSE),VLOOKUP($A358,'NonXtal_SegEnds_Prot#'!$A:$AL,28,FALSE)-4,1)</f>
        <v>Y</v>
      </c>
      <c r="AC358" s="102" t="str">
        <f>MID(VLOOKUP($A358,Seqs!$A:$B,2,FALSE),VLOOKUP($A358,'NonXtal_SegEnds_Prot#'!$A:$AL,28,FALSE),1)</f>
        <v>L</v>
      </c>
    </row>
    <row r="359" spans="1:29" s="2" customFormat="1" x14ac:dyDescent="0.2">
      <c r="A359" s="2" t="s">
        <v>312</v>
      </c>
      <c r="B359" s="2" t="str">
        <f>LOWER(VLOOKUP(A359,Xtal_Templ!A:B,2,FALSE))</f>
        <v>grm5_human</v>
      </c>
      <c r="C359" s="2" t="str">
        <f>VLOOKUP(A359,Classification!A:D,2,FALSE)</f>
        <v>C</v>
      </c>
      <c r="Q359" s="2" t="s">
        <v>1556</v>
      </c>
      <c r="R359" s="71" t="str">
        <f>MID(VLOOKUP($A359,Seqs!$A:$B,2,FALSE),VLOOKUP($A359,'NonXtal_SegEnds_Prot#'!A:AL,10,FALSE),1)</f>
        <v>I</v>
      </c>
      <c r="S359" s="102" t="str">
        <f>MID(VLOOKUP($A359,Seqs!$A:$B,2,FALSE),VLOOKUP($A359,'NonXtal_SegEnds_Prot#'!A:AL,10,FALSE)+6,1)</f>
        <v>I</v>
      </c>
      <c r="T359" s="102" t="str">
        <f>MID(VLOOKUP($A359,Seqs!$A:$B,2,FALSE),VLOOKUP($A359,'NonXtal_SegEnds_Prot#'!A:AL,10,FALSE)+7,1)</f>
        <v>T</v>
      </c>
      <c r="U359" s="102" t="str">
        <f>MID(VLOOKUP($A359,Seqs!$A:$B,2,FALSE),VLOOKUP($A359,'NonXtal_SegEnds_Prot#'!A:AL,10,FALSE)+8,1)</f>
        <v>F</v>
      </c>
      <c r="V359" s="102" t="str">
        <f>MID(VLOOKUP($A359,Seqs!$A:$B,2,FALSE),VLOOKUP($A359,'NonXtal_SegEnds_Prot#'!A:AL,10,FALSE)+9,1)</f>
        <v>L</v>
      </c>
      <c r="W359" s="71" t="str">
        <f>MID(VLOOKUP($A359,Seqs!$A:$B,2,FALSE),VLOOKUP($A359,'NonXtal_SegEnds_Prot#'!$A:$AL,22,FALSE)+6,1)</f>
        <v>G</v>
      </c>
      <c r="X359" s="102" t="str">
        <f>MID(VLOOKUP($A359,Seqs!$A:$B,2,FALSE),VLOOKUP($A359,'NonXtal_SegEnds_Prot#'!$A:$AL,22,FALSE)+7,1)</f>
        <v>M</v>
      </c>
      <c r="Y359" s="102" t="str">
        <f>MID(VLOOKUP($A359,Seqs!$A:$B,2,FALSE),VLOOKUP($A359,'NonXtal_SegEnds_Prot#'!$A:$AL,22,FALSE)+8,1)</f>
        <v>I</v>
      </c>
      <c r="Z359" s="102" t="str">
        <f>MID(VLOOKUP($A359,Seqs!$A:$B,2,FALSE),VLOOKUP($A359,'NonXtal_SegEnds_Prot#'!$A:$AL,22,FALSE)+9,1)</f>
        <v>A</v>
      </c>
      <c r="AA359" s="102" t="str">
        <f>MID(VLOOKUP($A359,Seqs!$A:$B,2,FALSE),VLOOKUP($A359,'NonXtal_SegEnds_Prot#'!$A:$AL,22,FALSE)+10,1)</f>
        <v>W</v>
      </c>
      <c r="AB359" s="71" t="str">
        <f>MID(VLOOKUP($A359,Seqs!$A:$B,2,FALSE),VLOOKUP($A359,'NonXtal_SegEnds_Prot#'!$A:$AL,28,FALSE)-4,1)</f>
        <v>Y</v>
      </c>
      <c r="AC359" s="102" t="str">
        <f>MID(VLOOKUP($A359,Seqs!$A:$B,2,FALSE),VLOOKUP($A359,'NonXtal_SegEnds_Prot#'!$A:$AL,28,FALSE),1)</f>
        <v>L</v>
      </c>
    </row>
    <row r="360" spans="1:29" s="2" customFormat="1" x14ac:dyDescent="0.2">
      <c r="A360" s="2" t="s">
        <v>313</v>
      </c>
      <c r="B360" s="2" t="str">
        <f>LOWER(VLOOKUP(A360,Xtal_Templ!A:B,2,FALSE))</f>
        <v>grm5_human</v>
      </c>
      <c r="C360" s="2" t="str">
        <f>VLOOKUP(A360,Classification!A:D,2,FALSE)</f>
        <v>C</v>
      </c>
      <c r="Q360" s="2" t="s">
        <v>1556</v>
      </c>
      <c r="R360" s="71" t="str">
        <f>MID(VLOOKUP($A360,Seqs!$A:$B,2,FALSE),VLOOKUP($A360,'NonXtal_SegEnds_Prot#'!A:AL,10,FALSE),1)</f>
        <v>I</v>
      </c>
      <c r="S360" s="102" t="str">
        <f>MID(VLOOKUP($A360,Seqs!$A:$B,2,FALSE),VLOOKUP($A360,'NonXtal_SegEnds_Prot#'!A:AL,10,FALSE)+6,1)</f>
        <v>I</v>
      </c>
      <c r="T360" s="102" t="str">
        <f>MID(VLOOKUP($A360,Seqs!$A:$B,2,FALSE),VLOOKUP($A360,'NonXtal_SegEnds_Prot#'!A:AL,10,FALSE)+7,1)</f>
        <v>T</v>
      </c>
      <c r="U360" s="102" t="str">
        <f>MID(VLOOKUP($A360,Seqs!$A:$B,2,FALSE),VLOOKUP($A360,'NonXtal_SegEnds_Prot#'!A:AL,10,FALSE)+8,1)</f>
        <v>F</v>
      </c>
      <c r="V360" s="102" t="str">
        <f>MID(VLOOKUP($A360,Seqs!$A:$B,2,FALSE),VLOOKUP($A360,'NonXtal_SegEnds_Prot#'!A:AL,10,FALSE)+9,1)</f>
        <v>L</v>
      </c>
      <c r="W360" s="71" t="str">
        <f>MID(VLOOKUP($A360,Seqs!$A:$B,2,FALSE),VLOOKUP($A360,'NonXtal_SegEnds_Prot#'!$A:$AL,22,FALSE)+6,1)</f>
        <v>G</v>
      </c>
      <c r="X360" s="102" t="str">
        <f>MID(VLOOKUP($A360,Seqs!$A:$B,2,FALSE),VLOOKUP($A360,'NonXtal_SegEnds_Prot#'!$A:$AL,22,FALSE)+7,1)</f>
        <v>V</v>
      </c>
      <c r="Y360" s="102" t="str">
        <f>MID(VLOOKUP($A360,Seqs!$A:$B,2,FALSE),VLOOKUP($A360,'NonXtal_SegEnds_Prot#'!$A:$AL,22,FALSE)+8,1)</f>
        <v>F</v>
      </c>
      <c r="Z360" s="102" t="str">
        <f>MID(VLOOKUP($A360,Seqs!$A:$B,2,FALSE),VLOOKUP($A360,'NonXtal_SegEnds_Prot#'!$A:$AL,22,FALSE)+9,1)</f>
        <v>I</v>
      </c>
      <c r="AA360" s="102" t="str">
        <f>MID(VLOOKUP($A360,Seqs!$A:$B,2,FALSE),VLOOKUP($A360,'NonXtal_SegEnds_Prot#'!$A:$AL,22,FALSE)+10,1)</f>
        <v>W</v>
      </c>
      <c r="AB360" s="71" t="str">
        <f>MID(VLOOKUP($A360,Seqs!$A:$B,2,FALSE),VLOOKUP($A360,'NonXtal_SegEnds_Prot#'!$A:$AL,28,FALSE)-4,1)</f>
        <v>Y</v>
      </c>
      <c r="AC360" s="102" t="str">
        <f>MID(VLOOKUP($A360,Seqs!$A:$B,2,FALSE),VLOOKUP($A360,'NonXtal_SegEnds_Prot#'!$A:$AL,28,FALSE),1)</f>
        <v>L</v>
      </c>
    </row>
    <row r="361" spans="1:29" s="2" customFormat="1" x14ac:dyDescent="0.2">
      <c r="A361" s="2" t="s">
        <v>314</v>
      </c>
      <c r="B361" s="2" t="str">
        <f>LOWER(VLOOKUP(A361,Xtal_Templ!A:B,2,FALSE))</f>
        <v>grm5_human</v>
      </c>
      <c r="C361" s="2" t="str">
        <f>VLOOKUP(A361,Classification!A:D,2,FALSE)</f>
        <v>C</v>
      </c>
      <c r="Q361" s="2" t="s">
        <v>1556</v>
      </c>
      <c r="R361" s="71" t="str">
        <f>MID(VLOOKUP($A361,Seqs!$A:$B,2,FALSE),VLOOKUP($A361,'NonXtal_SegEnds_Prot#'!A:AL,10,FALSE),1)</f>
        <v>I</v>
      </c>
      <c r="S361" s="102" t="str">
        <f>MID(VLOOKUP($A361,Seqs!$A:$B,2,FALSE),VLOOKUP($A361,'NonXtal_SegEnds_Prot#'!A:AL,10,FALSE)+6,1)</f>
        <v>I</v>
      </c>
      <c r="T361" s="102" t="str">
        <f>MID(VLOOKUP($A361,Seqs!$A:$B,2,FALSE),VLOOKUP($A361,'NonXtal_SegEnds_Prot#'!A:AL,10,FALSE)+7,1)</f>
        <v>T</v>
      </c>
      <c r="U361" s="102" t="str">
        <f>MID(VLOOKUP($A361,Seqs!$A:$B,2,FALSE),VLOOKUP($A361,'NonXtal_SegEnds_Prot#'!A:AL,10,FALSE)+8,1)</f>
        <v>F</v>
      </c>
      <c r="V361" s="102" t="str">
        <f>MID(VLOOKUP($A361,Seqs!$A:$B,2,FALSE),VLOOKUP($A361,'NonXtal_SegEnds_Prot#'!A:AL,10,FALSE)+9,1)</f>
        <v>L</v>
      </c>
      <c r="W361" s="71" t="str">
        <f>MID(VLOOKUP($A361,Seqs!$A:$B,2,FALSE),VLOOKUP($A361,'NonXtal_SegEnds_Prot#'!$A:$AL,22,FALSE)+6,1)</f>
        <v>G</v>
      </c>
      <c r="X361" s="102" t="str">
        <f>MID(VLOOKUP($A361,Seqs!$A:$B,2,FALSE),VLOOKUP($A361,'NonXtal_SegEnds_Prot#'!$A:$AL,22,FALSE)+7,1)</f>
        <v>V</v>
      </c>
      <c r="Y361" s="102" t="str">
        <f>MID(VLOOKUP($A361,Seqs!$A:$B,2,FALSE),VLOOKUP($A361,'NonXtal_SegEnds_Prot#'!$A:$AL,22,FALSE)+8,1)</f>
        <v>F</v>
      </c>
      <c r="Z361" s="102" t="str">
        <f>MID(VLOOKUP($A361,Seqs!$A:$B,2,FALSE),VLOOKUP($A361,'NonXtal_SegEnds_Prot#'!$A:$AL,22,FALSE)+9,1)</f>
        <v>V</v>
      </c>
      <c r="AA361" s="102" t="str">
        <f>MID(VLOOKUP($A361,Seqs!$A:$B,2,FALSE),VLOOKUP($A361,'NonXtal_SegEnds_Prot#'!$A:$AL,22,FALSE)+10,1)</f>
        <v>W</v>
      </c>
      <c r="AB361" s="71" t="str">
        <f>MID(VLOOKUP($A361,Seqs!$A:$B,2,FALSE),VLOOKUP($A361,'NonXtal_SegEnds_Prot#'!$A:$AL,28,FALSE)-4,1)</f>
        <v>Y</v>
      </c>
      <c r="AC361" s="102" t="str">
        <f>MID(VLOOKUP($A361,Seqs!$A:$B,2,FALSE),VLOOKUP($A361,'NonXtal_SegEnds_Prot#'!$A:$AL,28,FALSE),1)</f>
        <v>L</v>
      </c>
    </row>
    <row r="362" spans="1:29" s="2" customFormat="1" x14ac:dyDescent="0.2">
      <c r="A362" s="2" t="s">
        <v>315</v>
      </c>
      <c r="B362" s="2" t="str">
        <f>LOWER(VLOOKUP(A362,Xtal_Templ!A:B,2,FALSE))</f>
        <v>grm1_human</v>
      </c>
      <c r="C362" s="2" t="str">
        <f>VLOOKUP(A362,Classification!A:D,2,FALSE)</f>
        <v>C</v>
      </c>
      <c r="Q362" s="2" t="s">
        <v>1556</v>
      </c>
      <c r="R362" s="71" t="str">
        <f>MID(VLOOKUP($A362,Seqs!$A:$B,2,FALSE),VLOOKUP($A362,'NonXtal_SegEnds_Prot#'!A:AL,10,FALSE),1)</f>
        <v>V</v>
      </c>
      <c r="S362" s="102" t="str">
        <f>MID(VLOOKUP($A362,Seqs!$A:$B,2,FALSE),VLOOKUP($A362,'NonXtal_SegEnds_Prot#'!A:AL,10,FALSE)+6,1)</f>
        <v>L</v>
      </c>
      <c r="T362" s="102" t="str">
        <f>MID(VLOOKUP($A362,Seqs!$A:$B,2,FALSE),VLOOKUP($A362,'NonXtal_SegEnds_Prot#'!A:AL,10,FALSE)+7,1)</f>
        <v>T</v>
      </c>
      <c r="U362" s="102" t="str">
        <f>MID(VLOOKUP($A362,Seqs!$A:$B,2,FALSE),VLOOKUP($A362,'NonXtal_SegEnds_Prot#'!A:AL,10,FALSE)+8,1)</f>
        <v>F</v>
      </c>
      <c r="V362" s="102" t="str">
        <f>MID(VLOOKUP($A362,Seqs!$A:$B,2,FALSE),VLOOKUP($A362,'NonXtal_SegEnds_Prot#'!A:AL,10,FALSE)+9,1)</f>
        <v>A</v>
      </c>
      <c r="W362" s="71" t="str">
        <f>MID(VLOOKUP($A362,Seqs!$A:$B,2,FALSE),VLOOKUP($A362,'NonXtal_SegEnds_Prot#'!$A:$AL,22,FALSE)+6,1)</f>
        <v>I</v>
      </c>
      <c r="X362" s="102" t="str">
        <f>MID(VLOOKUP($A362,Seqs!$A:$B,2,FALSE),VLOOKUP($A362,'NonXtal_SegEnds_Prot#'!$A:$AL,22,FALSE)+7,1)</f>
        <v>A</v>
      </c>
      <c r="Y362" s="102" t="str">
        <f>MID(VLOOKUP($A362,Seqs!$A:$B,2,FALSE),VLOOKUP($A362,'NonXtal_SegEnds_Prot#'!$A:$AL,22,FALSE)+8,1)</f>
        <v>I</v>
      </c>
      <c r="Z362" s="102" t="str">
        <f>MID(VLOOKUP($A362,Seqs!$A:$B,2,FALSE),VLOOKUP($A362,'NonXtal_SegEnds_Prot#'!$A:$AL,22,FALSE)+9,1)</f>
        <v>E</v>
      </c>
      <c r="AA362" s="102" t="str">
        <f>MID(VLOOKUP($A362,Seqs!$A:$B,2,FALSE),VLOOKUP($A362,'NonXtal_SegEnds_Prot#'!$A:$AL,22,FALSE)+10,1)</f>
        <v>Y</v>
      </c>
      <c r="AB362" s="71" t="str">
        <f>MID(VLOOKUP($A362,Seqs!$A:$B,2,FALSE),VLOOKUP($A362,'NonXtal_SegEnds_Prot#'!$A:$AL,28,FALSE)-4,1)</f>
        <v>Y</v>
      </c>
      <c r="AC362" s="102" t="str">
        <f>MID(VLOOKUP($A362,Seqs!$A:$B,2,FALSE),VLOOKUP($A362,'NonXtal_SegEnds_Prot#'!$A:$AL,28,FALSE),1)</f>
        <v>L</v>
      </c>
    </row>
    <row r="363" spans="1:29" s="2" customFormat="1" x14ac:dyDescent="0.2">
      <c r="A363" s="2" t="s">
        <v>316</v>
      </c>
      <c r="B363" s="2" t="str">
        <f>LOWER(VLOOKUP(A363,Xtal_Templ!A:B,2,FALSE))</f>
        <v>grm1_human</v>
      </c>
      <c r="C363" s="2" t="str">
        <f>VLOOKUP(A363,Classification!A:D,2,FALSE)</f>
        <v>C</v>
      </c>
      <c r="Q363" s="2" t="s">
        <v>1556</v>
      </c>
      <c r="R363" s="71" t="str">
        <f>MID(VLOOKUP($A363,Seqs!$A:$B,2,FALSE),VLOOKUP($A363,'NonXtal_SegEnds_Prot#'!A:AL,10,FALSE),1)</f>
        <v>L</v>
      </c>
      <c r="S363" s="102" t="str">
        <f>MID(VLOOKUP($A363,Seqs!$A:$B,2,FALSE),VLOOKUP($A363,'NonXtal_SegEnds_Prot#'!A:AL,10,FALSE)+6,1)</f>
        <v>S</v>
      </c>
      <c r="T363" s="102" t="str">
        <f>MID(VLOOKUP($A363,Seqs!$A:$B,2,FALSE),VLOOKUP($A363,'NonXtal_SegEnds_Prot#'!A:AL,10,FALSE)+7,1)</f>
        <v>L</v>
      </c>
      <c r="U363" s="102" t="str">
        <f>MID(VLOOKUP($A363,Seqs!$A:$B,2,FALSE),VLOOKUP($A363,'NonXtal_SegEnds_Prot#'!A:AL,10,FALSE)+8,1)</f>
        <v>Y</v>
      </c>
      <c r="V363" s="102" t="str">
        <f>MID(VLOOKUP($A363,Seqs!$A:$B,2,FALSE),VLOOKUP($A363,'NonXtal_SegEnds_Prot#'!A:AL,10,FALSE)+9,1)</f>
        <v>G</v>
      </c>
      <c r="W363" s="71" t="str">
        <f>MID(VLOOKUP($A363,Seqs!$A:$B,2,FALSE),VLOOKUP($A363,'NonXtal_SegEnds_Prot#'!$A:$AL,22,FALSE)+6,1)</f>
        <v>I</v>
      </c>
      <c r="X363" s="102" t="str">
        <f>MID(VLOOKUP($A363,Seqs!$A:$B,2,FALSE),VLOOKUP($A363,'NonXtal_SegEnds_Prot#'!$A:$AL,22,FALSE)+7,1)</f>
        <v>C</v>
      </c>
      <c r="Y363" s="102" t="str">
        <f>MID(VLOOKUP($A363,Seqs!$A:$B,2,FALSE),VLOOKUP($A363,'NonXtal_SegEnds_Prot#'!$A:$AL,22,FALSE)+8,1)</f>
        <v>L</v>
      </c>
      <c r="Z363" s="102" t="str">
        <f>MID(VLOOKUP($A363,Seqs!$A:$B,2,FALSE),VLOOKUP($A363,'NonXtal_SegEnds_Prot#'!$A:$AL,22,FALSE)+9,1)</f>
        <v>T</v>
      </c>
      <c r="AA363" s="102" t="str">
        <f>MID(VLOOKUP($A363,Seqs!$A:$B,2,FALSE),VLOOKUP($A363,'NonXtal_SegEnds_Prot#'!$A:$AL,22,FALSE)+10,1)</f>
        <v>W</v>
      </c>
      <c r="AB363" s="71" t="str">
        <f>MID(VLOOKUP($A363,Seqs!$A:$B,2,FALSE),VLOOKUP($A363,'NonXtal_SegEnds_Prot#'!$A:$AL,28,FALSE)-4,1)</f>
        <v>Y</v>
      </c>
      <c r="AC363" s="102" t="str">
        <f>MID(VLOOKUP($A363,Seqs!$A:$B,2,FALSE),VLOOKUP($A363,'NonXtal_SegEnds_Prot#'!$A:$AL,28,FALSE),1)</f>
        <v>L</v>
      </c>
    </row>
    <row r="364" spans="1:29" s="2" customFormat="1" ht="17" customHeight="1" x14ac:dyDescent="0.2">
      <c r="A364" s="2" t="s">
        <v>317</v>
      </c>
      <c r="B364" s="2" t="str">
        <f>LOWER(VLOOKUP(A364,Xtal_Templ!A:B,2,FALSE))</f>
        <v>grm1_human</v>
      </c>
      <c r="C364" s="2" t="str">
        <f>VLOOKUP(A364,Classification!A:D,2,FALSE)</f>
        <v>C</v>
      </c>
      <c r="Q364" s="2" t="s">
        <v>1556</v>
      </c>
      <c r="R364" s="71" t="str">
        <f>MID(VLOOKUP($A364,Seqs!$A:$B,2,FALSE),VLOOKUP($A364,'NonXtal_SegEnds_Prot#'!A:AL,10,FALSE),1)</f>
        <v>L</v>
      </c>
      <c r="S364" s="102" t="str">
        <f>MID(VLOOKUP($A364,Seqs!$A:$B,2,FALSE),VLOOKUP($A364,'NonXtal_SegEnds_Prot#'!A:AL,10,FALSE)+6,1)</f>
        <v>V</v>
      </c>
      <c r="T364" s="102" t="str">
        <f>MID(VLOOKUP($A364,Seqs!$A:$B,2,FALSE),VLOOKUP($A364,'NonXtal_SegEnds_Prot#'!A:AL,10,FALSE)+7,1)</f>
        <v>V</v>
      </c>
      <c r="U364" s="102" t="str">
        <f>MID(VLOOKUP($A364,Seqs!$A:$B,2,FALSE),VLOOKUP($A364,'NonXtal_SegEnds_Prot#'!A:AL,10,FALSE)+8,1)</f>
        <v>P</v>
      </c>
      <c r="V364" s="102" t="str">
        <f>MID(VLOOKUP($A364,Seqs!$A:$B,2,FALSE),VLOOKUP($A364,'NonXtal_SegEnds_Prot#'!A:AL,10,FALSE)+9,1)</f>
        <v>V</v>
      </c>
      <c r="W364" s="71" t="str">
        <f>MID(VLOOKUP($A364,Seqs!$A:$B,2,FALSE),VLOOKUP($A364,'NonXtal_SegEnds_Prot#'!$A:$AL,22,FALSE)+6,1)</f>
        <v>I</v>
      </c>
      <c r="X364" s="102" t="str">
        <f>MID(VLOOKUP($A364,Seqs!$A:$B,2,FALSE),VLOOKUP($A364,'NonXtal_SegEnds_Prot#'!$A:$AL,22,FALSE)+7,1)</f>
        <v>V</v>
      </c>
      <c r="Y364" s="102" t="str">
        <f>MID(VLOOKUP($A364,Seqs!$A:$B,2,FALSE),VLOOKUP($A364,'NonXtal_SegEnds_Prot#'!$A:$AL,22,FALSE)+8,1)</f>
        <v>V</v>
      </c>
      <c r="Z364" s="102" t="str">
        <f>MID(VLOOKUP($A364,Seqs!$A:$B,2,FALSE),VLOOKUP($A364,'NonXtal_SegEnds_Prot#'!$A:$AL,22,FALSE)+9,1)</f>
        <v>I</v>
      </c>
      <c r="AA364" s="102" t="str">
        <f>MID(VLOOKUP($A364,Seqs!$A:$B,2,FALSE),VLOOKUP($A364,'NonXtal_SegEnds_Prot#'!$A:$AL,22,FALSE)+10,1)</f>
        <v>G</v>
      </c>
      <c r="AB364" s="71" t="str">
        <f>MID(VLOOKUP($A364,Seqs!$A:$B,2,FALSE),VLOOKUP($A364,'NonXtal_SegEnds_Prot#'!$A:$AL,28,FALSE)-4,1)</f>
        <v>L</v>
      </c>
      <c r="AC364" s="102" t="str">
        <f>MID(VLOOKUP($A364,Seqs!$A:$B,2,FALSE),VLOOKUP($A364,'NonXtal_SegEnds_Prot#'!$A:$AL,28,FALSE),1)</f>
        <v>L</v>
      </c>
    </row>
    <row r="365" spans="1:29" s="2" customFormat="1" x14ac:dyDescent="0.2">
      <c r="A365" s="2" t="s">
        <v>318</v>
      </c>
      <c r="B365" s="2" t="str">
        <f>LOWER(VLOOKUP(A365,Xtal_Templ!A:B,2,FALSE))</f>
        <v>grm1_human</v>
      </c>
      <c r="C365" s="2" t="str">
        <f>VLOOKUP(A365,Classification!A:D,2,FALSE)</f>
        <v>C</v>
      </c>
      <c r="Q365" s="2" t="s">
        <v>1556</v>
      </c>
      <c r="R365" s="71" t="str">
        <f>MID(VLOOKUP($A365,Seqs!$A:$B,2,FALSE),VLOOKUP($A365,'NonXtal_SegEnds_Prot#'!A:AL,10,FALSE),1)</f>
        <v>L</v>
      </c>
      <c r="S365" s="102" t="str">
        <f>MID(VLOOKUP($A365,Seqs!$A:$B,2,FALSE),VLOOKUP($A365,'NonXtal_SegEnds_Prot#'!A:AL,10,FALSE)+6,1)</f>
        <v>S</v>
      </c>
      <c r="T365" s="102" t="str">
        <f>MID(VLOOKUP($A365,Seqs!$A:$B,2,FALSE),VLOOKUP($A365,'NonXtal_SegEnds_Prot#'!A:AL,10,FALSE)+7,1)</f>
        <v>V</v>
      </c>
      <c r="U365" s="102" t="str">
        <f>MID(VLOOKUP($A365,Seqs!$A:$B,2,FALSE),VLOOKUP($A365,'NonXtal_SegEnds_Prot#'!A:AL,10,FALSE)+8,1)</f>
        <v>L</v>
      </c>
      <c r="V365" s="102" t="str">
        <f>MID(VLOOKUP($A365,Seqs!$A:$B,2,FALSE),VLOOKUP($A365,'NonXtal_SegEnds_Prot#'!A:AL,10,FALSE)+9,1)</f>
        <v>L</v>
      </c>
      <c r="W365" s="71" t="str">
        <f>MID(VLOOKUP($A365,Seqs!$A:$B,2,FALSE),VLOOKUP($A365,'NonXtal_SegEnds_Prot#'!$A:$AL,22,FALSE)+6,1)</f>
        <v>L</v>
      </c>
      <c r="X365" s="102" t="str">
        <f>MID(VLOOKUP($A365,Seqs!$A:$B,2,FALSE),VLOOKUP($A365,'NonXtal_SegEnds_Prot#'!$A:$AL,22,FALSE)+7,1)</f>
        <v>C</v>
      </c>
      <c r="Y365" s="102" t="str">
        <f>MID(VLOOKUP($A365,Seqs!$A:$B,2,FALSE),VLOOKUP($A365,'NonXtal_SegEnds_Prot#'!$A:$AL,22,FALSE)+8,1)</f>
        <v>T</v>
      </c>
      <c r="Z365" s="102" t="str">
        <f>MID(VLOOKUP($A365,Seqs!$A:$B,2,FALSE),VLOOKUP($A365,'NonXtal_SegEnds_Prot#'!$A:$AL,22,FALSE)+9,1)</f>
        <v>W</v>
      </c>
      <c r="AA365" s="102" t="str">
        <f>MID(VLOOKUP($A365,Seqs!$A:$B,2,FALSE),VLOOKUP($A365,'NonXtal_SegEnds_Prot#'!$A:$AL,22,FALSE)+10,1)</f>
        <v>Y</v>
      </c>
      <c r="AB365" s="71" t="str">
        <f>MID(VLOOKUP($A365,Seqs!$A:$B,2,FALSE),VLOOKUP($A365,'NonXtal_SegEnds_Prot#'!$A:$AL,28,FALSE)-4,1)</f>
        <v>T</v>
      </c>
      <c r="AC365" s="102" t="str">
        <f>MID(VLOOKUP($A365,Seqs!$A:$B,2,FALSE),VLOOKUP($A365,'NonXtal_SegEnds_Prot#'!$A:$AL,28,FALSE),1)</f>
        <v>L</v>
      </c>
    </row>
    <row r="366" spans="1:29" s="2" customFormat="1" x14ac:dyDescent="0.2">
      <c r="A366" s="2" t="s">
        <v>641</v>
      </c>
      <c r="B366" s="2" t="str">
        <f>LOWER(VLOOKUP(A366,Xtal_Templ!A:B,2,FALSE))</f>
        <v>smo_human</v>
      </c>
      <c r="C366" s="2" t="str">
        <f>VLOOKUP(A366,Classification!A:D,2,FALSE)</f>
        <v>F</v>
      </c>
      <c r="M366" s="2" t="s">
        <v>1555</v>
      </c>
      <c r="R366" s="71" t="str">
        <f>MID(VLOOKUP($A366,Seqs!$A:$B,2,FALSE),VLOOKUP($A366,'NonXtal_SegEnds_Prot#'!A:AL,10,FALSE),1)</f>
        <v>G</v>
      </c>
      <c r="S366" s="102" t="str">
        <f>MID(VLOOKUP($A366,Seqs!$A:$B,2,FALSE),VLOOKUP($A366,'NonXtal_SegEnds_Prot#'!A:AL,10,FALSE)+6,1)</f>
        <v>A</v>
      </c>
      <c r="T366" s="102" t="str">
        <f>MID(VLOOKUP($A366,Seqs!$A:$B,2,FALSE),VLOOKUP($A366,'NonXtal_SegEnds_Prot#'!A:AL,10,FALSE)+7,1)</f>
        <v>V</v>
      </c>
      <c r="U366" s="102" t="str">
        <f>MID(VLOOKUP($A366,Seqs!$A:$B,2,FALSE),VLOOKUP($A366,'NonXtal_SegEnds_Prot#'!A:AL,10,FALSE)+8,1)</f>
        <v>A</v>
      </c>
      <c r="V366" s="102" t="str">
        <f>MID(VLOOKUP($A366,Seqs!$A:$B,2,FALSE),VLOOKUP($A366,'NonXtal_SegEnds_Prot#'!A:AL,10,FALSE)+9,1)</f>
        <v>Y</v>
      </c>
      <c r="W366" s="71" t="str">
        <f>MID(VLOOKUP($A366,Seqs!$A:$B,2,FALSE),VLOOKUP($A366,'NonXtal_SegEnds_Prot#'!$A:$AL,22,FALSE)+6,1)</f>
        <v>K</v>
      </c>
      <c r="X366" s="102" t="str">
        <f>MID(VLOOKUP($A366,Seqs!$A:$B,2,FALSE),VLOOKUP($A366,'NonXtal_SegEnds_Prot#'!$A:$AL,22,FALSE)+7,1)</f>
        <v>T</v>
      </c>
      <c r="Y366" s="102" t="str">
        <f>MID(VLOOKUP($A366,Seqs!$A:$B,2,FALSE),VLOOKUP($A366,'NonXtal_SegEnds_Prot#'!$A:$AL,22,FALSE)+8,1)</f>
        <v>I</v>
      </c>
      <c r="Z366" s="102" t="str">
        <f>MID(VLOOKUP($A366,Seqs!$A:$B,2,FALSE),VLOOKUP($A366,'NonXtal_SegEnds_Prot#'!$A:$AL,22,FALSE)+9,1)</f>
        <v>T</v>
      </c>
      <c r="AA366" s="102" t="str">
        <f>MID(VLOOKUP($A366,Seqs!$A:$B,2,FALSE),VLOOKUP($A366,'NonXtal_SegEnds_Prot#'!$A:$AL,22,FALSE)+10,1)</f>
        <v>I</v>
      </c>
      <c r="AB366" s="71" t="str">
        <f>MID(VLOOKUP($A366,Seqs!$A:$B,2,FALSE),VLOOKUP($A366,'NonXtal_SegEnds_Prot#'!$A:$AL,28,FALSE)-4,1)</f>
        <v>P</v>
      </c>
      <c r="AC366" s="102" t="str">
        <f>MID(VLOOKUP($A366,Seqs!$A:$B,2,FALSE),VLOOKUP($A366,'NonXtal_SegEnds_Prot#'!$A:$AL,28,FALSE),1)</f>
        <v>Y</v>
      </c>
    </row>
    <row r="367" spans="1:29" s="2" customFormat="1" x14ac:dyDescent="0.2">
      <c r="A367" s="2" t="s">
        <v>642</v>
      </c>
      <c r="B367" s="2" t="str">
        <f>LOWER(VLOOKUP(A367,Xtal_Templ!A:B,2,FALSE))</f>
        <v>smo_human</v>
      </c>
      <c r="C367" s="2" t="str">
        <f>VLOOKUP(A367,Classification!A:D,2,FALSE)</f>
        <v>F</v>
      </c>
      <c r="M367" s="2" t="s">
        <v>1555</v>
      </c>
      <c r="R367" s="71" t="str">
        <f>MID(VLOOKUP($A367,Seqs!$A:$B,2,FALSE),VLOOKUP($A367,'NonXtal_SegEnds_Prot#'!A:AL,10,FALSE),1)</f>
        <v>M</v>
      </c>
      <c r="S367" s="102" t="str">
        <f>MID(VLOOKUP($A367,Seqs!$A:$B,2,FALSE),VLOOKUP($A367,'NonXtal_SegEnds_Prot#'!A:AL,10,FALSE)+6,1)</f>
        <v>S</v>
      </c>
      <c r="T367" s="102" t="str">
        <f>MID(VLOOKUP($A367,Seqs!$A:$B,2,FALSE),VLOOKUP($A367,'NonXtal_SegEnds_Prot#'!A:AL,10,FALSE)+7,1)</f>
        <v>V</v>
      </c>
      <c r="U367" s="102" t="str">
        <f>MID(VLOOKUP($A367,Seqs!$A:$B,2,FALSE),VLOOKUP($A367,'NonXtal_SegEnds_Prot#'!A:AL,10,FALSE)+8,1)</f>
        <v>G</v>
      </c>
      <c r="V367" s="102" t="str">
        <f>MID(VLOOKUP($A367,Seqs!$A:$B,2,FALSE),VLOOKUP($A367,'NonXtal_SegEnds_Prot#'!A:AL,10,FALSE)+9,1)</f>
        <v>Y</v>
      </c>
      <c r="W367" s="71" t="str">
        <f>MID(VLOOKUP($A367,Seqs!$A:$B,2,FALSE),VLOOKUP($A367,'NonXtal_SegEnds_Prot#'!$A:$AL,22,FALSE)+6,1)</f>
        <v>K</v>
      </c>
      <c r="X367" s="102" t="str">
        <f>MID(VLOOKUP($A367,Seqs!$A:$B,2,FALSE),VLOOKUP($A367,'NonXtal_SegEnds_Prot#'!$A:$AL,22,FALSE)+7,1)</f>
        <v>T</v>
      </c>
      <c r="Y367" s="102" t="str">
        <f>MID(VLOOKUP($A367,Seqs!$A:$B,2,FALSE),VLOOKUP($A367,'NonXtal_SegEnds_Prot#'!$A:$AL,22,FALSE)+8,1)</f>
        <v>I</v>
      </c>
      <c r="Z367" s="102" t="str">
        <f>MID(VLOOKUP($A367,Seqs!$A:$B,2,FALSE),VLOOKUP($A367,'NonXtal_SegEnds_Prot#'!$A:$AL,22,FALSE)+9,1)</f>
        <v>L</v>
      </c>
      <c r="AA367" s="102" t="str">
        <f>MID(VLOOKUP($A367,Seqs!$A:$B,2,FALSE),VLOOKUP($A367,'NonXtal_SegEnds_Prot#'!$A:$AL,22,FALSE)+10,1)</f>
        <v>I</v>
      </c>
      <c r="AB367" s="71" t="str">
        <f>MID(VLOOKUP($A367,Seqs!$A:$B,2,FALSE),VLOOKUP($A367,'NonXtal_SegEnds_Prot#'!$A:$AL,28,FALSE)-4,1)</f>
        <v>P</v>
      </c>
      <c r="AC367" s="102" t="str">
        <f>MID(VLOOKUP($A367,Seqs!$A:$B,2,FALSE),VLOOKUP($A367,'NonXtal_SegEnds_Prot#'!$A:$AL,28,FALSE),1)</f>
        <v>Y</v>
      </c>
    </row>
    <row r="368" spans="1:29" s="2" customFormat="1" x14ac:dyDescent="0.2">
      <c r="A368" s="2" t="s">
        <v>643</v>
      </c>
      <c r="B368" s="2" t="str">
        <f>LOWER(VLOOKUP(A368,Xtal_Templ!A:B,2,FALSE))</f>
        <v>smo_human</v>
      </c>
      <c r="C368" s="2" t="str">
        <f>VLOOKUP(A368,Classification!A:D,2,FALSE)</f>
        <v>F</v>
      </c>
      <c r="M368" s="2" t="s">
        <v>1555</v>
      </c>
      <c r="R368" s="71" t="str">
        <f>MID(VLOOKUP($A368,Seqs!$A:$B,2,FALSE),VLOOKUP($A368,'NonXtal_SegEnds_Prot#'!A:AL,10,FALSE),1)</f>
        <v>G</v>
      </c>
      <c r="S368" s="102" t="str">
        <f>MID(VLOOKUP($A368,Seqs!$A:$B,2,FALSE),VLOOKUP($A368,'NonXtal_SegEnds_Prot#'!A:AL,10,FALSE)+6,1)</f>
        <v>S</v>
      </c>
      <c r="T368" s="102" t="str">
        <f>MID(VLOOKUP($A368,Seqs!$A:$B,2,FALSE),VLOOKUP($A368,'NonXtal_SegEnds_Prot#'!A:AL,10,FALSE)+7,1)</f>
        <v>V</v>
      </c>
      <c r="U368" s="102" t="str">
        <f>MID(VLOOKUP($A368,Seqs!$A:$B,2,FALSE),VLOOKUP($A368,'NonXtal_SegEnds_Prot#'!A:AL,10,FALSE)+8,1)</f>
        <v>A</v>
      </c>
      <c r="V368" s="102" t="str">
        <f>MID(VLOOKUP($A368,Seqs!$A:$B,2,FALSE),VLOOKUP($A368,'NonXtal_SegEnds_Prot#'!A:AL,10,FALSE)+9,1)</f>
        <v>Y</v>
      </c>
      <c r="W368" s="71" t="str">
        <f>MID(VLOOKUP($A368,Seqs!$A:$B,2,FALSE),VLOOKUP($A368,'NonXtal_SegEnds_Prot#'!$A:$AL,22,FALSE)+6,1)</f>
        <v>K</v>
      </c>
      <c r="X368" s="102" t="str">
        <f>MID(VLOOKUP($A368,Seqs!$A:$B,2,FALSE),VLOOKUP($A368,'NonXtal_SegEnds_Prot#'!$A:$AL,22,FALSE)+7,1)</f>
        <v>T</v>
      </c>
      <c r="Y368" s="102" t="str">
        <f>MID(VLOOKUP($A368,Seqs!$A:$B,2,FALSE),VLOOKUP($A368,'NonXtal_SegEnds_Prot#'!$A:$AL,22,FALSE)+8,1)</f>
        <v>I</v>
      </c>
      <c r="Z368" s="102" t="str">
        <f>MID(VLOOKUP($A368,Seqs!$A:$B,2,FALSE),VLOOKUP($A368,'NonXtal_SegEnds_Prot#'!$A:$AL,22,FALSE)+9,1)</f>
        <v>T</v>
      </c>
      <c r="AA368" s="102" t="str">
        <f>MID(VLOOKUP($A368,Seqs!$A:$B,2,FALSE),VLOOKUP($A368,'NonXtal_SegEnds_Prot#'!$A:$AL,22,FALSE)+10,1)</f>
        <v>I</v>
      </c>
      <c r="AB368" s="71" t="str">
        <f>MID(VLOOKUP($A368,Seqs!$A:$B,2,FALSE),VLOOKUP($A368,'NonXtal_SegEnds_Prot#'!$A:$AL,28,FALSE)-4,1)</f>
        <v>P</v>
      </c>
      <c r="AC368" s="102" t="str">
        <f>MID(VLOOKUP($A368,Seqs!$A:$B,2,FALSE),VLOOKUP($A368,'NonXtal_SegEnds_Prot#'!$A:$AL,28,FALSE),1)</f>
        <v>Y</v>
      </c>
    </row>
    <row r="369" spans="1:29" s="2" customFormat="1" x14ac:dyDescent="0.2">
      <c r="A369" s="2" t="s">
        <v>644</v>
      </c>
      <c r="B369" s="2" t="str">
        <f>LOWER(VLOOKUP(A369,Xtal_Templ!A:B,2,FALSE))</f>
        <v>smo_human</v>
      </c>
      <c r="C369" s="2" t="str">
        <f>VLOOKUP(A369,Classification!A:D,2,FALSE)</f>
        <v>F</v>
      </c>
      <c r="M369" s="2" t="s">
        <v>1555</v>
      </c>
      <c r="R369" s="71" t="str">
        <f>MID(VLOOKUP($A369,Seqs!$A:$B,2,FALSE),VLOOKUP($A369,'NonXtal_SegEnds_Prot#'!A:AL,10,FALSE),1)</f>
        <v>V</v>
      </c>
      <c r="S369" s="102" t="str">
        <f>MID(VLOOKUP($A369,Seqs!$A:$B,2,FALSE),VLOOKUP($A369,'NonXtal_SegEnds_Prot#'!A:AL,10,FALSE)+6,1)</f>
        <v>S</v>
      </c>
      <c r="T369" s="102" t="str">
        <f>MID(VLOOKUP($A369,Seqs!$A:$B,2,FALSE),VLOOKUP($A369,'NonXtal_SegEnds_Prot#'!A:AL,10,FALSE)+7,1)</f>
        <v>L</v>
      </c>
      <c r="U369" s="102" t="str">
        <f>MID(VLOOKUP($A369,Seqs!$A:$B,2,FALSE),VLOOKUP($A369,'NonXtal_SegEnds_Prot#'!A:AL,10,FALSE)+8,1)</f>
        <v>I</v>
      </c>
      <c r="V369" s="102" t="str">
        <f>MID(VLOOKUP($A369,Seqs!$A:$B,2,FALSE),VLOOKUP($A369,'NonXtal_SegEnds_Prot#'!A:AL,10,FALSE)+9,1)</f>
        <v>F</v>
      </c>
      <c r="W369" s="71" t="str">
        <f>MID(VLOOKUP($A369,Seqs!$A:$B,2,FALSE),VLOOKUP($A369,'NonXtal_SegEnds_Prot#'!$A:$AL,22,FALSE)+6,1)</f>
        <v>L</v>
      </c>
      <c r="X369" s="102" t="str">
        <f>MID(VLOOKUP($A369,Seqs!$A:$B,2,FALSE),VLOOKUP($A369,'NonXtal_SegEnds_Prot#'!$A:$AL,22,FALSE)+7,1)</f>
        <v>T</v>
      </c>
      <c r="Y369" s="102" t="str">
        <f>MID(VLOOKUP($A369,Seqs!$A:$B,2,FALSE),VLOOKUP($A369,'NonXtal_SegEnds_Prot#'!$A:$AL,22,FALSE)+8,1)</f>
        <v>I</v>
      </c>
      <c r="Z369" s="102" t="str">
        <f>MID(VLOOKUP($A369,Seqs!$A:$B,2,FALSE),VLOOKUP($A369,'NonXtal_SegEnds_Prot#'!$A:$AL,22,FALSE)+9,1)</f>
        <v>I</v>
      </c>
      <c r="AA369" s="102" t="str">
        <f>MID(VLOOKUP($A369,Seqs!$A:$B,2,FALSE),VLOOKUP($A369,'NonXtal_SegEnds_Prot#'!$A:$AL,22,FALSE)+10,1)</f>
        <v>L</v>
      </c>
      <c r="AB369" s="71" t="str">
        <f>MID(VLOOKUP($A369,Seqs!$A:$B,2,FALSE),VLOOKUP($A369,'NonXtal_SegEnds_Prot#'!$A:$AL,28,FALSE)-4,1)</f>
        <v>P</v>
      </c>
      <c r="AC369" s="102" t="str">
        <f>MID(VLOOKUP($A369,Seqs!$A:$B,2,FALSE),VLOOKUP($A369,'NonXtal_SegEnds_Prot#'!$A:$AL,28,FALSE),1)</f>
        <v>Y</v>
      </c>
    </row>
    <row r="370" spans="1:29" s="2" customFormat="1" x14ac:dyDescent="0.2">
      <c r="A370" s="2" t="s">
        <v>645</v>
      </c>
      <c r="B370" s="2" t="str">
        <f>LOWER(VLOOKUP(A370,Xtal_Templ!A:B,2,FALSE))</f>
        <v>smo_human</v>
      </c>
      <c r="C370" s="2" t="str">
        <f>VLOOKUP(A370,Classification!A:D,2,FALSE)</f>
        <v>F</v>
      </c>
      <c r="M370" s="2" t="s">
        <v>1555</v>
      </c>
      <c r="R370" s="71" t="str">
        <f>MID(VLOOKUP($A370,Seqs!$A:$B,2,FALSE),VLOOKUP($A370,'NonXtal_SegEnds_Prot#'!A:AL,10,FALSE),1)</f>
        <v>M</v>
      </c>
      <c r="S370" s="102" t="str">
        <f>MID(VLOOKUP($A370,Seqs!$A:$B,2,FALSE),VLOOKUP($A370,'NonXtal_SegEnds_Prot#'!A:AL,10,FALSE)+6,1)</f>
        <v>S</v>
      </c>
      <c r="T370" s="102" t="str">
        <f>MID(VLOOKUP($A370,Seqs!$A:$B,2,FALSE),VLOOKUP($A370,'NonXtal_SegEnds_Prot#'!A:AL,10,FALSE)+7,1)</f>
        <v>I</v>
      </c>
      <c r="U370" s="102" t="str">
        <f>MID(VLOOKUP($A370,Seqs!$A:$B,2,FALSE),VLOOKUP($A370,'NonXtal_SegEnds_Prot#'!A:AL,10,FALSE)+8,1)</f>
        <v>A</v>
      </c>
      <c r="V370" s="102" t="str">
        <f>MID(VLOOKUP($A370,Seqs!$A:$B,2,FALSE),VLOOKUP($A370,'NonXtal_SegEnds_Prot#'!A:AL,10,FALSE)+9,1)</f>
        <v>Y</v>
      </c>
      <c r="W370" s="71" t="str">
        <f>MID(VLOOKUP($A370,Seqs!$A:$B,2,FALSE),VLOOKUP($A370,'NonXtal_SegEnds_Prot#'!$A:$AL,22,FALSE)+6,1)</f>
        <v>K</v>
      </c>
      <c r="X370" s="102" t="str">
        <f>MID(VLOOKUP($A370,Seqs!$A:$B,2,FALSE),VLOOKUP($A370,'NonXtal_SegEnds_Prot#'!$A:$AL,22,FALSE)+7,1)</f>
        <v>T</v>
      </c>
      <c r="Y370" s="102" t="str">
        <f>MID(VLOOKUP($A370,Seqs!$A:$B,2,FALSE),VLOOKUP($A370,'NonXtal_SegEnds_Prot#'!$A:$AL,22,FALSE)+8,1)</f>
        <v>I</v>
      </c>
      <c r="Z370" s="102" t="str">
        <f>MID(VLOOKUP($A370,Seqs!$A:$B,2,FALSE),VLOOKUP($A370,'NonXtal_SegEnds_Prot#'!$A:$AL,22,FALSE)+9,1)</f>
        <v>V</v>
      </c>
      <c r="AA370" s="102" t="str">
        <f>MID(VLOOKUP($A370,Seqs!$A:$B,2,FALSE),VLOOKUP($A370,'NonXtal_SegEnds_Prot#'!$A:$AL,22,FALSE)+10,1)</f>
        <v>I</v>
      </c>
      <c r="AB370" s="71" t="str">
        <f>MID(VLOOKUP($A370,Seqs!$A:$B,2,FALSE),VLOOKUP($A370,'NonXtal_SegEnds_Prot#'!$A:$AL,28,FALSE)-4,1)</f>
        <v>P</v>
      </c>
      <c r="AC370" s="102" t="str">
        <f>MID(VLOOKUP($A370,Seqs!$A:$B,2,FALSE),VLOOKUP($A370,'NonXtal_SegEnds_Prot#'!$A:$AL,28,FALSE),1)</f>
        <v>Y</v>
      </c>
    </row>
    <row r="371" spans="1:29" s="2" customFormat="1" x14ac:dyDescent="0.2">
      <c r="A371" s="2" t="s">
        <v>646</v>
      </c>
      <c r="B371" s="2" t="str">
        <f>LOWER(VLOOKUP(A371,Xtal_Templ!A:B,2,FALSE))</f>
        <v>smo_human</v>
      </c>
      <c r="C371" s="2" t="str">
        <f>VLOOKUP(A371,Classification!A:D,2,FALSE)</f>
        <v>F</v>
      </c>
      <c r="M371" s="2" t="s">
        <v>1555</v>
      </c>
      <c r="R371" s="71" t="str">
        <f>MID(VLOOKUP($A371,Seqs!$A:$B,2,FALSE),VLOOKUP($A371,'NonXtal_SegEnds_Prot#'!A:AL,10,FALSE),1)</f>
        <v>A</v>
      </c>
      <c r="S371" s="102" t="str">
        <f>MID(VLOOKUP($A371,Seqs!$A:$B,2,FALSE),VLOOKUP($A371,'NonXtal_SegEnds_Prot#'!A:AL,10,FALSE)+6,1)</f>
        <v>S</v>
      </c>
      <c r="T371" s="102" t="str">
        <f>MID(VLOOKUP($A371,Seqs!$A:$B,2,FALSE),VLOOKUP($A371,'NonXtal_SegEnds_Prot#'!A:AL,10,FALSE)+7,1)</f>
        <v>L</v>
      </c>
      <c r="U371" s="102" t="str">
        <f>MID(VLOOKUP($A371,Seqs!$A:$B,2,FALSE),VLOOKUP($A371,'NonXtal_SegEnds_Prot#'!A:AL,10,FALSE)+8,1)</f>
        <v>G</v>
      </c>
      <c r="V371" s="102" t="str">
        <f>MID(VLOOKUP($A371,Seqs!$A:$B,2,FALSE),VLOOKUP($A371,'NonXtal_SegEnds_Prot#'!A:AL,10,FALSE)+9,1)</f>
        <v>F</v>
      </c>
      <c r="W371" s="71" t="str">
        <f>MID(VLOOKUP($A371,Seqs!$A:$B,2,FALSE),VLOOKUP($A371,'NonXtal_SegEnds_Prot#'!$A:$AL,22,FALSE)+6,1)</f>
        <v>K</v>
      </c>
      <c r="X371" s="102" t="str">
        <f>MID(VLOOKUP($A371,Seqs!$A:$B,2,FALSE),VLOOKUP($A371,'NonXtal_SegEnds_Prot#'!$A:$AL,22,FALSE)+7,1)</f>
        <v>S</v>
      </c>
      <c r="Y371" s="102" t="str">
        <f>MID(VLOOKUP($A371,Seqs!$A:$B,2,FALSE),VLOOKUP($A371,'NonXtal_SegEnds_Prot#'!$A:$AL,22,FALSE)+8,1)</f>
        <v>I</v>
      </c>
      <c r="Z371" s="102" t="str">
        <f>MID(VLOOKUP($A371,Seqs!$A:$B,2,FALSE),VLOOKUP($A371,'NonXtal_SegEnds_Prot#'!$A:$AL,22,FALSE)+9,1)</f>
        <v>T</v>
      </c>
      <c r="AA371" s="102" t="str">
        <f>MID(VLOOKUP($A371,Seqs!$A:$B,2,FALSE),VLOOKUP($A371,'NonXtal_SegEnds_Prot#'!$A:$AL,22,FALSE)+10,1)</f>
        <v>A</v>
      </c>
      <c r="AB371" s="71" t="str">
        <f>MID(VLOOKUP($A371,Seqs!$A:$B,2,FALSE),VLOOKUP($A371,'NonXtal_SegEnds_Prot#'!$A:$AL,28,FALSE)-4,1)</f>
        <v>P</v>
      </c>
      <c r="AC371" s="102" t="str">
        <f>MID(VLOOKUP($A371,Seqs!$A:$B,2,FALSE),VLOOKUP($A371,'NonXtal_SegEnds_Prot#'!$A:$AL,28,FALSE),1)</f>
        <v>Y</v>
      </c>
    </row>
    <row r="372" spans="1:29" s="2" customFormat="1" x14ac:dyDescent="0.2">
      <c r="A372" s="2" t="s">
        <v>647</v>
      </c>
      <c r="B372" s="2" t="str">
        <f>LOWER(VLOOKUP(A372,Xtal_Templ!A:B,2,FALSE))</f>
        <v>smo_human</v>
      </c>
      <c r="C372" s="2" t="str">
        <f>VLOOKUP(A372,Classification!A:D,2,FALSE)</f>
        <v>F</v>
      </c>
      <c r="M372" s="2" t="s">
        <v>1555</v>
      </c>
      <c r="R372" s="71" t="str">
        <f>MID(VLOOKUP($A372,Seqs!$A:$B,2,FALSE),VLOOKUP($A372,'NonXtal_SegEnds_Prot#'!A:AL,10,FALSE),1)</f>
        <v>V</v>
      </c>
      <c r="S372" s="102" t="str">
        <f>MID(VLOOKUP($A372,Seqs!$A:$B,2,FALSE),VLOOKUP($A372,'NonXtal_SegEnds_Prot#'!A:AL,10,FALSE)+6,1)</f>
        <v>S</v>
      </c>
      <c r="T372" s="102" t="str">
        <f>MID(VLOOKUP($A372,Seqs!$A:$B,2,FALSE),VLOOKUP($A372,'NonXtal_SegEnds_Prot#'!A:AL,10,FALSE)+7,1)</f>
        <v>L</v>
      </c>
      <c r="U372" s="102" t="str">
        <f>MID(VLOOKUP($A372,Seqs!$A:$B,2,FALSE),VLOOKUP($A372,'NonXtal_SegEnds_Prot#'!A:AL,10,FALSE)+8,1)</f>
        <v>M</v>
      </c>
      <c r="V372" s="102" t="str">
        <f>MID(VLOOKUP($A372,Seqs!$A:$B,2,FALSE),VLOOKUP($A372,'NonXtal_SegEnds_Prot#'!A:AL,10,FALSE)+9,1)</f>
        <v>Y</v>
      </c>
      <c r="W372" s="71" t="str">
        <f>MID(VLOOKUP($A372,Seqs!$A:$B,2,FALSE),VLOOKUP($A372,'NonXtal_SegEnds_Prot#'!$A:$AL,22,FALSE)+6,1)</f>
        <v>L</v>
      </c>
      <c r="X372" s="102" t="str">
        <f>MID(VLOOKUP($A372,Seqs!$A:$B,2,FALSE),VLOOKUP($A372,'NonXtal_SegEnds_Prot#'!$A:$AL,22,FALSE)+7,1)</f>
        <v>T</v>
      </c>
      <c r="Y372" s="102" t="str">
        <f>MID(VLOOKUP($A372,Seqs!$A:$B,2,FALSE),VLOOKUP($A372,'NonXtal_SegEnds_Prot#'!$A:$AL,22,FALSE)+8,1)</f>
        <v>V</v>
      </c>
      <c r="Z372" s="102" t="str">
        <f>MID(VLOOKUP($A372,Seqs!$A:$B,2,FALSE),VLOOKUP($A372,'NonXtal_SegEnds_Prot#'!$A:$AL,22,FALSE)+9,1)</f>
        <v>M</v>
      </c>
      <c r="AA372" s="102" t="str">
        <f>MID(VLOOKUP($A372,Seqs!$A:$B,2,FALSE),VLOOKUP($A372,'NonXtal_SegEnds_Prot#'!$A:$AL,22,FALSE)+10,1)</f>
        <v>L</v>
      </c>
      <c r="AB372" s="71" t="str">
        <f>MID(VLOOKUP($A372,Seqs!$A:$B,2,FALSE),VLOOKUP($A372,'NonXtal_SegEnds_Prot#'!$A:$AL,28,FALSE)-4,1)</f>
        <v>P</v>
      </c>
      <c r="AC372" s="102" t="str">
        <f>MID(VLOOKUP($A372,Seqs!$A:$B,2,FALSE),VLOOKUP($A372,'NonXtal_SegEnds_Prot#'!$A:$AL,28,FALSE),1)</f>
        <v>C</v>
      </c>
    </row>
    <row r="373" spans="1:29" s="2" customFormat="1" x14ac:dyDescent="0.2">
      <c r="A373" s="2" t="s">
        <v>648</v>
      </c>
      <c r="B373" s="2" t="str">
        <f>LOWER(VLOOKUP(A373,Xtal_Templ!A:B,2,FALSE))</f>
        <v>smo_human</v>
      </c>
      <c r="C373" s="2" t="str">
        <f>VLOOKUP(A373,Classification!A:D,2,FALSE)</f>
        <v>F</v>
      </c>
      <c r="M373" s="2" t="s">
        <v>1555</v>
      </c>
      <c r="R373" s="71" t="str">
        <f>MID(VLOOKUP($A373,Seqs!$A:$B,2,FALSE),VLOOKUP($A373,'NonXtal_SegEnds_Prot#'!A:AL,10,FALSE),1)</f>
        <v>G</v>
      </c>
      <c r="S373" s="102" t="str">
        <f>MID(VLOOKUP($A373,Seqs!$A:$B,2,FALSE),VLOOKUP($A373,'NonXtal_SegEnds_Prot#'!A:AL,10,FALSE)+6,1)</f>
        <v>A</v>
      </c>
      <c r="T373" s="102" t="str">
        <f>MID(VLOOKUP($A373,Seqs!$A:$B,2,FALSE),VLOOKUP($A373,'NonXtal_SegEnds_Prot#'!A:AL,10,FALSE)+7,1)</f>
        <v>V</v>
      </c>
      <c r="U373" s="102" t="str">
        <f>MID(VLOOKUP($A373,Seqs!$A:$B,2,FALSE),VLOOKUP($A373,'NonXtal_SegEnds_Prot#'!A:AL,10,FALSE)+8,1)</f>
        <v>A</v>
      </c>
      <c r="V373" s="102" t="str">
        <f>MID(VLOOKUP($A373,Seqs!$A:$B,2,FALSE),VLOOKUP($A373,'NonXtal_SegEnds_Prot#'!A:AL,10,FALSE)+9,1)</f>
        <v>H</v>
      </c>
      <c r="W373" s="71" t="str">
        <f>MID(VLOOKUP($A373,Seqs!$A:$B,2,FALSE),VLOOKUP($A373,'NonXtal_SegEnds_Prot#'!$A:$AL,22,FALSE)+6,1)</f>
        <v>K</v>
      </c>
      <c r="X373" s="102" t="str">
        <f>MID(VLOOKUP($A373,Seqs!$A:$B,2,FALSE),VLOOKUP($A373,'NonXtal_SegEnds_Prot#'!$A:$AL,22,FALSE)+7,1)</f>
        <v>T</v>
      </c>
      <c r="Y373" s="102" t="str">
        <f>MID(VLOOKUP($A373,Seqs!$A:$B,2,FALSE),VLOOKUP($A373,'NonXtal_SegEnds_Prot#'!$A:$AL,22,FALSE)+8,1)</f>
        <v>I</v>
      </c>
      <c r="Z373" s="102" t="str">
        <f>MID(VLOOKUP($A373,Seqs!$A:$B,2,FALSE),VLOOKUP($A373,'NonXtal_SegEnds_Prot#'!$A:$AL,22,FALSE)+9,1)</f>
        <v>T</v>
      </c>
      <c r="AA373" s="102" t="str">
        <f>MID(VLOOKUP($A373,Seqs!$A:$B,2,FALSE),VLOOKUP($A373,'NonXtal_SegEnds_Prot#'!$A:$AL,22,FALSE)+10,1)</f>
        <v>I</v>
      </c>
      <c r="AB373" s="71" t="str">
        <f>MID(VLOOKUP($A373,Seqs!$A:$B,2,FALSE),VLOOKUP($A373,'NonXtal_SegEnds_Prot#'!$A:$AL,28,FALSE)-4,1)</f>
        <v>P</v>
      </c>
      <c r="AC373" s="102" t="str">
        <f>MID(VLOOKUP($A373,Seqs!$A:$B,2,FALSE),VLOOKUP($A373,'NonXtal_SegEnds_Prot#'!$A:$AL,28,FALSE),1)</f>
        <v>Y</v>
      </c>
    </row>
    <row r="374" spans="1:29" s="2" customFormat="1" x14ac:dyDescent="0.2">
      <c r="A374" s="2" t="s">
        <v>649</v>
      </c>
      <c r="B374" s="2" t="str">
        <f>LOWER(VLOOKUP(A374,Xtal_Templ!A:B,2,FALSE))</f>
        <v>smo_human</v>
      </c>
      <c r="C374" s="2" t="str">
        <f>VLOOKUP(A374,Classification!A:D,2,FALSE)</f>
        <v>F</v>
      </c>
      <c r="M374" s="2" t="s">
        <v>1555</v>
      </c>
      <c r="R374" s="71" t="str">
        <f>MID(VLOOKUP($A374,Seqs!$A:$B,2,FALSE),VLOOKUP($A374,'NonXtal_SegEnds_Prot#'!A:AL,10,FALSE),1)</f>
        <v>A</v>
      </c>
      <c r="S374" s="102" t="str">
        <f>MID(VLOOKUP($A374,Seqs!$A:$B,2,FALSE),VLOOKUP($A374,'NonXtal_SegEnds_Prot#'!A:AL,10,FALSE)+6,1)</f>
        <v>S</v>
      </c>
      <c r="T374" s="102" t="str">
        <f>MID(VLOOKUP($A374,Seqs!$A:$B,2,FALSE),VLOOKUP($A374,'NonXtal_SegEnds_Prot#'!A:AL,10,FALSE)+7,1)</f>
        <v>V</v>
      </c>
      <c r="U374" s="102" t="str">
        <f>MID(VLOOKUP($A374,Seqs!$A:$B,2,FALSE),VLOOKUP($A374,'NonXtal_SegEnds_Prot#'!A:AL,10,FALSE)+8,1)</f>
        <v>G</v>
      </c>
      <c r="V374" s="102" t="str">
        <f>MID(VLOOKUP($A374,Seqs!$A:$B,2,FALSE),VLOOKUP($A374,'NonXtal_SegEnds_Prot#'!A:AL,10,FALSE)+9,1)</f>
        <v>Y</v>
      </c>
      <c r="W374" s="71" t="str">
        <f>MID(VLOOKUP($A374,Seqs!$A:$B,2,FALSE),VLOOKUP($A374,'NonXtal_SegEnds_Prot#'!$A:$AL,22,FALSE)+6,1)</f>
        <v>K</v>
      </c>
      <c r="X374" s="102" t="str">
        <f>MID(VLOOKUP($A374,Seqs!$A:$B,2,FALSE),VLOOKUP($A374,'NonXtal_SegEnds_Prot#'!$A:$AL,22,FALSE)+7,1)</f>
        <v>S</v>
      </c>
      <c r="Y374" s="102" t="str">
        <f>MID(VLOOKUP($A374,Seqs!$A:$B,2,FALSE),VLOOKUP($A374,'NonXtal_SegEnds_Prot#'!$A:$AL,22,FALSE)+8,1)</f>
        <v>I</v>
      </c>
      <c r="Z374" s="102" t="str">
        <f>MID(VLOOKUP($A374,Seqs!$A:$B,2,FALSE),VLOOKUP($A374,'NonXtal_SegEnds_Prot#'!$A:$AL,22,FALSE)+9,1)</f>
        <v>A</v>
      </c>
      <c r="AA374" s="102" t="str">
        <f>MID(VLOOKUP($A374,Seqs!$A:$B,2,FALSE),VLOOKUP($A374,'NonXtal_SegEnds_Prot#'!$A:$AL,22,FALSE)+10,1)</f>
        <v>V</v>
      </c>
      <c r="AB374" s="71" t="str">
        <f>MID(VLOOKUP($A374,Seqs!$A:$B,2,FALSE),VLOOKUP($A374,'NonXtal_SegEnds_Prot#'!$A:$AL,28,FALSE)-4,1)</f>
        <v>P</v>
      </c>
      <c r="AC374" s="102" t="str">
        <f>MID(VLOOKUP($A374,Seqs!$A:$B,2,FALSE),VLOOKUP($A374,'NonXtal_SegEnds_Prot#'!$A:$AL,28,FALSE),1)</f>
        <v>Y</v>
      </c>
    </row>
    <row r="375" spans="1:29" s="2" customFormat="1" x14ac:dyDescent="0.2">
      <c r="A375" s="2" t="s">
        <v>650</v>
      </c>
      <c r="B375" s="2" t="str">
        <f>LOWER(VLOOKUP(A375,Xtal_Templ!A:B,2,FALSE))</f>
        <v>smo_human</v>
      </c>
      <c r="C375" s="2" t="str">
        <f>VLOOKUP(A375,Classification!A:D,2,FALSE)</f>
        <v>F</v>
      </c>
      <c r="M375" s="2" t="s">
        <v>1555</v>
      </c>
      <c r="R375" s="71" t="str">
        <f>MID(VLOOKUP($A375,Seqs!$A:$B,2,FALSE),VLOOKUP($A375,'NonXtal_SegEnds_Prot#'!A:AL,10,FALSE),1)</f>
        <v>M</v>
      </c>
      <c r="S375" s="102" t="str">
        <f>MID(VLOOKUP($A375,Seqs!$A:$B,2,FALSE),VLOOKUP($A375,'NonXtal_SegEnds_Prot#'!A:AL,10,FALSE)+6,1)</f>
        <v>S</v>
      </c>
      <c r="T375" s="102" t="str">
        <f>MID(VLOOKUP($A375,Seqs!$A:$B,2,FALSE),VLOOKUP($A375,'NonXtal_SegEnds_Prot#'!A:AL,10,FALSE)+7,1)</f>
        <v>L</v>
      </c>
      <c r="U375" s="102" t="str">
        <f>MID(VLOOKUP($A375,Seqs!$A:$B,2,FALSE),VLOOKUP($A375,'NonXtal_SegEnds_Prot#'!A:AL,10,FALSE)+8,1)</f>
        <v>A</v>
      </c>
      <c r="V375" s="102" t="str">
        <f>MID(VLOOKUP($A375,Seqs!$A:$B,2,FALSE),VLOOKUP($A375,'NonXtal_SegEnds_Prot#'!A:AL,10,FALSE)+9,1)</f>
        <v>F</v>
      </c>
      <c r="W375" s="71" t="str">
        <f>MID(VLOOKUP($A375,Seqs!$A:$B,2,FALSE),VLOOKUP($A375,'NonXtal_SegEnds_Prot#'!$A:$AL,22,FALSE)+6,1)</f>
        <v>K</v>
      </c>
      <c r="X375" s="102" t="str">
        <f>MID(VLOOKUP($A375,Seqs!$A:$B,2,FALSE),VLOOKUP($A375,'NonXtal_SegEnds_Prot#'!$A:$AL,22,FALSE)+7,1)</f>
        <v>T</v>
      </c>
      <c r="Y375" s="102" t="str">
        <f>MID(VLOOKUP($A375,Seqs!$A:$B,2,FALSE),VLOOKUP($A375,'NonXtal_SegEnds_Prot#'!$A:$AL,22,FALSE)+8,1)</f>
        <v>I</v>
      </c>
      <c r="Z375" s="102" t="str">
        <f>MID(VLOOKUP($A375,Seqs!$A:$B,2,FALSE),VLOOKUP($A375,'NonXtal_SegEnds_Prot#'!$A:$AL,22,FALSE)+9,1)</f>
        <v>V</v>
      </c>
      <c r="AA375" s="102" t="str">
        <f>MID(VLOOKUP($A375,Seqs!$A:$B,2,FALSE),VLOOKUP($A375,'NonXtal_SegEnds_Prot#'!$A:$AL,22,FALSE)+10,1)</f>
        <v>I</v>
      </c>
      <c r="AB375" s="71" t="str">
        <f>MID(VLOOKUP($A375,Seqs!$A:$B,2,FALSE),VLOOKUP($A375,'NonXtal_SegEnds_Prot#'!$A:$AL,28,FALSE)-4,1)</f>
        <v>P</v>
      </c>
      <c r="AC375" s="102" t="str">
        <f>MID(VLOOKUP($A375,Seqs!$A:$B,2,FALSE),VLOOKUP($A375,'NonXtal_SegEnds_Prot#'!$A:$AL,28,FALSE),1)</f>
        <v>Y</v>
      </c>
    </row>
    <row r="376" spans="1:29" s="2" customFormat="1" x14ac:dyDescent="0.2">
      <c r="A376" s="2" t="s">
        <v>207</v>
      </c>
      <c r="B376" s="2" t="str">
        <f>LOWER(VLOOKUP(A376,Xtal_Templ!A:B,2,FALSE))</f>
        <v>smo_human</v>
      </c>
      <c r="C376" s="2" t="str">
        <f>VLOOKUP(A376,Classification!A:D,2,FALSE)</f>
        <v>F</v>
      </c>
      <c r="M376" s="2" t="s">
        <v>1555</v>
      </c>
      <c r="R376" s="71" t="str">
        <f>MID(VLOOKUP($A376,Seqs!$A:$B,2,FALSE),VLOOKUP($A376,'NonXtal_SegEnds_Prot#'!A:AL,10,FALSE),1)</f>
        <v>A</v>
      </c>
      <c r="S376" s="102" t="str">
        <f>MID(VLOOKUP($A376,Seqs!$A:$B,2,FALSE),VLOOKUP($A376,'NonXtal_SegEnds_Prot#'!A:AL,10,FALSE)+6,1)</f>
        <v>S</v>
      </c>
      <c r="T376" s="102" t="str">
        <f>MID(VLOOKUP($A376,Seqs!$A:$B,2,FALSE),VLOOKUP($A376,'NonXtal_SegEnds_Prot#'!A:AL,10,FALSE)+7,1)</f>
        <v>I</v>
      </c>
      <c r="U376" s="102" t="str">
        <f>MID(VLOOKUP($A376,Seqs!$A:$B,2,FALSE),VLOOKUP($A376,'NonXtal_SegEnds_Prot#'!A:AL,10,FALSE)+8,1)</f>
        <v>G</v>
      </c>
      <c r="V376" s="102" t="str">
        <f>MID(VLOOKUP($A376,Seqs!$A:$B,2,FALSE),VLOOKUP($A376,'NonXtal_SegEnds_Prot#'!A:AL,10,FALSE)+9,1)</f>
        <v>W</v>
      </c>
      <c r="W376" s="71" t="str">
        <f>MID(VLOOKUP($A376,Seqs!$A:$B,2,FALSE),VLOOKUP($A376,'NonXtal_SegEnds_Prot#'!$A:$AL,22,FALSE)+6,1)</f>
        <v>L</v>
      </c>
      <c r="X376" s="102" t="str">
        <f>MID(VLOOKUP($A376,Seqs!$A:$B,2,FALSE),VLOOKUP($A376,'NonXtal_SegEnds_Prot#'!$A:$AL,22,FALSE)+7,1)</f>
        <v>T</v>
      </c>
      <c r="Y376" s="102" t="str">
        <f>MID(VLOOKUP($A376,Seqs!$A:$B,2,FALSE),VLOOKUP($A376,'NonXtal_SegEnds_Prot#'!$A:$AL,22,FALSE)+8,1)</f>
        <v>V</v>
      </c>
      <c r="Z376" s="102" t="str">
        <f>MID(VLOOKUP($A376,Seqs!$A:$B,2,FALSE),VLOOKUP($A376,'NonXtal_SegEnds_Prot#'!$A:$AL,22,FALSE)+9,1)</f>
        <v>A</v>
      </c>
      <c r="AA376" s="102" t="str">
        <f>MID(VLOOKUP($A376,Seqs!$A:$B,2,FALSE),VLOOKUP($A376,'NonXtal_SegEnds_Prot#'!$A:$AL,22,FALSE)+10,1)</f>
        <v>I</v>
      </c>
      <c r="AB376" s="71" t="str">
        <f>MID(VLOOKUP($A376,Seqs!$A:$B,2,FALSE),VLOOKUP($A376,'NonXtal_SegEnds_Prot#'!$A:$AL,28,FALSE)-4,1)</f>
        <v>P</v>
      </c>
      <c r="AC376" s="102" t="str">
        <f>MID(VLOOKUP($A376,Seqs!$A:$B,2,FALSE),VLOOKUP($A376,'NonXtal_SegEnds_Prot#'!$A:$AL,28,FALSE),1)</f>
        <v>V</v>
      </c>
    </row>
    <row r="377" spans="1:29" s="2" customFormat="1" x14ac:dyDescent="0.2">
      <c r="A377" s="2" t="s">
        <v>676</v>
      </c>
      <c r="B377" s="2" t="str">
        <f>LOWER(VLOOKUP(A377,Xtal_Templ!A:B,2,FALSE))</f>
        <v>cxcr4_human</v>
      </c>
      <c r="C377" s="2" t="str">
        <f>VLOOKUP(A377,Classification!A:D,2,FALSE)</f>
        <v>O</v>
      </c>
      <c r="R377" s="71" t="str">
        <f>MID(VLOOKUP($A377,Seqs!$A:$B,2,FALSE),VLOOKUP($A377,'NonXtal_SegEnds_Prot#'!A:AL,10,FALSE),1)</f>
        <v>A</v>
      </c>
      <c r="S377" s="102" t="str">
        <f>MID(VLOOKUP($A377,Seqs!$A:$B,2,FALSE),VLOOKUP($A377,'NonXtal_SegEnds_Prot#'!A:AL,10,FALSE)+6,1)</f>
        <v>F</v>
      </c>
      <c r="T377" s="102" t="str">
        <f>MID(VLOOKUP($A377,Seqs!$A:$B,2,FALSE),VLOOKUP($A377,'NonXtal_SegEnds_Prot#'!A:AL,10,FALSE)+7,1)</f>
        <v>S</v>
      </c>
      <c r="U377" s="102" t="str">
        <f>MID(VLOOKUP($A377,Seqs!$A:$B,2,FALSE),VLOOKUP($A377,'NonXtal_SegEnds_Prot#'!A:AL,10,FALSE)+8,1)</f>
        <v>F</v>
      </c>
      <c r="V377" s="102" t="str">
        <f>MID(VLOOKUP($A377,Seqs!$A:$B,2,FALSE),VLOOKUP($A377,'NonXtal_SegEnds_Prot#'!A:AL,10,FALSE)+9,1)</f>
        <v>Y</v>
      </c>
      <c r="W377" s="71" t="str">
        <f>MID(VLOOKUP($A377,Seqs!$A:$B,2,FALSE),VLOOKUP($A377,'NonXtal_SegEnds_Prot#'!$A:$AL,22,FALSE)+6,1)</f>
        <v>A</v>
      </c>
      <c r="X377" s="102" t="str">
        <f>MID(VLOOKUP($A377,Seqs!$A:$B,2,FALSE),VLOOKUP($A377,'NonXtal_SegEnds_Prot#'!$A:$AL,22,FALSE)+7,1)</f>
        <v>A</v>
      </c>
      <c r="Y377" s="102" t="str">
        <f>MID(VLOOKUP($A377,Seqs!$A:$B,2,FALSE),VLOOKUP($A377,'NonXtal_SegEnds_Prot#'!$A:$AL,22,FALSE)+8,1)</f>
        <v>C</v>
      </c>
      <c r="Z377" s="102" t="str">
        <f>MID(VLOOKUP($A377,Seqs!$A:$B,2,FALSE),VLOOKUP($A377,'NonXtal_SegEnds_Prot#'!$A:$AL,22,FALSE)+9,1)</f>
        <v>L</v>
      </c>
      <c r="AA377" s="102" t="str">
        <f>MID(VLOOKUP($A377,Seqs!$A:$B,2,FALSE),VLOOKUP($A377,'NonXtal_SegEnds_Prot#'!$A:$AL,22,FALSE)+10,1)</f>
        <v>C</v>
      </c>
      <c r="AB377" s="71" t="str">
        <f>MID(VLOOKUP($A377,Seqs!$A:$B,2,FALSE),VLOOKUP($A377,'NonXtal_SegEnds_Prot#'!$A:$AL,28,FALSE)-4,1)</f>
        <v>L</v>
      </c>
      <c r="AC377" s="102" t="str">
        <f>MID(VLOOKUP($A377,Seqs!$A:$B,2,FALSE),VLOOKUP($A377,'NonXtal_SegEnds_Prot#'!$A:$AL,28,FALSE),1)</f>
        <v>L</v>
      </c>
    </row>
    <row r="378" spans="1:29" s="2" customFormat="1" x14ac:dyDescent="0.2">
      <c r="A378" s="2" t="s">
        <v>677</v>
      </c>
      <c r="B378" s="2" t="str">
        <f>LOWER(VLOOKUP(A378,Xtal_Templ!A:B,2,FALSE))</f>
        <v>p2y12_human</v>
      </c>
      <c r="C378" s="2" t="str">
        <f>VLOOKUP(A378,Classification!A:D,2,FALSE)</f>
        <v>O</v>
      </c>
      <c r="R378" s="71" t="str">
        <f>MID(VLOOKUP($A378,Seqs!$A:$B,2,FALSE),VLOOKUP($A378,'NonXtal_SegEnds_Prot#'!A:AL,10,FALSE),1)</f>
        <v>W</v>
      </c>
      <c r="S378" s="102" t="str">
        <f>MID(VLOOKUP($A378,Seqs!$A:$B,2,FALSE),VLOOKUP($A378,'NonXtal_SegEnds_Prot#'!A:AL,10,FALSE)+6,1)</f>
        <v>K</v>
      </c>
      <c r="T378" s="102" t="str">
        <f>MID(VLOOKUP($A378,Seqs!$A:$B,2,FALSE),VLOOKUP($A378,'NonXtal_SegEnds_Prot#'!A:AL,10,FALSE)+7,1)</f>
        <v>R</v>
      </c>
      <c r="U378" s="102" t="str">
        <f>MID(VLOOKUP($A378,Seqs!$A:$B,2,FALSE),VLOOKUP($A378,'NonXtal_SegEnds_Prot#'!A:AL,10,FALSE)+8,1)</f>
        <v>R</v>
      </c>
      <c r="V378" s="102" t="str">
        <f>MID(VLOOKUP($A378,Seqs!$A:$B,2,FALSE),VLOOKUP($A378,'NonXtal_SegEnds_Prot#'!A:AL,10,FALSE)+9,1)</f>
        <v>N</v>
      </c>
      <c r="W378" s="71" t="str">
        <f>MID(VLOOKUP($A378,Seqs!$A:$B,2,FALSE),VLOOKUP($A378,'NonXtal_SegEnds_Prot#'!$A:$AL,22,FALSE)+6,1)</f>
        <v>Y</v>
      </c>
      <c r="X378" s="102" t="str">
        <f>MID(VLOOKUP($A378,Seqs!$A:$B,2,FALSE),VLOOKUP($A378,'NonXtal_SegEnds_Prot#'!$A:$AL,22,FALSE)+7,1)</f>
        <v>G</v>
      </c>
      <c r="Y378" s="102" t="str">
        <f>MID(VLOOKUP($A378,Seqs!$A:$B,2,FALSE),VLOOKUP($A378,'NonXtal_SegEnds_Prot#'!$A:$AL,22,FALSE)+8,1)</f>
        <v>L</v>
      </c>
      <c r="Z378" s="102" t="str">
        <f>MID(VLOOKUP($A378,Seqs!$A:$B,2,FALSE),VLOOKUP($A378,'NonXtal_SegEnds_Prot#'!$A:$AL,22,FALSE)+9,1)</f>
        <v>W</v>
      </c>
      <c r="AA378" s="102" t="str">
        <f>MID(VLOOKUP($A378,Seqs!$A:$B,2,FALSE),VLOOKUP($A378,'NonXtal_SegEnds_Prot#'!$A:$AL,22,FALSE)+10,1)</f>
        <v>K</v>
      </c>
      <c r="AB378" s="71" t="str">
        <f>MID(VLOOKUP($A378,Seqs!$A:$B,2,FALSE),VLOOKUP($A378,'NonXtal_SegEnds_Prot#'!$A:$AL,28,FALSE)-4,1)</f>
        <v>A</v>
      </c>
      <c r="AC378" s="102" t="str">
        <f>MID(VLOOKUP($A378,Seqs!$A:$B,2,FALSE),VLOOKUP($A378,'NonXtal_SegEnds_Prot#'!$A:$AL,28,FALSE),1)</f>
        <v>P</v>
      </c>
    </row>
    <row r="379" spans="1:29" s="2" customFormat="1" x14ac:dyDescent="0.2">
      <c r="A379" s="2" t="s">
        <v>680</v>
      </c>
      <c r="B379" s="2" t="str">
        <f>LOWER(VLOOKUP(A379,Xtal_Templ!A:B,2,FALSE))</f>
        <v>agtr1_human</v>
      </c>
      <c r="C379" s="2" t="str">
        <f>VLOOKUP(A379,Classification!A:D,2,FALSE)</f>
        <v>O</v>
      </c>
      <c r="R379" s="71" t="str">
        <f>MID(VLOOKUP($A379,Seqs!$A:$B,2,FALSE),VLOOKUP($A379,'NonXtal_SegEnds_Prot#'!A:AL,10,FALSE),1)</f>
        <v>D</v>
      </c>
      <c r="S379" s="102" t="str">
        <f>MID(VLOOKUP($A379,Seqs!$A:$B,2,FALSE),VLOOKUP($A379,'NonXtal_SegEnds_Prot#'!A:AL,10,FALSE)+6,1)</f>
        <v>G</v>
      </c>
      <c r="T379" s="102" t="str">
        <f>MID(VLOOKUP($A379,Seqs!$A:$B,2,FALSE),VLOOKUP($A379,'NonXtal_SegEnds_Prot#'!A:AL,10,FALSE)+7,1)</f>
        <v>M</v>
      </c>
      <c r="U379" s="102" t="str">
        <f>MID(VLOOKUP($A379,Seqs!$A:$B,2,FALSE),VLOOKUP($A379,'NonXtal_SegEnds_Prot#'!A:AL,10,FALSE)+8,1)</f>
        <v>V</v>
      </c>
      <c r="V379" s="102" t="str">
        <f>MID(VLOOKUP($A379,Seqs!$A:$B,2,FALSE),VLOOKUP($A379,'NonXtal_SegEnds_Prot#'!A:AL,10,FALSE)+9,1)</f>
        <v>I</v>
      </c>
      <c r="W379" s="71" t="str">
        <f>MID(VLOOKUP($A379,Seqs!$A:$B,2,FALSE),VLOOKUP($A379,'NonXtal_SegEnds_Prot#'!$A:$AL,22,FALSE)+6,1)</f>
        <v>L</v>
      </c>
      <c r="X379" s="102" t="str">
        <f>MID(VLOOKUP($A379,Seqs!$A:$B,2,FALSE),VLOOKUP($A379,'NonXtal_SegEnds_Prot#'!$A:$AL,22,FALSE)+7,1)</f>
        <v>C</v>
      </c>
      <c r="Y379" s="102" t="str">
        <f>MID(VLOOKUP($A379,Seqs!$A:$B,2,FALSE),VLOOKUP($A379,'NonXtal_SegEnds_Prot#'!$A:$AL,22,FALSE)+8,1)</f>
        <v>V</v>
      </c>
      <c r="Z379" s="102" t="str">
        <f>MID(VLOOKUP($A379,Seqs!$A:$B,2,FALSE),VLOOKUP($A379,'NonXtal_SegEnds_Prot#'!$A:$AL,22,FALSE)+9,1)</f>
        <v>E</v>
      </c>
      <c r="AA379" s="102" t="str">
        <f>MID(VLOOKUP($A379,Seqs!$A:$B,2,FALSE),VLOOKUP($A379,'NonXtal_SegEnds_Prot#'!$A:$AL,22,FALSE)+10,1)</f>
        <v>G</v>
      </c>
      <c r="AB379" s="71" t="str">
        <f>MID(VLOOKUP($A379,Seqs!$A:$B,2,FALSE),VLOOKUP($A379,'NonXtal_SegEnds_Prot#'!$A:$AL,28,FALSE)-4,1)</f>
        <v>T</v>
      </c>
      <c r="AC379" s="102" t="str">
        <f>MID(VLOOKUP($A379,Seqs!$A:$B,2,FALSE),VLOOKUP($A379,'NonXtal_SegEnds_Prot#'!$A:$AL,28,FALSE),1)</f>
        <v>P</v>
      </c>
    </row>
    <row r="380" spans="1:29" s="2" customFormat="1" x14ac:dyDescent="0.2">
      <c r="A380" s="2" t="s">
        <v>681</v>
      </c>
      <c r="B380" s="2" t="str">
        <f>LOWER(VLOOKUP(A380,Xtal_Templ!A:B,2,FALSE))</f>
        <v>grm1_human</v>
      </c>
      <c r="C380" s="2" t="str">
        <f>VLOOKUP(A380,Classification!A:D,2,FALSE)</f>
        <v>O</v>
      </c>
      <c r="R380" s="71" t="str">
        <f>MID(VLOOKUP($A380,Seqs!$A:$B,2,FALSE),VLOOKUP($A380,'NonXtal_SegEnds_Prot#'!A:AL,10,FALSE),1)</f>
        <v>D</v>
      </c>
      <c r="S380" s="102" t="str">
        <f>MID(VLOOKUP($A380,Seqs!$A:$B,2,FALSE),VLOOKUP($A380,'NonXtal_SegEnds_Prot#'!A:AL,10,FALSE)+6,1)</f>
        <v>S</v>
      </c>
      <c r="T380" s="102" t="str">
        <f>MID(VLOOKUP($A380,Seqs!$A:$B,2,FALSE),VLOOKUP($A380,'NonXtal_SegEnds_Prot#'!A:AL,10,FALSE)+7,1)</f>
        <v>Y</v>
      </c>
      <c r="U380" s="102" t="str">
        <f>MID(VLOOKUP($A380,Seqs!$A:$B,2,FALSE),VLOOKUP($A380,'NonXtal_SegEnds_Prot#'!A:AL,10,FALSE)+8,1)</f>
        <v>F</v>
      </c>
      <c r="V380" s="102" t="str">
        <f>MID(VLOOKUP($A380,Seqs!$A:$B,2,FALSE),VLOOKUP($A380,'NonXtal_SegEnds_Prot#'!A:AL,10,FALSE)+9,1)</f>
        <v>Y</v>
      </c>
      <c r="W380" s="71" t="str">
        <f>MID(VLOOKUP($A380,Seqs!$A:$B,2,FALSE),VLOOKUP($A380,'NonXtal_SegEnds_Prot#'!$A:$AL,22,FALSE)+6,1)</f>
        <v>A</v>
      </c>
      <c r="X380" s="102" t="str">
        <f>MID(VLOOKUP($A380,Seqs!$A:$B,2,FALSE),VLOOKUP($A380,'NonXtal_SegEnds_Prot#'!$A:$AL,22,FALSE)+7,1)</f>
        <v>L</v>
      </c>
      <c r="Y380" s="102" t="str">
        <f>MID(VLOOKUP($A380,Seqs!$A:$B,2,FALSE),VLOOKUP($A380,'NonXtal_SegEnds_Prot#'!$A:$AL,22,FALSE)+8,1)</f>
        <v>K</v>
      </c>
      <c r="Z380" s="102" t="str">
        <f>MID(VLOOKUP($A380,Seqs!$A:$B,2,FALSE),VLOOKUP($A380,'NonXtal_SegEnds_Prot#'!$A:$AL,22,FALSE)+9,1)</f>
        <v>K</v>
      </c>
      <c r="AA380" s="102" t="str">
        <f>MID(VLOOKUP($A380,Seqs!$A:$B,2,FALSE),VLOOKUP($A380,'NonXtal_SegEnds_Prot#'!$A:$AL,22,FALSE)+10,1)</f>
        <v>I</v>
      </c>
      <c r="AB380" s="71" t="str">
        <f>MID(VLOOKUP($A380,Seqs!$A:$B,2,FALSE),VLOOKUP($A380,'NonXtal_SegEnds_Prot#'!$A:$AL,28,FALSE)-4,1)</f>
        <v>D</v>
      </c>
      <c r="AC380" s="102" t="str">
        <f>MID(VLOOKUP($A380,Seqs!$A:$B,2,FALSE),VLOOKUP($A380,'NonXtal_SegEnds_Prot#'!$A:$AL,28,FALSE),1)</f>
        <v>K</v>
      </c>
    </row>
    <row r="381" spans="1:29" s="2" customFormat="1" x14ac:dyDescent="0.2">
      <c r="A381" s="2" t="s">
        <v>679</v>
      </c>
      <c r="B381" s="2" t="str">
        <f>LOWER(VLOOKUP(A381,Xtal_Templ!A:B,2,FALSE))</f>
        <v>cxcr4_human</v>
      </c>
      <c r="C381" s="2" t="str">
        <f>VLOOKUP(A381,Classification!A:D,2,FALSE)</f>
        <v>O</v>
      </c>
      <c r="R381" s="71" t="str">
        <f>MID(VLOOKUP($A381,Seqs!$A:$B,2,FALSE),VLOOKUP($A381,'NonXtal_SegEnds_Prot#'!A:AL,10,FALSE),1)</f>
        <v>A</v>
      </c>
      <c r="S381" s="102" t="str">
        <f>MID(VLOOKUP($A381,Seqs!$A:$B,2,FALSE),VLOOKUP($A381,'NonXtal_SegEnds_Prot#'!A:AL,10,FALSE)+6,1)</f>
        <v>M</v>
      </c>
      <c r="T381" s="102" t="str">
        <f>MID(VLOOKUP($A381,Seqs!$A:$B,2,FALSE),VLOOKUP($A381,'NonXtal_SegEnds_Prot#'!A:AL,10,FALSE)+7,1)</f>
        <v>T</v>
      </c>
      <c r="U381" s="102" t="str">
        <f>MID(VLOOKUP($A381,Seqs!$A:$B,2,FALSE),VLOOKUP($A381,'NonXtal_SegEnds_Prot#'!A:AL,10,FALSE)+8,1)</f>
        <v>V</v>
      </c>
      <c r="V381" s="102" t="str">
        <f>MID(VLOOKUP($A381,Seqs!$A:$B,2,FALSE),VLOOKUP($A381,'NonXtal_SegEnds_Prot#'!A:AL,10,FALSE)+9,1)</f>
        <v>S</v>
      </c>
      <c r="W381" s="71" t="str">
        <f>MID(VLOOKUP($A381,Seqs!$A:$B,2,FALSE),VLOOKUP($A381,'NonXtal_SegEnds_Prot#'!$A:$AL,22,FALSE)+6,1)</f>
        <v>L</v>
      </c>
      <c r="X381" s="102" t="str">
        <f>MID(VLOOKUP($A381,Seqs!$A:$B,2,FALSE),VLOOKUP($A381,'NonXtal_SegEnds_Prot#'!$A:$AL,22,FALSE)+7,1)</f>
        <v>S</v>
      </c>
      <c r="Y381" s="102" t="str">
        <f>MID(VLOOKUP($A381,Seqs!$A:$B,2,FALSE),VLOOKUP($A381,'NonXtal_SegEnds_Prot#'!$A:$AL,22,FALSE)+8,1)</f>
        <v>A</v>
      </c>
      <c r="Z381" s="102" t="str">
        <f>MID(VLOOKUP($A381,Seqs!$A:$B,2,FALSE),VLOOKUP($A381,'NonXtal_SegEnds_Prot#'!$A:$AL,22,FALSE)+9,1)</f>
        <v>E</v>
      </c>
      <c r="AA381" s="102" t="str">
        <f>MID(VLOOKUP($A381,Seqs!$A:$B,2,FALSE),VLOOKUP($A381,'NonXtal_SegEnds_Prot#'!$A:$AL,22,FALSE)+10,1)</f>
        <v>D</v>
      </c>
      <c r="AB381" s="71" t="str">
        <f>MID(VLOOKUP($A381,Seqs!$A:$B,2,FALSE),VLOOKUP($A381,'NonXtal_SegEnds_Prot#'!$A:$AL,28,FALSE)-4,1)</f>
        <v>F</v>
      </c>
      <c r="AC381" s="102" t="str">
        <f>MID(VLOOKUP($A381,Seqs!$A:$B,2,FALSE),VLOOKUP($A381,'NonXtal_SegEnds_Prot#'!$A:$AL,28,FALSE),1)</f>
        <v>S</v>
      </c>
    </row>
    <row r="382" spans="1:29" s="2" customFormat="1" x14ac:dyDescent="0.2">
      <c r="A382" s="2" t="s">
        <v>651</v>
      </c>
      <c r="B382" s="2" t="str">
        <f>LOWER(VLOOKUP(A382,Xtal_Templ!A:B,2,FALSE))</f>
        <v>s1pr1_human</v>
      </c>
      <c r="C382" s="2" t="str">
        <f>VLOOKUP(A382,Classification!A:D,2,FALSE)</f>
        <v>T</v>
      </c>
      <c r="R382" s="71" t="str">
        <f>MID(VLOOKUP($A382,Seqs!$A:$B,2,FALSE),VLOOKUP($A382,'NonXtal_SegEnds_Prot#'!A:AL,10,FALSE),1)</f>
        <v>R</v>
      </c>
      <c r="S382" s="102" t="str">
        <f>MID(VLOOKUP($A382,Seqs!$A:$B,2,FALSE),VLOOKUP($A382,'NonXtal_SegEnds_Prot#'!A:AL,10,FALSE)+6,1)</f>
        <v>I</v>
      </c>
      <c r="T382" s="102" t="str">
        <f>MID(VLOOKUP($A382,Seqs!$A:$B,2,FALSE),VLOOKUP($A382,'NonXtal_SegEnds_Prot#'!A:AL,10,FALSE)+7,1)</f>
        <v>I</v>
      </c>
      <c r="U382" s="102" t="str">
        <f>MID(VLOOKUP($A382,Seqs!$A:$B,2,FALSE),VLOOKUP($A382,'NonXtal_SegEnds_Prot#'!A:AL,10,FALSE)+8,1)</f>
        <v>I</v>
      </c>
      <c r="V382" s="102" t="str">
        <f>MID(VLOOKUP($A382,Seqs!$A:$B,2,FALSE),VLOOKUP($A382,'NonXtal_SegEnds_Prot#'!A:AL,10,FALSE)+9,1)</f>
        <v>T</v>
      </c>
      <c r="W382" s="71" t="str">
        <f>MID(VLOOKUP($A382,Seqs!$A:$B,2,FALSE),VLOOKUP($A382,'NonXtal_SegEnds_Prot#'!$A:$AL,22,FALSE)+6,1)</f>
        <v>L</v>
      </c>
      <c r="X382" s="102" t="str">
        <f>MID(VLOOKUP($A382,Seqs!$A:$B,2,FALSE),VLOOKUP($A382,'NonXtal_SegEnds_Prot#'!$A:$AL,22,FALSE)+7,1)</f>
        <v>L</v>
      </c>
      <c r="Y382" s="102" t="str">
        <f>MID(VLOOKUP($A382,Seqs!$A:$B,2,FALSE),VLOOKUP($A382,'NonXtal_SegEnds_Prot#'!$A:$AL,22,FALSE)+8,1)</f>
        <v>N</v>
      </c>
      <c r="Z382" s="102" t="str">
        <f>MID(VLOOKUP($A382,Seqs!$A:$B,2,FALSE),VLOOKUP($A382,'NonXtal_SegEnds_Prot#'!$A:$AL,22,FALSE)+9,1)</f>
        <v>F</v>
      </c>
      <c r="AA382" s="102" t="str">
        <f>MID(VLOOKUP($A382,Seqs!$A:$B,2,FALSE),VLOOKUP($A382,'NonXtal_SegEnds_Prot#'!$A:$AL,22,FALSE)+10,1)</f>
        <v>A</v>
      </c>
      <c r="AB382" s="71" t="str">
        <f>MID(VLOOKUP($A382,Seqs!$A:$B,2,FALSE),VLOOKUP($A382,'NonXtal_SegEnds_Prot#'!$A:$AL,28,FALSE)-4,1)</f>
        <v>G</v>
      </c>
      <c r="AC382" s="102" t="str">
        <f>MID(VLOOKUP($A382,Seqs!$A:$B,2,FALSE),VLOOKUP($A382,'NonXtal_SegEnds_Prot#'!$A:$AL,28,FALSE),1)</f>
        <v>F</v>
      </c>
    </row>
    <row r="383" spans="1:29" s="2" customFormat="1" x14ac:dyDescent="0.2">
      <c r="A383" s="2" t="s">
        <v>652</v>
      </c>
      <c r="B383" s="2" t="str">
        <f>LOWER(VLOOKUP(A383,Xtal_Templ!A:B,2,FALSE))</f>
        <v>5ht2b_human</v>
      </c>
      <c r="C383" s="2" t="str">
        <f>VLOOKUP(A383,Classification!A:D,2,FALSE)</f>
        <v>T</v>
      </c>
      <c r="R383" s="71" t="str">
        <f>MID(VLOOKUP($A383,Seqs!$A:$B,2,FALSE),VLOOKUP($A383,'NonXtal_SegEnds_Prot#'!A:AL,10,FALSE),1)</f>
        <v>R</v>
      </c>
      <c r="S383" s="102" t="str">
        <f>MID(VLOOKUP($A383,Seqs!$A:$B,2,FALSE),VLOOKUP($A383,'NonXtal_SegEnds_Prot#'!A:AL,10,FALSE)+6,1)</f>
        <v>E</v>
      </c>
      <c r="T383" s="102" t="str">
        <f>MID(VLOOKUP($A383,Seqs!$A:$B,2,FALSE),VLOOKUP($A383,'NonXtal_SegEnds_Prot#'!A:AL,10,FALSE)+7,1)</f>
        <v>I</v>
      </c>
      <c r="U383" s="102" t="str">
        <f>MID(VLOOKUP($A383,Seqs!$A:$B,2,FALSE),VLOOKUP($A383,'NonXtal_SegEnds_Prot#'!A:AL,10,FALSE)+8,1)</f>
        <v>L</v>
      </c>
      <c r="V383" s="102" t="str">
        <f>MID(VLOOKUP($A383,Seqs!$A:$B,2,FALSE),VLOOKUP($A383,'NonXtal_SegEnds_Prot#'!A:AL,10,FALSE)+9,1)</f>
        <v>V</v>
      </c>
      <c r="W383" s="71" t="str">
        <f>MID(VLOOKUP($A383,Seqs!$A:$B,2,FALSE),VLOOKUP($A383,'NonXtal_SegEnds_Prot#'!$A:$AL,22,FALSE)+6,1)</f>
        <v>F</v>
      </c>
      <c r="X383" s="102" t="str">
        <f>MID(VLOOKUP($A383,Seqs!$A:$B,2,FALSE),VLOOKUP($A383,'NonXtal_SegEnds_Prot#'!$A:$AL,22,FALSE)+7,1)</f>
        <v>L</v>
      </c>
      <c r="Y383" s="102" t="str">
        <f>MID(VLOOKUP($A383,Seqs!$A:$B,2,FALSE),VLOOKUP($A383,'NonXtal_SegEnds_Prot#'!$A:$AL,22,FALSE)+8,1)</f>
        <v>N</v>
      </c>
      <c r="Z383" s="102" t="str">
        <f>MID(VLOOKUP($A383,Seqs!$A:$B,2,FALSE),VLOOKUP($A383,'NonXtal_SegEnds_Prot#'!$A:$AL,22,FALSE)+9,1)</f>
        <v>L</v>
      </c>
      <c r="AA383" s="102" t="str">
        <f>MID(VLOOKUP($A383,Seqs!$A:$B,2,FALSE),VLOOKUP($A383,'NonXtal_SegEnds_Prot#'!$A:$AL,22,FALSE)+10,1)</f>
        <v>I</v>
      </c>
      <c r="AB383" s="71" t="str">
        <f>MID(VLOOKUP($A383,Seqs!$A:$B,2,FALSE),VLOOKUP($A383,'NonXtal_SegEnds_Prot#'!$A:$AL,28,FALSE)-4,1)</f>
        <v>F</v>
      </c>
      <c r="AC383" s="102" t="str">
        <f>MID(VLOOKUP($A383,Seqs!$A:$B,2,FALSE),VLOOKUP($A383,'NonXtal_SegEnds_Prot#'!$A:$AL,28,FALSE),1)</f>
        <v>P</v>
      </c>
    </row>
    <row r="384" spans="1:29" s="2" customFormat="1" x14ac:dyDescent="0.2">
      <c r="A384" s="2" t="s">
        <v>653</v>
      </c>
      <c r="B384" s="2" t="str">
        <f>LOWER(VLOOKUP(A384,Xtal_Templ!A:B,2,FALSE))</f>
        <v>p2ry1_human</v>
      </c>
      <c r="C384" s="2" t="str">
        <f>VLOOKUP(A384,Classification!A:D,2,FALSE)</f>
        <v>T</v>
      </c>
      <c r="R384" s="71" t="str">
        <f>MID(VLOOKUP($A384,Seqs!$A:$B,2,FALSE),VLOOKUP($A384,'NonXtal_SegEnds_Prot#'!A:AL,10,FALSE),1)</f>
        <v>R</v>
      </c>
      <c r="S384" s="102" t="str">
        <f>MID(VLOOKUP($A384,Seqs!$A:$B,2,FALSE),VLOOKUP($A384,'NonXtal_SegEnds_Prot#'!A:AL,10,FALSE)+6,1)</f>
        <v>L</v>
      </c>
      <c r="T384" s="102" t="str">
        <f>MID(VLOOKUP($A384,Seqs!$A:$B,2,FALSE),VLOOKUP($A384,'NonXtal_SegEnds_Prot#'!A:AL,10,FALSE)+7,1)</f>
        <v>I</v>
      </c>
      <c r="U384" s="102" t="str">
        <f>MID(VLOOKUP($A384,Seqs!$A:$B,2,FALSE),VLOOKUP($A384,'NonXtal_SegEnds_Prot#'!A:AL,10,FALSE)+8,1)</f>
        <v>F</v>
      </c>
      <c r="V384" s="102" t="str">
        <f>MID(VLOOKUP($A384,Seqs!$A:$B,2,FALSE),VLOOKUP($A384,'NonXtal_SegEnds_Prot#'!A:AL,10,FALSE)+9,1)</f>
        <v>G</v>
      </c>
      <c r="W384" s="71" t="str">
        <f>MID(VLOOKUP($A384,Seqs!$A:$B,2,FALSE),VLOOKUP($A384,'NonXtal_SegEnds_Prot#'!$A:$AL,22,FALSE)+6,1)</f>
        <v>F</v>
      </c>
      <c r="X384" s="102" t="str">
        <f>MID(VLOOKUP($A384,Seqs!$A:$B,2,FALSE),VLOOKUP($A384,'NonXtal_SegEnds_Prot#'!$A:$AL,22,FALSE)+7,1)</f>
        <v>L</v>
      </c>
      <c r="Y384" s="102" t="str">
        <f>MID(VLOOKUP($A384,Seqs!$A:$B,2,FALSE),VLOOKUP($A384,'NonXtal_SegEnds_Prot#'!$A:$AL,22,FALSE)+8,1)</f>
        <v>N</v>
      </c>
      <c r="Z384" s="102" t="str">
        <f>MID(VLOOKUP($A384,Seqs!$A:$B,2,FALSE),VLOOKUP($A384,'NonXtal_SegEnds_Prot#'!$A:$AL,22,FALSE)+9,1)</f>
        <v>I</v>
      </c>
      <c r="AA384" s="102" t="str">
        <f>MID(VLOOKUP($A384,Seqs!$A:$B,2,FALSE),VLOOKUP($A384,'NonXtal_SegEnds_Prot#'!$A:$AL,22,FALSE)+10,1)</f>
        <v>A</v>
      </c>
      <c r="AB384" s="71" t="str">
        <f>MID(VLOOKUP($A384,Seqs!$A:$B,2,FALSE),VLOOKUP($A384,'NonXtal_SegEnds_Prot#'!$A:$AL,28,FALSE)-4,1)</f>
        <v>F</v>
      </c>
      <c r="AC384" s="102" t="str">
        <f>MID(VLOOKUP($A384,Seqs!$A:$B,2,FALSE),VLOOKUP($A384,'NonXtal_SegEnds_Prot#'!$A:$AL,28,FALSE),1)</f>
        <v>P</v>
      </c>
    </row>
    <row r="385" spans="1:29" s="2" customFormat="1" x14ac:dyDescent="0.2">
      <c r="A385" s="2" t="s">
        <v>654</v>
      </c>
      <c r="B385" s="2" t="str">
        <f>LOWER(VLOOKUP(A385,Xtal_Templ!A:B,2,FALSE))</f>
        <v>ox2r_human</v>
      </c>
      <c r="C385" s="2" t="str">
        <f>VLOOKUP(A385,Classification!A:D,2,FALSE)</f>
        <v>T</v>
      </c>
      <c r="R385" s="71" t="str">
        <f>MID(VLOOKUP($A385,Seqs!$A:$B,2,FALSE),VLOOKUP($A385,'NonXtal_SegEnds_Prot#'!A:AL,10,FALSE),1)</f>
        <v>R</v>
      </c>
      <c r="S385" s="102" t="str">
        <f>MID(VLOOKUP($A385,Seqs!$A:$B,2,FALSE),VLOOKUP($A385,'NonXtal_SegEnds_Prot#'!A:AL,10,FALSE)+6,1)</f>
        <v>A</v>
      </c>
      <c r="T385" s="102" t="str">
        <f>MID(VLOOKUP($A385,Seqs!$A:$B,2,FALSE),VLOOKUP($A385,'NonXtal_SegEnds_Prot#'!A:AL,10,FALSE)+7,1)</f>
        <v>S</v>
      </c>
      <c r="U385" s="102" t="str">
        <f>MID(VLOOKUP($A385,Seqs!$A:$B,2,FALSE),VLOOKUP($A385,'NonXtal_SegEnds_Prot#'!A:AL,10,FALSE)+8,1)</f>
        <v>M</v>
      </c>
      <c r="V385" s="102" t="str">
        <f>MID(VLOOKUP($A385,Seqs!$A:$B,2,FALSE),VLOOKUP($A385,'NonXtal_SegEnds_Prot#'!A:AL,10,FALSE)+9,1)</f>
        <v>L</v>
      </c>
      <c r="W385" s="71" t="str">
        <f>MID(VLOOKUP($A385,Seqs!$A:$B,2,FALSE),VLOOKUP($A385,'NonXtal_SegEnds_Prot#'!$A:$AL,22,FALSE)+6,1)</f>
        <v>C</v>
      </c>
      <c r="X385" s="102" t="str">
        <f>MID(VLOOKUP($A385,Seqs!$A:$B,2,FALSE),VLOOKUP($A385,'NonXtal_SegEnds_Prot#'!$A:$AL,22,FALSE)+7,1)</f>
        <v>V</v>
      </c>
      <c r="Y385" s="102" t="str">
        <f>MID(VLOOKUP($A385,Seqs!$A:$B,2,FALSE),VLOOKUP($A385,'NonXtal_SegEnds_Prot#'!$A:$AL,22,FALSE)+8,1)</f>
        <v>T</v>
      </c>
      <c r="Z385" s="102" t="str">
        <f>MID(VLOOKUP($A385,Seqs!$A:$B,2,FALSE),VLOOKUP($A385,'NonXtal_SegEnds_Prot#'!$A:$AL,22,FALSE)+9,1)</f>
        <v>I</v>
      </c>
      <c r="AA385" s="102" t="str">
        <f>MID(VLOOKUP($A385,Seqs!$A:$B,2,FALSE),VLOOKUP($A385,'NonXtal_SegEnds_Prot#'!$A:$AL,22,FALSE)+10,1)</f>
        <v>I</v>
      </c>
      <c r="AB385" s="71" t="str">
        <f>MID(VLOOKUP($A385,Seqs!$A:$B,2,FALSE),VLOOKUP($A385,'NonXtal_SegEnds_Prot#'!$A:$AL,28,FALSE)-4,1)</f>
        <v>A</v>
      </c>
      <c r="AC385" s="102" t="str">
        <f>MID(VLOOKUP($A385,Seqs!$A:$B,2,FALSE),VLOOKUP($A385,'NonXtal_SegEnds_Prot#'!$A:$AL,28,FALSE),1)</f>
        <v>P</v>
      </c>
    </row>
    <row r="386" spans="1:29" s="2" customFormat="1" x14ac:dyDescent="0.2">
      <c r="A386" s="2" t="s">
        <v>655</v>
      </c>
      <c r="B386" s="2" t="str">
        <f>LOWER(VLOOKUP(A386,Xtal_Templ!A:B,2,FALSE))</f>
        <v>agtr1_human</v>
      </c>
      <c r="C386" s="2" t="str">
        <f>VLOOKUP(A386,Classification!A:D,2,FALSE)</f>
        <v>T</v>
      </c>
      <c r="R386" s="71" t="str">
        <f>MID(VLOOKUP($A386,Seqs!$A:$B,2,FALSE),VLOOKUP($A386,'NonXtal_SegEnds_Prot#'!A:AL,10,FALSE),1)</f>
        <v>R</v>
      </c>
      <c r="S386" s="102" t="str">
        <f>MID(VLOOKUP($A386,Seqs!$A:$B,2,FALSE),VLOOKUP($A386,'NonXtal_SegEnds_Prot#'!A:AL,10,FALSE)+6,1)</f>
        <v>V</v>
      </c>
      <c r="T386" s="102" t="str">
        <f>MID(VLOOKUP($A386,Seqs!$A:$B,2,FALSE),VLOOKUP($A386,'NonXtal_SegEnds_Prot#'!A:AL,10,FALSE)+7,1)</f>
        <v>M</v>
      </c>
      <c r="U386" s="102" t="str">
        <f>MID(VLOOKUP($A386,Seqs!$A:$B,2,FALSE),VLOOKUP($A386,'NonXtal_SegEnds_Prot#'!A:AL,10,FALSE)+8,1)</f>
        <v>L</v>
      </c>
      <c r="V386" s="102" t="str">
        <f>MID(VLOOKUP($A386,Seqs!$A:$B,2,FALSE),VLOOKUP($A386,'NonXtal_SegEnds_Prot#'!A:AL,10,FALSE)+9,1)</f>
        <v>F</v>
      </c>
      <c r="W386" s="71" t="str">
        <f>MID(VLOOKUP($A386,Seqs!$A:$B,2,FALSE),VLOOKUP($A386,'NonXtal_SegEnds_Prot#'!$A:$AL,22,FALSE)+6,1)</f>
        <v>I</v>
      </c>
      <c r="X386" s="102" t="str">
        <f>MID(VLOOKUP($A386,Seqs!$A:$B,2,FALSE),VLOOKUP($A386,'NonXtal_SegEnds_Prot#'!$A:$AL,22,FALSE)+7,1)</f>
        <v>C</v>
      </c>
      <c r="Y386" s="102" t="str">
        <f>MID(VLOOKUP($A386,Seqs!$A:$B,2,FALSE),VLOOKUP($A386,'NonXtal_SegEnds_Prot#'!$A:$AL,22,FALSE)+8,1)</f>
        <v>N</v>
      </c>
      <c r="Z386" s="102" t="str">
        <f>MID(VLOOKUP($A386,Seqs!$A:$B,2,FALSE),VLOOKUP($A386,'NonXtal_SegEnds_Prot#'!$A:$AL,22,FALSE)+9,1)</f>
        <v>L</v>
      </c>
      <c r="AA386" s="102" t="str">
        <f>MID(VLOOKUP($A386,Seqs!$A:$B,2,FALSE),VLOOKUP($A386,'NonXtal_SegEnds_Prot#'!$A:$AL,22,FALSE)+10,1)</f>
        <v>A</v>
      </c>
      <c r="AB386" s="71" t="str">
        <f>MID(VLOOKUP($A386,Seqs!$A:$B,2,FALSE),VLOOKUP($A386,'NonXtal_SegEnds_Prot#'!$A:$AL,28,FALSE)-4,1)</f>
        <v>A</v>
      </c>
      <c r="AC386" s="102" t="str">
        <f>MID(VLOOKUP($A386,Seqs!$A:$B,2,FALSE),VLOOKUP($A386,'NonXtal_SegEnds_Prot#'!$A:$AL,28,FALSE),1)</f>
        <v>P</v>
      </c>
    </row>
    <row r="387" spans="1:29" s="2" customFormat="1" x14ac:dyDescent="0.2">
      <c r="A387" s="2" t="s">
        <v>656</v>
      </c>
      <c r="B387" s="2" t="str">
        <f>LOWER(VLOOKUP(A387,Xtal_Templ!A:B,2,FALSE))</f>
        <v>agtr1_human</v>
      </c>
      <c r="C387" s="2" t="str">
        <f>VLOOKUP(A387,Classification!A:D,2,FALSE)</f>
        <v>T</v>
      </c>
      <c r="R387" s="71" t="str">
        <f>MID(VLOOKUP($A387,Seqs!$A:$B,2,FALSE),VLOOKUP($A387,'NonXtal_SegEnds_Prot#'!A:AL,10,FALSE),1)</f>
        <v>R</v>
      </c>
      <c r="S387" s="102" t="str">
        <f>MID(VLOOKUP($A387,Seqs!$A:$B,2,FALSE),VLOOKUP($A387,'NonXtal_SegEnds_Prot#'!A:AL,10,FALSE)+6,1)</f>
        <v>V</v>
      </c>
      <c r="T387" s="102" t="str">
        <f>MID(VLOOKUP($A387,Seqs!$A:$B,2,FALSE),VLOOKUP($A387,'NonXtal_SegEnds_Prot#'!A:AL,10,FALSE)+7,1)</f>
        <v>I</v>
      </c>
      <c r="U387" s="102" t="str">
        <f>MID(VLOOKUP($A387,Seqs!$A:$B,2,FALSE),VLOOKUP($A387,'NonXtal_SegEnds_Prot#'!A:AL,10,FALSE)+8,1)</f>
        <v>L</v>
      </c>
      <c r="V387" s="102" t="str">
        <f>MID(VLOOKUP($A387,Seqs!$A:$B,2,FALSE),VLOOKUP($A387,'NonXtal_SegEnds_Prot#'!A:AL,10,FALSE)+9,1)</f>
        <v>L</v>
      </c>
      <c r="W387" s="71" t="str">
        <f>MID(VLOOKUP($A387,Seqs!$A:$B,2,FALSE),VLOOKUP($A387,'NonXtal_SegEnds_Prot#'!$A:$AL,22,FALSE)+6,1)</f>
        <v>V</v>
      </c>
      <c r="X387" s="102" t="str">
        <f>MID(VLOOKUP($A387,Seqs!$A:$B,2,FALSE),VLOOKUP($A387,'NonXtal_SegEnds_Prot#'!$A:$AL,22,FALSE)+7,1)</f>
        <v>C</v>
      </c>
      <c r="Y387" s="102" t="str">
        <f>MID(VLOOKUP($A387,Seqs!$A:$B,2,FALSE),VLOOKUP($A387,'NonXtal_SegEnds_Prot#'!$A:$AL,22,FALSE)+8,1)</f>
        <v>H</v>
      </c>
      <c r="Z387" s="102" t="str">
        <f>MID(VLOOKUP($A387,Seqs!$A:$B,2,FALSE),VLOOKUP($A387,'NonXtal_SegEnds_Prot#'!$A:$AL,22,FALSE)+9,1)</f>
        <v>L</v>
      </c>
      <c r="AA387" s="102" t="str">
        <f>MID(VLOOKUP($A387,Seqs!$A:$B,2,FALSE),VLOOKUP($A387,'NonXtal_SegEnds_Prot#'!$A:$AL,22,FALSE)+10,1)</f>
        <v>V</v>
      </c>
      <c r="AB387" s="71" t="str">
        <f>MID(VLOOKUP($A387,Seqs!$A:$B,2,FALSE),VLOOKUP($A387,'NonXtal_SegEnds_Prot#'!$A:$AL,28,FALSE)-4,1)</f>
        <v>A</v>
      </c>
      <c r="AC387" s="102" t="str">
        <f>MID(VLOOKUP($A387,Seqs!$A:$B,2,FALSE),VLOOKUP($A387,'NonXtal_SegEnds_Prot#'!$A:$AL,28,FALSE),1)</f>
        <v>P</v>
      </c>
    </row>
    <row r="388" spans="1:29" s="2" customFormat="1" x14ac:dyDescent="0.2">
      <c r="A388" s="2" t="s">
        <v>657</v>
      </c>
      <c r="B388" s="2" t="str">
        <f>LOWER(VLOOKUP(A388,Xtal_Templ!A:B,2,FALSE))</f>
        <v>agtr1_human</v>
      </c>
      <c r="C388" s="2" t="str">
        <f>VLOOKUP(A388,Classification!A:D,2,FALSE)</f>
        <v>T</v>
      </c>
      <c r="R388" s="71" t="str">
        <f>MID(VLOOKUP($A388,Seqs!$A:$B,2,FALSE),VLOOKUP($A388,'NonXtal_SegEnds_Prot#'!A:AL,10,FALSE),1)</f>
        <v>R</v>
      </c>
      <c r="S388" s="102" t="str">
        <f>MID(VLOOKUP($A388,Seqs!$A:$B,2,FALSE),VLOOKUP($A388,'NonXtal_SegEnds_Prot#'!A:AL,10,FALSE)+6,1)</f>
        <v>V</v>
      </c>
      <c r="T388" s="102" t="str">
        <f>MID(VLOOKUP($A388,Seqs!$A:$B,2,FALSE),VLOOKUP($A388,'NonXtal_SegEnds_Prot#'!A:AL,10,FALSE)+7,1)</f>
        <v>L</v>
      </c>
      <c r="U388" s="102" t="str">
        <f>MID(VLOOKUP($A388,Seqs!$A:$B,2,FALSE),VLOOKUP($A388,'NonXtal_SegEnds_Prot#'!A:AL,10,FALSE)+8,1)</f>
        <v>L</v>
      </c>
      <c r="V388" s="102" t="str">
        <f>MID(VLOOKUP($A388,Seqs!$A:$B,2,FALSE),VLOOKUP($A388,'NonXtal_SegEnds_Prot#'!A:AL,10,FALSE)+9,1)</f>
        <v>L</v>
      </c>
      <c r="W388" s="71" t="str">
        <f>MID(VLOOKUP($A388,Seqs!$A:$B,2,FALSE),VLOOKUP($A388,'NonXtal_SegEnds_Prot#'!$A:$AL,22,FALSE)+6,1)</f>
        <v>V</v>
      </c>
      <c r="X388" s="102" t="str">
        <f>MID(VLOOKUP($A388,Seqs!$A:$B,2,FALSE),VLOOKUP($A388,'NonXtal_SegEnds_Prot#'!$A:$AL,22,FALSE)+7,1)</f>
        <v>C</v>
      </c>
      <c r="Y388" s="102" t="str">
        <f>MID(VLOOKUP($A388,Seqs!$A:$B,2,FALSE),VLOOKUP($A388,'NonXtal_SegEnds_Prot#'!$A:$AL,22,FALSE)+8,1)</f>
        <v>H</v>
      </c>
      <c r="Z388" s="102" t="str">
        <f>MID(VLOOKUP($A388,Seqs!$A:$B,2,FALSE),VLOOKUP($A388,'NonXtal_SegEnds_Prot#'!$A:$AL,22,FALSE)+9,1)</f>
        <v>L</v>
      </c>
      <c r="AA388" s="102" t="str">
        <f>MID(VLOOKUP($A388,Seqs!$A:$B,2,FALSE),VLOOKUP($A388,'NonXtal_SegEnds_Prot#'!$A:$AL,22,FALSE)+10,1)</f>
        <v>F</v>
      </c>
      <c r="AB388" s="71" t="str">
        <f>MID(VLOOKUP($A388,Seqs!$A:$B,2,FALSE),VLOOKUP($A388,'NonXtal_SegEnds_Prot#'!$A:$AL,28,FALSE)-4,1)</f>
        <v>A</v>
      </c>
      <c r="AC388" s="102" t="str">
        <f>MID(VLOOKUP($A388,Seqs!$A:$B,2,FALSE),VLOOKUP($A388,'NonXtal_SegEnds_Prot#'!$A:$AL,28,FALSE),1)</f>
        <v>P</v>
      </c>
    </row>
    <row r="389" spans="1:29" s="2" customFormat="1" x14ac:dyDescent="0.2">
      <c r="A389" s="2" t="s">
        <v>658</v>
      </c>
      <c r="B389" s="2" t="str">
        <f>LOWER(VLOOKUP(A389,Xtal_Templ!A:B,2,FALSE))</f>
        <v>agtr1_human</v>
      </c>
      <c r="C389" s="2" t="str">
        <f>VLOOKUP(A389,Classification!A:D,2,FALSE)</f>
        <v>T</v>
      </c>
      <c r="R389" s="71" t="str">
        <f>MID(VLOOKUP($A389,Seqs!$A:$B,2,FALSE),VLOOKUP($A389,'NonXtal_SegEnds_Prot#'!A:AL,10,FALSE),1)</f>
        <v>R</v>
      </c>
      <c r="S389" s="102" t="str">
        <f>MID(VLOOKUP($A389,Seqs!$A:$B,2,FALSE),VLOOKUP($A389,'NonXtal_SegEnds_Prot#'!A:AL,10,FALSE)+6,1)</f>
        <v>V</v>
      </c>
      <c r="T389" s="102" t="str">
        <f>MID(VLOOKUP($A389,Seqs!$A:$B,2,FALSE),VLOOKUP($A389,'NonXtal_SegEnds_Prot#'!A:AL,10,FALSE)+7,1)</f>
        <v>L</v>
      </c>
      <c r="U389" s="102" t="str">
        <f>MID(VLOOKUP($A389,Seqs!$A:$B,2,FALSE),VLOOKUP($A389,'NonXtal_SegEnds_Prot#'!A:AL,10,FALSE)+8,1)</f>
        <v>L</v>
      </c>
      <c r="V389" s="102" t="str">
        <f>MID(VLOOKUP($A389,Seqs!$A:$B,2,FALSE),VLOOKUP($A389,'NonXtal_SegEnds_Prot#'!A:AL,10,FALSE)+9,1)</f>
        <v>L</v>
      </c>
      <c r="W389" s="71" t="str">
        <f>MID(VLOOKUP($A389,Seqs!$A:$B,2,FALSE),VLOOKUP($A389,'NonXtal_SegEnds_Prot#'!$A:$AL,22,FALSE)+6,1)</f>
        <v>A</v>
      </c>
      <c r="X389" s="102" t="str">
        <f>MID(VLOOKUP($A389,Seqs!$A:$B,2,FALSE),VLOOKUP($A389,'NonXtal_SegEnds_Prot#'!$A:$AL,22,FALSE)+7,1)</f>
        <v>C</v>
      </c>
      <c r="Y389" s="102" t="str">
        <f>MID(VLOOKUP($A389,Seqs!$A:$B,2,FALSE),VLOOKUP($A389,'NonXtal_SegEnds_Prot#'!$A:$AL,22,FALSE)+8,1)</f>
        <v>Q</v>
      </c>
      <c r="Z389" s="102" t="str">
        <f>MID(VLOOKUP($A389,Seqs!$A:$B,2,FALSE),VLOOKUP($A389,'NonXtal_SegEnds_Prot#'!$A:$AL,22,FALSE)+9,1)</f>
        <v>L</v>
      </c>
      <c r="AA389" s="102" t="str">
        <f>MID(VLOOKUP($A389,Seqs!$A:$B,2,FALSE),VLOOKUP($A389,'NonXtal_SegEnds_Prot#'!$A:$AL,22,FALSE)+10,1)</f>
        <v>F</v>
      </c>
      <c r="AB389" s="71" t="str">
        <f>MID(VLOOKUP($A389,Seqs!$A:$B,2,FALSE),VLOOKUP($A389,'NonXtal_SegEnds_Prot#'!$A:$AL,28,FALSE)-4,1)</f>
        <v>G</v>
      </c>
      <c r="AC389" s="102" t="str">
        <f>MID(VLOOKUP($A389,Seqs!$A:$B,2,FALSE),VLOOKUP($A389,'NonXtal_SegEnds_Prot#'!$A:$AL,28,FALSE),1)</f>
        <v>P</v>
      </c>
    </row>
    <row r="390" spans="1:29" s="2" customFormat="1" x14ac:dyDescent="0.2">
      <c r="A390" s="2" t="s">
        <v>659</v>
      </c>
      <c r="B390" s="2" t="str">
        <f>LOWER(VLOOKUP(A390,Xtal_Templ!A:B,2,FALSE))</f>
        <v>agtr1_human</v>
      </c>
      <c r="C390" s="2" t="str">
        <f>VLOOKUP(A390,Classification!A:D,2,FALSE)</f>
        <v>T</v>
      </c>
      <c r="R390" s="71" t="str">
        <f>MID(VLOOKUP($A390,Seqs!$A:$B,2,FALSE),VLOOKUP($A390,'NonXtal_SegEnds_Prot#'!A:AL,10,FALSE),1)</f>
        <v>R</v>
      </c>
      <c r="S390" s="102" t="str">
        <f>MID(VLOOKUP($A390,Seqs!$A:$B,2,FALSE),VLOOKUP($A390,'NonXtal_SegEnds_Prot#'!A:AL,10,FALSE)+6,1)</f>
        <v>L</v>
      </c>
      <c r="T390" s="102" t="str">
        <f>MID(VLOOKUP($A390,Seqs!$A:$B,2,FALSE),VLOOKUP($A390,'NonXtal_SegEnds_Prot#'!A:AL,10,FALSE)+7,1)</f>
        <v>L</v>
      </c>
      <c r="U390" s="102" t="str">
        <f>MID(VLOOKUP($A390,Seqs!$A:$B,2,FALSE),VLOOKUP($A390,'NonXtal_SegEnds_Prot#'!A:AL,10,FALSE)+8,1)</f>
        <v>F</v>
      </c>
      <c r="V390" s="102" t="str">
        <f>MID(VLOOKUP($A390,Seqs!$A:$B,2,FALSE),VLOOKUP($A390,'NonXtal_SegEnds_Prot#'!A:AL,10,FALSE)+9,1)</f>
        <v>L</v>
      </c>
      <c r="W390" s="71" t="str">
        <f>MID(VLOOKUP($A390,Seqs!$A:$B,2,FALSE),VLOOKUP($A390,'NonXtal_SegEnds_Prot#'!$A:$AL,22,FALSE)+6,1)</f>
        <v>C</v>
      </c>
      <c r="X390" s="102" t="str">
        <f>MID(VLOOKUP($A390,Seqs!$A:$B,2,FALSE),VLOOKUP($A390,'NonXtal_SegEnds_Prot#'!$A:$AL,22,FALSE)+7,1)</f>
        <v>I</v>
      </c>
      <c r="Y390" s="102" t="str">
        <f>MID(VLOOKUP($A390,Seqs!$A:$B,2,FALSE),VLOOKUP($A390,'NonXtal_SegEnds_Prot#'!$A:$AL,22,FALSE)+8,1)</f>
        <v>C</v>
      </c>
      <c r="Z390" s="102" t="str">
        <f>MID(VLOOKUP($A390,Seqs!$A:$B,2,FALSE),VLOOKUP($A390,'NonXtal_SegEnds_Prot#'!$A:$AL,22,FALSE)+9,1)</f>
        <v>T</v>
      </c>
      <c r="AA390" s="102" t="str">
        <f>MID(VLOOKUP($A390,Seqs!$A:$B,2,FALSE),VLOOKUP($A390,'NonXtal_SegEnds_Prot#'!$A:$AL,22,FALSE)+10,1)</f>
        <v>V</v>
      </c>
      <c r="AB390" s="71" t="str">
        <f>MID(VLOOKUP($A390,Seqs!$A:$B,2,FALSE),VLOOKUP($A390,'NonXtal_SegEnds_Prot#'!$A:$AL,28,FALSE)-4,1)</f>
        <v>W</v>
      </c>
      <c r="AC390" s="102" t="str">
        <f>MID(VLOOKUP($A390,Seqs!$A:$B,2,FALSE),VLOOKUP($A390,'NonXtal_SegEnds_Prot#'!$A:$AL,28,FALSE),1)</f>
        <v>P</v>
      </c>
    </row>
    <row r="391" spans="1:29" s="2" customFormat="1" x14ac:dyDescent="0.2">
      <c r="A391" s="2" t="s">
        <v>660</v>
      </c>
      <c r="B391" s="2" t="str">
        <f>LOWER(VLOOKUP(A391,Xtal_Templ!A:B,2,FALSE))</f>
        <v>acm3_rat</v>
      </c>
      <c r="C391" s="2" t="str">
        <f>VLOOKUP(A391,Classification!A:D,2,FALSE)</f>
        <v>T</v>
      </c>
      <c r="R391" s="71" t="str">
        <f>MID(VLOOKUP($A391,Seqs!$A:$B,2,FALSE),VLOOKUP($A391,'NonXtal_SegEnds_Prot#'!A:AL,10,FALSE),1)</f>
        <v>R</v>
      </c>
      <c r="S391" s="102" t="str">
        <f>MID(VLOOKUP($A391,Seqs!$A:$B,2,FALSE),VLOOKUP($A391,'NonXtal_SegEnds_Prot#'!A:AL,10,FALSE)+6,1)</f>
        <v>L</v>
      </c>
      <c r="T391" s="102" t="str">
        <f>MID(VLOOKUP($A391,Seqs!$A:$B,2,FALSE),VLOOKUP($A391,'NonXtal_SegEnds_Prot#'!A:AL,10,FALSE)+7,1)</f>
        <v>M</v>
      </c>
      <c r="U391" s="102" t="str">
        <f>MID(VLOOKUP($A391,Seqs!$A:$B,2,FALSE),VLOOKUP($A391,'NonXtal_SegEnds_Prot#'!A:AL,10,FALSE)+8,1)</f>
        <v>M</v>
      </c>
      <c r="V391" s="102" t="str">
        <f>MID(VLOOKUP($A391,Seqs!$A:$B,2,FALSE),VLOOKUP($A391,'NonXtal_SegEnds_Prot#'!A:AL,10,FALSE)+9,1)</f>
        <v>L</v>
      </c>
      <c r="W391" s="71" t="str">
        <f>MID(VLOOKUP($A391,Seqs!$A:$B,2,FALSE),VLOOKUP($A391,'NonXtal_SegEnds_Prot#'!$A:$AL,22,FALSE)+6,1)</f>
        <v>F</v>
      </c>
      <c r="X391" s="102" t="str">
        <f>MID(VLOOKUP($A391,Seqs!$A:$B,2,FALSE),VLOOKUP($A391,'NonXtal_SegEnds_Prot#'!$A:$AL,22,FALSE)+7,1)</f>
        <v>S</v>
      </c>
      <c r="Y391" s="102" t="str">
        <f>MID(VLOOKUP($A391,Seqs!$A:$B,2,FALSE),VLOOKUP($A391,'NonXtal_SegEnds_Prot#'!$A:$AL,22,FALSE)+8,1)</f>
        <v>H</v>
      </c>
      <c r="Z391" s="102" t="str">
        <f>MID(VLOOKUP($A391,Seqs!$A:$B,2,FALSE),VLOOKUP($A391,'NonXtal_SegEnds_Prot#'!$A:$AL,22,FALSE)+9,1)</f>
        <v>S</v>
      </c>
      <c r="AA391" s="102" t="str">
        <f>MID(VLOOKUP($A391,Seqs!$A:$B,2,FALSE),VLOOKUP($A391,'NonXtal_SegEnds_Prot#'!$A:$AL,22,FALSE)+10,1)</f>
        <v>M</v>
      </c>
      <c r="AB391" s="71" t="str">
        <f>MID(VLOOKUP($A391,Seqs!$A:$B,2,FALSE),VLOOKUP($A391,'NonXtal_SegEnds_Prot#'!$A:$AL,28,FALSE)-4,1)</f>
        <v>G</v>
      </c>
      <c r="AC391" s="102" t="str">
        <f>MID(VLOOKUP($A391,Seqs!$A:$B,2,FALSE),VLOOKUP($A391,'NonXtal_SegEnds_Prot#'!$A:$AL,28,FALSE),1)</f>
        <v>P</v>
      </c>
    </row>
    <row r="392" spans="1:29" s="2" customFormat="1" x14ac:dyDescent="0.2">
      <c r="A392" s="2" t="s">
        <v>661</v>
      </c>
      <c r="B392" s="2" t="str">
        <f>LOWER(VLOOKUP(A392,Xtal_Templ!A:B,2,FALSE))</f>
        <v>oprm_mouse</v>
      </c>
      <c r="C392" s="2" t="str">
        <f>VLOOKUP(A392,Classification!A:D,2,FALSE)</f>
        <v>T</v>
      </c>
      <c r="R392" s="71" t="str">
        <f>MID(VLOOKUP($A392,Seqs!$A:$B,2,FALSE),VLOOKUP($A392,'NonXtal_SegEnds_Prot#'!A:AL,10,FALSE),1)</f>
        <v>R</v>
      </c>
      <c r="S392" s="102" t="str">
        <f>MID(VLOOKUP($A392,Seqs!$A:$B,2,FALSE),VLOOKUP($A392,'NonXtal_SegEnds_Prot#'!A:AL,10,FALSE)+6,1)</f>
        <v>W</v>
      </c>
      <c r="T392" s="102" t="str">
        <f>MID(VLOOKUP($A392,Seqs!$A:$B,2,FALSE),VLOOKUP($A392,'NonXtal_SegEnds_Prot#'!A:AL,10,FALSE)+7,1)</f>
        <v>M</v>
      </c>
      <c r="U392" s="102" t="str">
        <f>MID(VLOOKUP($A392,Seqs!$A:$B,2,FALSE),VLOOKUP($A392,'NonXtal_SegEnds_Prot#'!A:AL,10,FALSE)+8,1)</f>
        <v>M</v>
      </c>
      <c r="V392" s="102" t="str">
        <f>MID(VLOOKUP($A392,Seqs!$A:$B,2,FALSE),VLOOKUP($A392,'NonXtal_SegEnds_Prot#'!A:AL,10,FALSE)+9,1)</f>
        <v>L</v>
      </c>
      <c r="W392" s="71" t="str">
        <f>MID(VLOOKUP($A392,Seqs!$A:$B,2,FALSE),VLOOKUP($A392,'NonXtal_SegEnds_Prot#'!$A:$AL,22,FALSE)+6,1)</f>
        <v>L</v>
      </c>
      <c r="X392" s="102" t="str">
        <f>MID(VLOOKUP($A392,Seqs!$A:$B,2,FALSE),VLOOKUP($A392,'NonXtal_SegEnds_Prot#'!$A:$AL,22,FALSE)+7,1)</f>
        <v>S</v>
      </c>
      <c r="Y392" s="102" t="str">
        <f>MID(VLOOKUP($A392,Seqs!$A:$B,2,FALSE),VLOOKUP($A392,'NonXtal_SegEnds_Prot#'!$A:$AL,22,FALSE)+8,1)</f>
        <v>F</v>
      </c>
      <c r="Z392" s="102" t="str">
        <f>MID(VLOOKUP($A392,Seqs!$A:$B,2,FALSE),VLOOKUP($A392,'NonXtal_SegEnds_Prot#'!$A:$AL,22,FALSE)+9,1)</f>
        <v>S</v>
      </c>
      <c r="AA392" s="102" t="str">
        <f>MID(VLOOKUP($A392,Seqs!$A:$B,2,FALSE),VLOOKUP($A392,'NonXtal_SegEnds_Prot#'!$A:$AL,22,FALSE)+10,1)</f>
        <v>F</v>
      </c>
      <c r="AB392" s="71" t="str">
        <f>MID(VLOOKUP($A392,Seqs!$A:$B,2,FALSE),VLOOKUP($A392,'NonXtal_SegEnds_Prot#'!$A:$AL,28,FALSE)-4,1)</f>
        <v>G</v>
      </c>
      <c r="AC392" s="102" t="str">
        <f>MID(VLOOKUP($A392,Seqs!$A:$B,2,FALSE),VLOOKUP($A392,'NonXtal_SegEnds_Prot#'!$A:$AL,28,FALSE),1)</f>
        <v>P</v>
      </c>
    </row>
    <row r="393" spans="1:29" s="2" customFormat="1" x14ac:dyDescent="0.2">
      <c r="A393" s="2" t="s">
        <v>662</v>
      </c>
      <c r="B393" s="2" t="str">
        <f>LOWER(VLOOKUP(A393,Xtal_Templ!A:B,2,FALSE))</f>
        <v>agtr1_human</v>
      </c>
      <c r="C393" s="2" t="str">
        <f>VLOOKUP(A393,Classification!A:D,2,FALSE)</f>
        <v>T</v>
      </c>
      <c r="R393" s="71" t="str">
        <f>MID(VLOOKUP($A393,Seqs!$A:$B,2,FALSE),VLOOKUP($A393,'NonXtal_SegEnds_Prot#'!A:AL,10,FALSE),1)</f>
        <v>R</v>
      </c>
      <c r="S393" s="102" t="str">
        <f>MID(VLOOKUP($A393,Seqs!$A:$B,2,FALSE),VLOOKUP($A393,'NonXtal_SegEnds_Prot#'!A:AL,10,FALSE)+6,1)</f>
        <v>V</v>
      </c>
      <c r="T393" s="102" t="str">
        <f>MID(VLOOKUP($A393,Seqs!$A:$B,2,FALSE),VLOOKUP($A393,'NonXtal_SegEnds_Prot#'!A:AL,10,FALSE)+7,1)</f>
        <v>G</v>
      </c>
      <c r="U393" s="102" t="str">
        <f>MID(VLOOKUP($A393,Seqs!$A:$B,2,FALSE),VLOOKUP($A393,'NonXtal_SegEnds_Prot#'!A:AL,10,FALSE)+8,1)</f>
        <v>T</v>
      </c>
      <c r="V393" s="102" t="str">
        <f>MID(VLOOKUP($A393,Seqs!$A:$B,2,FALSE),VLOOKUP($A393,'NonXtal_SegEnds_Prot#'!A:AL,10,FALSE)+9,1)</f>
        <v>V</v>
      </c>
      <c r="W393" s="71" t="str">
        <f>MID(VLOOKUP($A393,Seqs!$A:$B,2,FALSE),VLOOKUP($A393,'NonXtal_SegEnds_Prot#'!$A:$AL,22,FALSE)+6,1)</f>
        <v>F</v>
      </c>
      <c r="X393" s="102" t="str">
        <f>MID(VLOOKUP($A393,Seqs!$A:$B,2,FALSE),VLOOKUP($A393,'NonXtal_SegEnds_Prot#'!$A:$AL,22,FALSE)+7,1)</f>
        <v>I</v>
      </c>
      <c r="Y393" s="102" t="str">
        <f>MID(VLOOKUP($A393,Seqs!$A:$B,2,FALSE),VLOOKUP($A393,'NonXtal_SegEnds_Prot#'!$A:$AL,22,FALSE)+8,1)</f>
        <v>I</v>
      </c>
      <c r="Z393" s="102" t="str">
        <f>MID(VLOOKUP($A393,Seqs!$A:$B,2,FALSE),VLOOKUP($A393,'NonXtal_SegEnds_Prot#'!$A:$AL,22,FALSE)+9,1)</f>
        <v>T</v>
      </c>
      <c r="AA393" s="102" t="str">
        <f>MID(VLOOKUP($A393,Seqs!$A:$B,2,FALSE),VLOOKUP($A393,'NonXtal_SegEnds_Prot#'!$A:$AL,22,FALSE)+10,1)</f>
        <v>L</v>
      </c>
      <c r="AB393" s="71" t="str">
        <f>MID(VLOOKUP($A393,Seqs!$A:$B,2,FALSE),VLOOKUP($A393,'NonXtal_SegEnds_Prot#'!$A:$AL,28,FALSE)-4,1)</f>
        <v>I</v>
      </c>
      <c r="AC393" s="102" t="str">
        <f>MID(VLOOKUP($A393,Seqs!$A:$B,2,FALSE),VLOOKUP($A393,'NonXtal_SegEnds_Prot#'!$A:$AL,28,FALSE),1)</f>
        <v>P</v>
      </c>
    </row>
    <row r="394" spans="1:29" s="2" customFormat="1" x14ac:dyDescent="0.2">
      <c r="A394" s="2" t="s">
        <v>663</v>
      </c>
      <c r="B394" s="2" t="str">
        <f>LOWER(VLOOKUP(A394,Xtal_Templ!A:B,2,FALSE))</f>
        <v>agtr1_human</v>
      </c>
      <c r="C394" s="2" t="str">
        <f>VLOOKUP(A394,Classification!A:D,2,FALSE)</f>
        <v>T</v>
      </c>
      <c r="R394" s="71" t="str">
        <f>MID(VLOOKUP($A394,Seqs!$A:$B,2,FALSE),VLOOKUP($A394,'NonXtal_SegEnds_Prot#'!A:AL,10,FALSE),1)</f>
        <v>T</v>
      </c>
      <c r="S394" s="102" t="str">
        <f>MID(VLOOKUP($A394,Seqs!$A:$B,2,FALSE),VLOOKUP($A394,'NonXtal_SegEnds_Prot#'!A:AL,10,FALSE)+6,1)</f>
        <v>V</v>
      </c>
      <c r="T394" s="102" t="str">
        <f>MID(VLOOKUP($A394,Seqs!$A:$B,2,FALSE),VLOOKUP($A394,'NonXtal_SegEnds_Prot#'!A:AL,10,FALSE)+7,1)</f>
        <v>I</v>
      </c>
      <c r="U394" s="102" t="str">
        <f>MID(VLOOKUP($A394,Seqs!$A:$B,2,FALSE),VLOOKUP($A394,'NonXtal_SegEnds_Prot#'!A:AL,10,FALSE)+8,1)</f>
        <v>L</v>
      </c>
      <c r="V394" s="102" t="str">
        <f>MID(VLOOKUP($A394,Seqs!$A:$B,2,FALSE),VLOOKUP($A394,'NonXtal_SegEnds_Prot#'!A:AL,10,FALSE)+9,1)</f>
        <v>F</v>
      </c>
      <c r="W394" s="71" t="str">
        <f>MID(VLOOKUP($A394,Seqs!$A:$B,2,FALSE),VLOOKUP($A394,'NonXtal_SegEnds_Prot#'!$A:$AL,22,FALSE)+6,1)</f>
        <v>I</v>
      </c>
      <c r="X394" s="102" t="str">
        <f>MID(VLOOKUP($A394,Seqs!$A:$B,2,FALSE),VLOOKUP($A394,'NonXtal_SegEnds_Prot#'!$A:$AL,22,FALSE)+7,1)</f>
        <v>F</v>
      </c>
      <c r="Y394" s="102" t="str">
        <f>MID(VLOOKUP($A394,Seqs!$A:$B,2,FALSE),VLOOKUP($A394,'NonXtal_SegEnds_Prot#'!$A:$AL,22,FALSE)+8,1)</f>
        <v>D</v>
      </c>
      <c r="Z394" s="102" t="str">
        <f>MID(VLOOKUP($A394,Seqs!$A:$B,2,FALSE),VLOOKUP($A394,'NonXtal_SegEnds_Prot#'!$A:$AL,22,FALSE)+9,1)</f>
        <v>S</v>
      </c>
      <c r="AA394" s="102" t="str">
        <f>MID(VLOOKUP($A394,Seqs!$A:$B,2,FALSE),VLOOKUP($A394,'NonXtal_SegEnds_Prot#'!$A:$AL,22,FALSE)+10,1)</f>
        <v>L</v>
      </c>
      <c r="AB394" s="71" t="str">
        <f>MID(VLOOKUP($A394,Seqs!$A:$B,2,FALSE),VLOOKUP($A394,'NonXtal_SegEnds_Prot#'!$A:$AL,28,FALSE)-4,1)</f>
        <v>T</v>
      </c>
      <c r="AC394" s="102" t="str">
        <f>MID(VLOOKUP($A394,Seqs!$A:$B,2,FALSE),VLOOKUP($A394,'NonXtal_SegEnds_Prot#'!$A:$AL,28,FALSE),1)</f>
        <v>P</v>
      </c>
    </row>
    <row r="395" spans="1:29" s="2" customFormat="1" x14ac:dyDescent="0.2">
      <c r="A395" s="2" t="s">
        <v>664</v>
      </c>
      <c r="B395" s="2" t="str">
        <f>LOWER(VLOOKUP(A395,Xtal_Templ!A:B,2,FALSE))</f>
        <v>agtr1_human</v>
      </c>
      <c r="C395" s="2" t="str">
        <f>VLOOKUP(A395,Classification!A:D,2,FALSE)</f>
        <v>T</v>
      </c>
      <c r="R395" s="71" t="str">
        <f>MID(VLOOKUP($A395,Seqs!$A:$B,2,FALSE),VLOOKUP($A395,'NonXtal_SegEnds_Prot#'!A:AL,10,FALSE),1)</f>
        <v>R</v>
      </c>
      <c r="S395" s="102" t="str">
        <f>MID(VLOOKUP($A395,Seqs!$A:$B,2,FALSE),VLOOKUP($A395,'NonXtal_SegEnds_Prot#'!A:AL,10,FALSE)+6,1)</f>
        <v>V</v>
      </c>
      <c r="T395" s="102" t="str">
        <f>MID(VLOOKUP($A395,Seqs!$A:$B,2,FALSE),VLOOKUP($A395,'NonXtal_SegEnds_Prot#'!A:AL,10,FALSE)+7,1)</f>
        <v>L</v>
      </c>
      <c r="U395" s="102" t="str">
        <f>MID(VLOOKUP($A395,Seqs!$A:$B,2,FALSE),VLOOKUP($A395,'NonXtal_SegEnds_Prot#'!A:AL,10,FALSE)+8,1)</f>
        <v>L</v>
      </c>
      <c r="V395" s="102" t="str">
        <f>MID(VLOOKUP($A395,Seqs!$A:$B,2,FALSE),VLOOKUP($A395,'NonXtal_SegEnds_Prot#'!A:AL,10,FALSE)+9,1)</f>
        <v>L</v>
      </c>
      <c r="W395" s="71" t="str">
        <f>MID(VLOOKUP($A395,Seqs!$A:$B,2,FALSE),VLOOKUP($A395,'NonXtal_SegEnds_Prot#'!$A:$AL,22,FALSE)+6,1)</f>
        <v>A</v>
      </c>
      <c r="X395" s="102" t="str">
        <f>MID(VLOOKUP($A395,Seqs!$A:$B,2,FALSE),VLOOKUP($A395,'NonXtal_SegEnds_Prot#'!$A:$AL,22,FALSE)+7,1)</f>
        <v>C</v>
      </c>
      <c r="Y395" s="102" t="str">
        <f>MID(VLOOKUP($A395,Seqs!$A:$B,2,FALSE),VLOOKUP($A395,'NonXtal_SegEnds_Prot#'!$A:$AL,22,FALSE)+8,1)</f>
        <v>H</v>
      </c>
      <c r="Z395" s="102" t="str">
        <f>MID(VLOOKUP($A395,Seqs!$A:$B,2,FALSE),VLOOKUP($A395,'NonXtal_SegEnds_Prot#'!$A:$AL,22,FALSE)+9,1)</f>
        <v>L</v>
      </c>
      <c r="AA395" s="102" t="str">
        <f>MID(VLOOKUP($A395,Seqs!$A:$B,2,FALSE),VLOOKUP($A395,'NonXtal_SegEnds_Prot#'!$A:$AL,22,FALSE)+10,1)</f>
        <v>F</v>
      </c>
      <c r="AB395" s="71" t="str">
        <f>MID(VLOOKUP($A395,Seqs!$A:$B,2,FALSE),VLOOKUP($A395,'NonXtal_SegEnds_Prot#'!$A:$AL,28,FALSE)-4,1)</f>
        <v>A</v>
      </c>
      <c r="AC395" s="102" t="str">
        <f>MID(VLOOKUP($A395,Seqs!$A:$B,2,FALSE),VLOOKUP($A395,'NonXtal_SegEnds_Prot#'!$A:$AL,28,FALSE),1)</f>
        <v>P</v>
      </c>
    </row>
    <row r="396" spans="1:29" s="2" customFormat="1" x14ac:dyDescent="0.2">
      <c r="A396" s="2" t="s">
        <v>1126</v>
      </c>
      <c r="B396" s="2" t="str">
        <f>LOWER(VLOOKUP(A396,Xtal_Templ!A:B,2,FALSE))</f>
        <v>agtr1_human</v>
      </c>
      <c r="C396" s="2" t="str">
        <f>VLOOKUP(A396,Classification!A:D,2,FALSE)</f>
        <v>T</v>
      </c>
      <c r="R396" s="71" t="str">
        <f>MID(VLOOKUP($A396,Seqs!$A:$B,2,FALSE),VLOOKUP($A396,'NonXtal_SegEnds_Prot#'!A:AL,10,FALSE),1)</f>
        <v>R</v>
      </c>
      <c r="S396" s="102" t="str">
        <f>MID(VLOOKUP($A396,Seqs!$A:$B,2,FALSE),VLOOKUP($A396,'NonXtal_SegEnds_Prot#'!A:AL,10,FALSE)+6,1)</f>
        <v>V</v>
      </c>
      <c r="T396" s="102" t="str">
        <f>MID(VLOOKUP($A396,Seqs!$A:$B,2,FALSE),VLOOKUP($A396,'NonXtal_SegEnds_Prot#'!A:AL,10,FALSE)+7,1)</f>
        <v>L</v>
      </c>
      <c r="U396" s="102" t="str">
        <f>MID(VLOOKUP($A396,Seqs!$A:$B,2,FALSE),VLOOKUP($A396,'NonXtal_SegEnds_Prot#'!A:AL,10,FALSE)+8,1)</f>
        <v>L</v>
      </c>
      <c r="V396" s="102" t="str">
        <f>MID(VLOOKUP($A396,Seqs!$A:$B,2,FALSE),VLOOKUP($A396,'NonXtal_SegEnds_Prot#'!A:AL,10,FALSE)+9,1)</f>
        <v>L</v>
      </c>
      <c r="W396" s="71" t="str">
        <f>MID(VLOOKUP($A396,Seqs!$A:$B,2,FALSE),VLOOKUP($A396,'NonXtal_SegEnds_Prot#'!$A:$AL,22,FALSE)+6,1)</f>
        <v>A</v>
      </c>
      <c r="X396" s="102" t="str">
        <f>MID(VLOOKUP($A396,Seqs!$A:$B,2,FALSE),VLOOKUP($A396,'NonXtal_SegEnds_Prot#'!$A:$AL,22,FALSE)+7,1)</f>
        <v>C</v>
      </c>
      <c r="Y396" s="102" t="str">
        <f>MID(VLOOKUP($A396,Seqs!$A:$B,2,FALSE),VLOOKUP($A396,'NonXtal_SegEnds_Prot#'!$A:$AL,22,FALSE)+8,1)</f>
        <v>H</v>
      </c>
      <c r="Z396" s="102" t="str">
        <f>MID(VLOOKUP($A396,Seqs!$A:$B,2,FALSE),VLOOKUP($A396,'NonXtal_SegEnds_Prot#'!$A:$AL,22,FALSE)+9,1)</f>
        <v>L</v>
      </c>
      <c r="AA396" s="102" t="str">
        <f>MID(VLOOKUP($A396,Seqs!$A:$B,2,FALSE),VLOOKUP($A396,'NonXtal_SegEnds_Prot#'!$A:$AL,22,FALSE)+10,1)</f>
        <v>F</v>
      </c>
      <c r="AB396" s="71" t="str">
        <f>MID(VLOOKUP($A396,Seqs!$A:$B,2,FALSE),VLOOKUP($A396,'NonXtal_SegEnds_Prot#'!$A:$AL,28,FALSE)-4,1)</f>
        <v>A</v>
      </c>
      <c r="AC396" s="102" t="str">
        <f>MID(VLOOKUP($A396,Seqs!$A:$B,2,FALSE),VLOOKUP($A396,'NonXtal_SegEnds_Prot#'!$A:$AL,28,FALSE),1)</f>
        <v>P</v>
      </c>
    </row>
    <row r="397" spans="1:29" s="2" customFormat="1" x14ac:dyDescent="0.2">
      <c r="A397" s="2" t="s">
        <v>665</v>
      </c>
      <c r="B397" s="2" t="str">
        <f>LOWER(VLOOKUP(A397,Xtal_Templ!A:B,2,FALSE))</f>
        <v>agtr1_human</v>
      </c>
      <c r="C397" s="2" t="str">
        <f>VLOOKUP(A397,Classification!A:D,2,FALSE)</f>
        <v>T</v>
      </c>
      <c r="R397" s="71" t="str">
        <f>MID(VLOOKUP($A397,Seqs!$A:$B,2,FALSE),VLOOKUP($A397,'NonXtal_SegEnds_Prot#'!A:AL,10,FALSE),1)</f>
        <v>R</v>
      </c>
      <c r="S397" s="102" t="str">
        <f>MID(VLOOKUP($A397,Seqs!$A:$B,2,FALSE),VLOOKUP($A397,'NonXtal_SegEnds_Prot#'!A:AL,10,FALSE)+6,1)</f>
        <v>V</v>
      </c>
      <c r="T397" s="102" t="str">
        <f>MID(VLOOKUP($A397,Seqs!$A:$B,2,FALSE),VLOOKUP($A397,'NonXtal_SegEnds_Prot#'!A:AL,10,FALSE)+7,1)</f>
        <v>L</v>
      </c>
      <c r="U397" s="102" t="str">
        <f>MID(VLOOKUP($A397,Seqs!$A:$B,2,FALSE),VLOOKUP($A397,'NonXtal_SegEnds_Prot#'!A:AL,10,FALSE)+8,1)</f>
        <v>V</v>
      </c>
      <c r="V397" s="102" t="str">
        <f>MID(VLOOKUP($A397,Seqs!$A:$B,2,FALSE),VLOOKUP($A397,'NonXtal_SegEnds_Prot#'!A:AL,10,FALSE)+9,1)</f>
        <v>L</v>
      </c>
      <c r="W397" s="71" t="str">
        <f>MID(VLOOKUP($A397,Seqs!$A:$B,2,FALSE),VLOOKUP($A397,'NonXtal_SegEnds_Prot#'!$A:$AL,22,FALSE)+6,1)</f>
        <v>V</v>
      </c>
      <c r="X397" s="102" t="str">
        <f>MID(VLOOKUP($A397,Seqs!$A:$B,2,FALSE),VLOOKUP($A397,'NonXtal_SegEnds_Prot#'!$A:$AL,22,FALSE)+7,1)</f>
        <v>C</v>
      </c>
      <c r="Y397" s="102" t="str">
        <f>MID(VLOOKUP($A397,Seqs!$A:$B,2,FALSE),VLOOKUP($A397,'NonXtal_SegEnds_Prot#'!$A:$AL,22,FALSE)+8,1)</f>
        <v>H</v>
      </c>
      <c r="Z397" s="102" t="str">
        <f>MID(VLOOKUP($A397,Seqs!$A:$B,2,FALSE),VLOOKUP($A397,'NonXtal_SegEnds_Prot#'!$A:$AL,22,FALSE)+9,1)</f>
        <v>L</v>
      </c>
      <c r="AA397" s="102" t="str">
        <f>MID(VLOOKUP($A397,Seqs!$A:$B,2,FALSE),VLOOKUP($A397,'NonXtal_SegEnds_Prot#'!$A:$AL,22,FALSE)+10,1)</f>
        <v>F</v>
      </c>
      <c r="AB397" s="71" t="str">
        <f>MID(VLOOKUP($A397,Seqs!$A:$B,2,FALSE),VLOOKUP($A397,'NonXtal_SegEnds_Prot#'!$A:$AL,28,FALSE)-4,1)</f>
        <v>A</v>
      </c>
      <c r="AC397" s="102" t="str">
        <f>MID(VLOOKUP($A397,Seqs!$A:$B,2,FALSE),VLOOKUP($A397,'NonXtal_SegEnds_Prot#'!$A:$AL,28,FALSE),1)</f>
        <v>P</v>
      </c>
    </row>
    <row r="398" spans="1:29" s="2" customFormat="1" x14ac:dyDescent="0.2">
      <c r="A398" s="2" t="s">
        <v>666</v>
      </c>
      <c r="B398" s="2" t="str">
        <f>LOWER(VLOOKUP(A398,Xtal_Templ!A:B,2,FALSE))</f>
        <v>agtr1_human</v>
      </c>
      <c r="C398" s="2" t="str">
        <f>VLOOKUP(A398,Classification!A:D,2,FALSE)</f>
        <v>T</v>
      </c>
      <c r="R398" s="71" t="str">
        <f>MID(VLOOKUP($A398,Seqs!$A:$B,2,FALSE),VLOOKUP($A398,'NonXtal_SegEnds_Prot#'!A:AL,10,FALSE),1)</f>
        <v>R</v>
      </c>
      <c r="S398" s="102" t="str">
        <f>MID(VLOOKUP($A398,Seqs!$A:$B,2,FALSE),VLOOKUP($A398,'NonXtal_SegEnds_Prot#'!A:AL,10,FALSE)+6,1)</f>
        <v>A</v>
      </c>
      <c r="T398" s="102" t="str">
        <f>MID(VLOOKUP($A398,Seqs!$A:$B,2,FALSE),VLOOKUP($A398,'NonXtal_SegEnds_Prot#'!A:AL,10,FALSE)+7,1)</f>
        <v>L</v>
      </c>
      <c r="U398" s="102" t="str">
        <f>MID(VLOOKUP($A398,Seqs!$A:$B,2,FALSE),VLOOKUP($A398,'NonXtal_SegEnds_Prot#'!A:AL,10,FALSE)+8,1)</f>
        <v>L</v>
      </c>
      <c r="V398" s="102" t="str">
        <f>MID(VLOOKUP($A398,Seqs!$A:$B,2,FALSE),VLOOKUP($A398,'NonXtal_SegEnds_Prot#'!A:AL,10,FALSE)+9,1)</f>
        <v>L</v>
      </c>
      <c r="W398" s="71" t="str">
        <f>MID(VLOOKUP($A398,Seqs!$A:$B,2,FALSE),VLOOKUP($A398,'NonXtal_SegEnds_Prot#'!$A:$AL,22,FALSE)+6,1)</f>
        <v>V</v>
      </c>
      <c r="X398" s="102" t="str">
        <f>MID(VLOOKUP($A398,Seqs!$A:$B,2,FALSE),VLOOKUP($A398,'NonXtal_SegEnds_Prot#'!$A:$AL,22,FALSE)+7,1)</f>
        <v>C</v>
      </c>
      <c r="Y398" s="102" t="str">
        <f>MID(VLOOKUP($A398,Seqs!$A:$B,2,FALSE),VLOOKUP($A398,'NonXtal_SegEnds_Prot#'!$A:$AL,22,FALSE)+8,1)</f>
        <v>H</v>
      </c>
      <c r="Z398" s="102" t="str">
        <f>MID(VLOOKUP($A398,Seqs!$A:$B,2,FALSE),VLOOKUP($A398,'NonXtal_SegEnds_Prot#'!$A:$AL,22,FALSE)+9,1)</f>
        <v>L</v>
      </c>
      <c r="AA398" s="102" t="str">
        <f>MID(VLOOKUP($A398,Seqs!$A:$B,2,FALSE),VLOOKUP($A398,'NonXtal_SegEnds_Prot#'!$A:$AL,22,FALSE)+10,1)</f>
        <v>L</v>
      </c>
      <c r="AB398" s="71" t="str">
        <f>MID(VLOOKUP($A398,Seqs!$A:$B,2,FALSE),VLOOKUP($A398,'NonXtal_SegEnds_Prot#'!$A:$AL,28,FALSE)-4,1)</f>
        <v>W</v>
      </c>
      <c r="AC398" s="102" t="str">
        <f>MID(VLOOKUP($A398,Seqs!$A:$B,2,FALSE),VLOOKUP($A398,'NonXtal_SegEnds_Prot#'!$A:$AL,28,FALSE),1)</f>
        <v>P</v>
      </c>
    </row>
    <row r="399" spans="1:29" s="2" customFormat="1" x14ac:dyDescent="0.2">
      <c r="A399" s="2" t="s">
        <v>667</v>
      </c>
      <c r="B399" s="2" t="str">
        <f>LOWER(VLOOKUP(A399,Xtal_Templ!A:B,2,FALSE))</f>
        <v>5ht1b_human</v>
      </c>
      <c r="C399" s="2" t="str">
        <f>VLOOKUP(A399,Classification!A:D,2,FALSE)</f>
        <v>T</v>
      </c>
      <c r="R399" s="71" t="str">
        <f>MID(VLOOKUP($A399,Seqs!$A:$B,2,FALSE),VLOOKUP($A399,'NonXtal_SegEnds_Prot#'!A:AL,10,FALSE),1)</f>
        <v>R</v>
      </c>
      <c r="S399" s="102" t="str">
        <f>MID(VLOOKUP($A399,Seqs!$A:$B,2,FALSE),VLOOKUP($A399,'NonXtal_SegEnds_Prot#'!A:AL,10,FALSE)+6,1)</f>
        <v>V</v>
      </c>
      <c r="T399" s="102" t="str">
        <f>MID(VLOOKUP($A399,Seqs!$A:$B,2,FALSE),VLOOKUP($A399,'NonXtal_SegEnds_Prot#'!A:AL,10,FALSE)+7,1)</f>
        <v>V</v>
      </c>
      <c r="U399" s="102" t="str">
        <f>MID(VLOOKUP($A399,Seqs!$A:$B,2,FALSE),VLOOKUP($A399,'NonXtal_SegEnds_Prot#'!A:AL,10,FALSE)+8,1)</f>
        <v>M</v>
      </c>
      <c r="V399" s="102" t="str">
        <f>MID(VLOOKUP($A399,Seqs!$A:$B,2,FALSE),VLOOKUP($A399,'NonXtal_SegEnds_Prot#'!A:AL,10,FALSE)+9,1)</f>
        <v>G</v>
      </c>
      <c r="W399" s="71" t="str">
        <f>MID(VLOOKUP($A399,Seqs!$A:$B,2,FALSE),VLOOKUP($A399,'NonXtal_SegEnds_Prot#'!$A:$AL,22,FALSE)+6,1)</f>
        <v>S</v>
      </c>
      <c r="X399" s="102" t="str">
        <f>MID(VLOOKUP($A399,Seqs!$A:$B,2,FALSE),VLOOKUP($A399,'NonXtal_SegEnds_Prot#'!$A:$AL,22,FALSE)+7,1)</f>
        <v>F</v>
      </c>
      <c r="Y399" s="102" t="str">
        <f>MID(VLOOKUP($A399,Seqs!$A:$B,2,FALSE),VLOOKUP($A399,'NonXtal_SegEnds_Prot#'!$A:$AL,22,FALSE)+8,1)</f>
        <v>T</v>
      </c>
      <c r="Z399" s="102" t="str">
        <f>MID(VLOOKUP($A399,Seqs!$A:$B,2,FALSE),VLOOKUP($A399,'NonXtal_SegEnds_Prot#'!$A:$AL,22,FALSE)+9,1)</f>
        <v>T</v>
      </c>
      <c r="AA399" s="102" t="str">
        <f>MID(VLOOKUP($A399,Seqs!$A:$B,2,FALSE),VLOOKUP($A399,'NonXtal_SegEnds_Prot#'!$A:$AL,22,FALSE)+10,1)</f>
        <v>I</v>
      </c>
      <c r="AB399" s="71" t="str">
        <f>MID(VLOOKUP($A399,Seqs!$A:$B,2,FALSE),VLOOKUP($A399,'NonXtal_SegEnds_Prot#'!$A:$AL,28,FALSE)-4,1)</f>
        <v>T</v>
      </c>
      <c r="AC399" s="102" t="str">
        <f>MID(VLOOKUP($A399,Seqs!$A:$B,2,FALSE),VLOOKUP($A399,'NonXtal_SegEnds_Prot#'!$A:$AL,28,FALSE),1)</f>
        <v>P</v>
      </c>
    </row>
    <row r="400" spans="1:29" s="2" customFormat="1" x14ac:dyDescent="0.2">
      <c r="A400" s="2" t="s">
        <v>669</v>
      </c>
      <c r="B400" s="2" t="str">
        <f>LOWER(VLOOKUP(A400,Xtal_Templ!A:B,2,FALSE))</f>
        <v>opsd_human</v>
      </c>
      <c r="C400" s="2" t="str">
        <f>VLOOKUP(A400,Classification!A:D,2,FALSE)</f>
        <v>T</v>
      </c>
      <c r="R400" s="71" t="str">
        <f>MID(VLOOKUP($A400,Seqs!$A:$B,2,FALSE),VLOOKUP($A400,'NonXtal_SegEnds_Prot#'!A:AL,10,FALSE),1)</f>
        <v>R</v>
      </c>
      <c r="S400" s="102" t="str">
        <f>MID(VLOOKUP($A400,Seqs!$A:$B,2,FALSE),VLOOKUP($A400,'NonXtal_SegEnds_Prot#'!A:AL,10,FALSE)+6,1)</f>
        <v>F</v>
      </c>
      <c r="T400" s="102" t="str">
        <f>MID(VLOOKUP($A400,Seqs!$A:$B,2,FALSE),VLOOKUP($A400,'NonXtal_SegEnds_Prot#'!A:AL,10,FALSE)+7,1)</f>
        <v>I</v>
      </c>
      <c r="U400" s="102" t="str">
        <f>MID(VLOOKUP($A400,Seqs!$A:$B,2,FALSE),VLOOKUP($A400,'NonXtal_SegEnds_Prot#'!A:AL,10,FALSE)+8,1)</f>
        <v>F</v>
      </c>
      <c r="V400" s="102" t="str">
        <f>MID(VLOOKUP($A400,Seqs!$A:$B,2,FALSE),VLOOKUP($A400,'NonXtal_SegEnds_Prot#'!A:AL,10,FALSE)+9,1)</f>
        <v>Y</v>
      </c>
      <c r="W400" s="71" t="str">
        <f>MID(VLOOKUP($A400,Seqs!$A:$B,2,FALSE),VLOOKUP($A400,'NonXtal_SegEnds_Prot#'!$A:$AL,22,FALSE)+6,1)</f>
        <v>S</v>
      </c>
      <c r="X400" s="102" t="str">
        <f>MID(VLOOKUP($A400,Seqs!$A:$B,2,FALSE),VLOOKUP($A400,'NonXtal_SegEnds_Prot#'!$A:$AL,22,FALSE)+7,1)</f>
        <v>M</v>
      </c>
      <c r="Y400" s="102" t="str">
        <f>MID(VLOOKUP($A400,Seqs!$A:$B,2,FALSE),VLOOKUP($A400,'NonXtal_SegEnds_Prot#'!$A:$AL,22,FALSE)+8,1)</f>
        <v>I</v>
      </c>
      <c r="Z400" s="102" t="str">
        <f>MID(VLOOKUP($A400,Seqs!$A:$B,2,FALSE),VLOOKUP($A400,'NonXtal_SegEnds_Prot#'!$A:$AL,22,FALSE)+9,1)</f>
        <v>C</v>
      </c>
      <c r="AA400" s="102" t="str">
        <f>MID(VLOOKUP($A400,Seqs!$A:$B,2,FALSE),VLOOKUP($A400,'NonXtal_SegEnds_Prot#'!$A:$AL,22,FALSE)+10,1)</f>
        <v>V</v>
      </c>
      <c r="AB400" s="71" t="str">
        <f>MID(VLOOKUP($A400,Seqs!$A:$B,2,FALSE),VLOOKUP($A400,'NonXtal_SegEnds_Prot#'!$A:$AL,28,FALSE)-4,1)</f>
        <v>E</v>
      </c>
      <c r="AC400" s="102" t="str">
        <f>MID(VLOOKUP($A400,Seqs!$A:$B,2,FALSE),VLOOKUP($A400,'NonXtal_SegEnds_Prot#'!$A:$AL,28,FALSE),1)</f>
        <v>P</v>
      </c>
    </row>
    <row r="401" spans="1:29" s="2" customFormat="1" x14ac:dyDescent="0.2">
      <c r="A401" s="2" t="s">
        <v>670</v>
      </c>
      <c r="B401" s="2" t="str">
        <f>LOWER(VLOOKUP(A401,Xtal_Templ!A:B,2,FALSE))</f>
        <v>agtr1_human</v>
      </c>
      <c r="C401" s="2" t="str">
        <f>VLOOKUP(A401,Classification!A:D,2,FALSE)</f>
        <v>T</v>
      </c>
      <c r="R401" s="71" t="str">
        <f>MID(VLOOKUP($A401,Seqs!$A:$B,2,FALSE),VLOOKUP($A401,'NonXtal_SegEnds_Prot#'!A:AL,10,FALSE),1)</f>
        <v>R</v>
      </c>
      <c r="S401" s="102" t="str">
        <f>MID(VLOOKUP($A401,Seqs!$A:$B,2,FALSE),VLOOKUP($A401,'NonXtal_SegEnds_Prot#'!A:AL,10,FALSE)+6,1)</f>
        <v>I</v>
      </c>
      <c r="T401" s="102" t="str">
        <f>MID(VLOOKUP($A401,Seqs!$A:$B,2,FALSE),VLOOKUP($A401,'NonXtal_SegEnds_Prot#'!A:AL,10,FALSE)+7,1)</f>
        <v>I</v>
      </c>
      <c r="U401" s="102" t="str">
        <f>MID(VLOOKUP($A401,Seqs!$A:$B,2,FALSE),VLOOKUP($A401,'NonXtal_SegEnds_Prot#'!A:AL,10,FALSE)+8,1)</f>
        <v>L</v>
      </c>
      <c r="V401" s="102" t="str">
        <f>MID(VLOOKUP($A401,Seqs!$A:$B,2,FALSE),VLOOKUP($A401,'NonXtal_SegEnds_Prot#'!A:AL,10,FALSE)+9,1)</f>
        <v>T</v>
      </c>
      <c r="W401" s="71" t="str">
        <f>MID(VLOOKUP($A401,Seqs!$A:$B,2,FALSE),VLOOKUP($A401,'NonXtal_SegEnds_Prot#'!$A:$AL,22,FALSE)+6,1)</f>
        <v>C</v>
      </c>
      <c r="X401" s="102" t="str">
        <f>MID(VLOOKUP($A401,Seqs!$A:$B,2,FALSE),VLOOKUP($A401,'NonXtal_SegEnds_Prot#'!$A:$AL,22,FALSE)+7,1)</f>
        <v>G</v>
      </c>
      <c r="Y401" s="102" t="str">
        <f>MID(VLOOKUP($A401,Seqs!$A:$B,2,FALSE),VLOOKUP($A401,'NonXtal_SegEnds_Prot#'!$A:$AL,22,FALSE)+8,1)</f>
        <v>S</v>
      </c>
      <c r="Z401" s="102" t="str">
        <f>MID(VLOOKUP($A401,Seqs!$A:$B,2,FALSE),VLOOKUP($A401,'NonXtal_SegEnds_Prot#'!$A:$AL,22,FALSE)+9,1)</f>
        <v>T</v>
      </c>
      <c r="AA401" s="102" t="str">
        <f>MID(VLOOKUP($A401,Seqs!$A:$B,2,FALSE),VLOOKUP($A401,'NonXtal_SegEnds_Prot#'!$A:$AL,22,FALSE)+10,1)</f>
        <v>A</v>
      </c>
      <c r="AB401" s="71" t="str">
        <f>MID(VLOOKUP($A401,Seqs!$A:$B,2,FALSE),VLOOKUP($A401,'NonXtal_SegEnds_Prot#'!$A:$AL,28,FALSE)-4,1)</f>
        <v>W</v>
      </c>
      <c r="AC401" s="102" t="str">
        <f>MID(VLOOKUP($A401,Seqs!$A:$B,2,FALSE),VLOOKUP($A401,'NonXtal_SegEnds_Prot#'!$A:$AL,28,FALSE),1)</f>
        <v>P</v>
      </c>
    </row>
    <row r="402" spans="1:29" s="2" customFormat="1" x14ac:dyDescent="0.2">
      <c r="A402" s="2" t="s">
        <v>671</v>
      </c>
      <c r="B402" s="2" t="str">
        <f>LOWER(VLOOKUP(A402,Xtal_Templ!A:B,2,FALSE))</f>
        <v>acm2_human</v>
      </c>
      <c r="C402" s="2" t="str">
        <f>VLOOKUP(A402,Classification!A:D,2,FALSE)</f>
        <v>T</v>
      </c>
      <c r="R402" s="71" t="str">
        <f>MID(VLOOKUP($A402,Seqs!$A:$B,2,FALSE),VLOOKUP($A402,'NonXtal_SegEnds_Prot#'!A:AL,10,FALSE),1)</f>
        <v>R</v>
      </c>
      <c r="S402" s="102" t="str">
        <f>MID(VLOOKUP($A402,Seqs!$A:$B,2,FALSE),VLOOKUP($A402,'NonXtal_SegEnds_Prot#'!A:AL,10,FALSE)+6,1)</f>
        <v>L</v>
      </c>
      <c r="T402" s="102" t="str">
        <f>MID(VLOOKUP($A402,Seqs!$A:$B,2,FALSE),VLOOKUP($A402,'NonXtal_SegEnds_Prot#'!A:AL,10,FALSE)+7,1)</f>
        <v>F</v>
      </c>
      <c r="U402" s="102" t="str">
        <f>MID(VLOOKUP($A402,Seqs!$A:$B,2,FALSE),VLOOKUP($A402,'NonXtal_SegEnds_Prot#'!A:AL,10,FALSE)+8,1)</f>
        <v>L</v>
      </c>
      <c r="V402" s="102" t="str">
        <f>MID(VLOOKUP($A402,Seqs!$A:$B,2,FALSE),VLOOKUP($A402,'NonXtal_SegEnds_Prot#'!A:AL,10,FALSE)+9,1)</f>
        <v>V</v>
      </c>
      <c r="W402" s="71" t="str">
        <f>MID(VLOOKUP($A402,Seqs!$A:$B,2,FALSE),VLOOKUP($A402,'NonXtal_SegEnds_Prot#'!$A:$AL,22,FALSE)+6,1)</f>
        <v>A</v>
      </c>
      <c r="X402" s="102" t="str">
        <f>MID(VLOOKUP($A402,Seqs!$A:$B,2,FALSE),VLOOKUP($A402,'NonXtal_SegEnds_Prot#'!$A:$AL,22,FALSE)+7,1)</f>
        <v>F</v>
      </c>
      <c r="Y402" s="102" t="str">
        <f>MID(VLOOKUP($A402,Seqs!$A:$B,2,FALSE),VLOOKUP($A402,'NonXtal_SegEnds_Prot#'!$A:$AL,22,FALSE)+8,1)</f>
        <v>T</v>
      </c>
      <c r="Z402" s="102" t="str">
        <f>MID(VLOOKUP($A402,Seqs!$A:$B,2,FALSE),VLOOKUP($A402,'NonXtal_SegEnds_Prot#'!$A:$AL,22,FALSE)+9,1)</f>
        <v>T</v>
      </c>
      <c r="AA402" s="102" t="str">
        <f>MID(VLOOKUP($A402,Seqs!$A:$B,2,FALSE),VLOOKUP($A402,'NonXtal_SegEnds_Prot#'!$A:$AL,22,FALSE)+10,1)</f>
        <v>C</v>
      </c>
      <c r="AB402" s="71" t="str">
        <f>MID(VLOOKUP($A402,Seqs!$A:$B,2,FALSE),VLOOKUP($A402,'NonXtal_SegEnds_Prot#'!$A:$AL,28,FALSE)-4,1)</f>
        <v>S</v>
      </c>
      <c r="AC402" s="102" t="str">
        <f>MID(VLOOKUP($A402,Seqs!$A:$B,2,FALSE),VLOOKUP($A402,'NonXtal_SegEnds_Prot#'!$A:$AL,28,FALSE),1)</f>
        <v>Q</v>
      </c>
    </row>
    <row r="403" spans="1:29" s="2" customFormat="1" x14ac:dyDescent="0.2">
      <c r="A403" s="2" t="s">
        <v>672</v>
      </c>
      <c r="B403" s="2" t="str">
        <f>LOWER(VLOOKUP(A403,Xtal_Templ!A:B,2,FALSE))</f>
        <v>us28_hcmva</v>
      </c>
      <c r="C403" s="2" t="str">
        <f>VLOOKUP(A403,Classification!A:D,2,FALSE)</f>
        <v>T</v>
      </c>
      <c r="R403" s="71" t="str">
        <f>MID(VLOOKUP($A403,Seqs!$A:$B,2,FALSE),VLOOKUP($A403,'NonXtal_SegEnds_Prot#'!A:AL,10,FALSE),1)</f>
        <v>R</v>
      </c>
      <c r="S403" s="102" t="str">
        <f>MID(VLOOKUP($A403,Seqs!$A:$B,2,FALSE),VLOOKUP($A403,'NonXtal_SegEnds_Prot#'!A:AL,10,FALSE)+6,1)</f>
        <v>L</v>
      </c>
      <c r="T403" s="102" t="str">
        <f>MID(VLOOKUP($A403,Seqs!$A:$B,2,FALSE),VLOOKUP($A403,'NonXtal_SegEnds_Prot#'!A:AL,10,FALSE)+7,1)</f>
        <v>I</v>
      </c>
      <c r="U403" s="102" t="str">
        <f>MID(VLOOKUP($A403,Seqs!$A:$B,2,FALSE),VLOOKUP($A403,'NonXtal_SegEnds_Prot#'!A:AL,10,FALSE)+8,1)</f>
        <v>I</v>
      </c>
      <c r="V403" s="102" t="str">
        <f>MID(VLOOKUP($A403,Seqs!$A:$B,2,FALSE),VLOOKUP($A403,'NonXtal_SegEnds_Prot#'!A:AL,10,FALSE)+9,1)</f>
        <v>L</v>
      </c>
      <c r="W403" s="71" t="str">
        <f>MID(VLOOKUP($A403,Seqs!$A:$B,2,FALSE),VLOOKUP($A403,'NonXtal_SegEnds_Prot#'!$A:$AL,22,FALSE)+6,1)</f>
        <v>L</v>
      </c>
      <c r="X403" s="102" t="str">
        <f>MID(VLOOKUP($A403,Seqs!$A:$B,2,FALSE),VLOOKUP($A403,'NonXtal_SegEnds_Prot#'!$A:$AL,22,FALSE)+7,1)</f>
        <v>L</v>
      </c>
      <c r="Y403" s="102" t="str">
        <f>MID(VLOOKUP($A403,Seqs!$A:$B,2,FALSE),VLOOKUP($A403,'NonXtal_SegEnds_Prot#'!$A:$AL,22,FALSE)+8,1)</f>
        <v>L</v>
      </c>
      <c r="Z403" s="102" t="str">
        <f>MID(VLOOKUP($A403,Seqs!$A:$B,2,FALSE),VLOOKUP($A403,'NonXtal_SegEnds_Prot#'!$A:$AL,22,FALSE)+9,1)</f>
        <v>T</v>
      </c>
      <c r="AA403" s="102" t="str">
        <f>MID(VLOOKUP($A403,Seqs!$A:$B,2,FALSE),VLOOKUP($A403,'NonXtal_SegEnds_Prot#'!$A:$AL,22,FALSE)+10,1)</f>
        <v>V</v>
      </c>
      <c r="AB403" s="71" t="str">
        <f>MID(VLOOKUP($A403,Seqs!$A:$B,2,FALSE),VLOOKUP($A403,'NonXtal_SegEnds_Prot#'!$A:$AL,28,FALSE)-4,1)</f>
        <v>G</v>
      </c>
      <c r="AC403" s="102" t="str">
        <f>MID(VLOOKUP($A403,Seqs!$A:$B,2,FALSE),VLOOKUP($A403,'NonXtal_SegEnds_Prot#'!$A:$AL,28,FALSE),1)</f>
        <v>P</v>
      </c>
    </row>
    <row r="404" spans="1:29" s="2" customFormat="1" x14ac:dyDescent="0.2">
      <c r="A404" s="2" t="s">
        <v>673</v>
      </c>
      <c r="B404" s="2" t="str">
        <f>LOWER(VLOOKUP(A404,Xtal_Templ!A:B,2,FALSE))</f>
        <v>agtr1_human</v>
      </c>
      <c r="C404" s="2" t="str">
        <f>VLOOKUP(A404,Classification!A:D,2,FALSE)</f>
        <v>T</v>
      </c>
      <c r="R404" s="71" t="str">
        <f>MID(VLOOKUP($A404,Seqs!$A:$B,2,FALSE),VLOOKUP($A404,'NonXtal_SegEnds_Prot#'!A:AL,10,FALSE),1)</f>
        <v>R</v>
      </c>
      <c r="S404" s="102" t="str">
        <f>MID(VLOOKUP($A404,Seqs!$A:$B,2,FALSE),VLOOKUP($A404,'NonXtal_SegEnds_Prot#'!A:AL,10,FALSE)+6,1)</f>
        <v>V</v>
      </c>
      <c r="T404" s="102" t="str">
        <f>MID(VLOOKUP($A404,Seqs!$A:$B,2,FALSE),VLOOKUP($A404,'NonXtal_SegEnds_Prot#'!A:AL,10,FALSE)+7,1)</f>
        <v>I</v>
      </c>
      <c r="U404" s="102" t="str">
        <f>MID(VLOOKUP($A404,Seqs!$A:$B,2,FALSE),VLOOKUP($A404,'NonXtal_SegEnds_Prot#'!A:AL,10,FALSE)+8,1)</f>
        <v>L</v>
      </c>
      <c r="V404" s="102" t="str">
        <f>MID(VLOOKUP($A404,Seqs!$A:$B,2,FALSE),VLOOKUP($A404,'NonXtal_SegEnds_Prot#'!A:AL,10,FALSE)+9,1)</f>
        <v>L</v>
      </c>
      <c r="W404" s="71" t="str">
        <f>MID(VLOOKUP($A404,Seqs!$A:$B,2,FALSE),VLOOKUP($A404,'NonXtal_SegEnds_Prot#'!$A:$AL,22,FALSE)+6,1)</f>
        <v>V</v>
      </c>
      <c r="X404" s="102" t="str">
        <f>MID(VLOOKUP($A404,Seqs!$A:$B,2,FALSE),VLOOKUP($A404,'NonXtal_SegEnds_Prot#'!$A:$AL,22,FALSE)+7,1)</f>
        <v>F</v>
      </c>
      <c r="Y404" s="102" t="str">
        <f>MID(VLOOKUP($A404,Seqs!$A:$B,2,FALSE),VLOOKUP($A404,'NonXtal_SegEnds_Prot#'!$A:$AL,22,FALSE)+8,1)</f>
        <v>I</v>
      </c>
      <c r="Z404" s="102" t="str">
        <f>MID(VLOOKUP($A404,Seqs!$A:$B,2,FALSE),VLOOKUP($A404,'NonXtal_SegEnds_Prot#'!$A:$AL,22,FALSE)+9,1)</f>
        <v>S</v>
      </c>
      <c r="AA404" s="102" t="str">
        <f>MID(VLOOKUP($A404,Seqs!$A:$B,2,FALSE),VLOOKUP($A404,'NonXtal_SegEnds_Prot#'!$A:$AL,22,FALSE)+10,1)</f>
        <v>L</v>
      </c>
      <c r="AB404" s="71" t="str">
        <f>MID(VLOOKUP($A404,Seqs!$A:$B,2,FALSE),VLOOKUP($A404,'NonXtal_SegEnds_Prot#'!$A:$AL,28,FALSE)-4,1)</f>
        <v>A</v>
      </c>
      <c r="AC404" s="102" t="str">
        <f>MID(VLOOKUP($A404,Seqs!$A:$B,2,FALSE),VLOOKUP($A404,'NonXtal_SegEnds_Prot#'!$A:$AL,28,FALSE),1)</f>
        <v>P</v>
      </c>
    </row>
    <row r="405" spans="1:29" s="2" customFormat="1" x14ac:dyDescent="0.2">
      <c r="A405" s="2" t="s">
        <v>674</v>
      </c>
      <c r="B405" s="2" t="str">
        <f>LOWER(VLOOKUP(A405,Xtal_Templ!A:B,2,FALSE))</f>
        <v>agtr1_human</v>
      </c>
      <c r="C405" s="2" t="str">
        <f>VLOOKUP(A405,Classification!A:D,2,FALSE)</f>
        <v>T</v>
      </c>
      <c r="R405" s="71" t="str">
        <f>MID(VLOOKUP($A405,Seqs!$A:$B,2,FALSE),VLOOKUP($A405,'NonXtal_SegEnds_Prot#'!A:AL,10,FALSE),1)</f>
        <v>R</v>
      </c>
      <c r="S405" s="102" t="str">
        <f>MID(VLOOKUP($A405,Seqs!$A:$B,2,FALSE),VLOOKUP($A405,'NonXtal_SegEnds_Prot#'!A:AL,10,FALSE)+6,1)</f>
        <v>V</v>
      </c>
      <c r="T405" s="102" t="str">
        <f>MID(VLOOKUP($A405,Seqs!$A:$B,2,FALSE),VLOOKUP($A405,'NonXtal_SegEnds_Prot#'!A:AL,10,FALSE)+7,1)</f>
        <v>M</v>
      </c>
      <c r="U405" s="102" t="str">
        <f>MID(VLOOKUP($A405,Seqs!$A:$B,2,FALSE),VLOOKUP($A405,'NonXtal_SegEnds_Prot#'!A:AL,10,FALSE)+8,1)</f>
        <v>V</v>
      </c>
      <c r="V405" s="102" t="str">
        <f>MID(VLOOKUP($A405,Seqs!$A:$B,2,FALSE),VLOOKUP($A405,'NonXtal_SegEnds_Prot#'!A:AL,10,FALSE)+9,1)</f>
        <v>V</v>
      </c>
      <c r="W405" s="71" t="str">
        <f>MID(VLOOKUP($A405,Seqs!$A:$B,2,FALSE),VLOOKUP($A405,'NonXtal_SegEnds_Prot#'!$A:$AL,22,FALSE)+6,1)</f>
        <v>L</v>
      </c>
      <c r="X405" s="102" t="str">
        <f>MID(VLOOKUP($A405,Seqs!$A:$B,2,FALSE),VLOOKUP($A405,'NonXtal_SegEnds_Prot#'!$A:$AL,22,FALSE)+7,1)</f>
        <v>L</v>
      </c>
      <c r="Y405" s="102" t="str">
        <f>MID(VLOOKUP($A405,Seqs!$A:$B,2,FALSE),VLOOKUP($A405,'NonXtal_SegEnds_Prot#'!$A:$AL,22,FALSE)+8,1)</f>
        <v>V</v>
      </c>
      <c r="Z405" s="102" t="str">
        <f>MID(VLOOKUP($A405,Seqs!$A:$B,2,FALSE),VLOOKUP($A405,'NonXtal_SegEnds_Prot#'!$A:$AL,22,FALSE)+9,1)</f>
        <v>S</v>
      </c>
      <c r="AA405" s="102" t="str">
        <f>MID(VLOOKUP($A405,Seqs!$A:$B,2,FALSE),VLOOKUP($A405,'NonXtal_SegEnds_Prot#'!$A:$AL,22,FALSE)+10,1)</f>
        <v>L</v>
      </c>
      <c r="AB405" s="71" t="str">
        <f>MID(VLOOKUP($A405,Seqs!$A:$B,2,FALSE),VLOOKUP($A405,'NonXtal_SegEnds_Prot#'!$A:$AL,28,FALSE)-4,1)</f>
        <v>F</v>
      </c>
      <c r="AC405" s="102" t="str">
        <f>MID(VLOOKUP($A405,Seqs!$A:$B,2,FALSE),VLOOKUP($A405,'NonXtal_SegEnds_Prot#'!$A:$AL,28,FALSE),1)</f>
        <v>P</v>
      </c>
    </row>
    <row r="406" spans="1:29" s="2" customFormat="1" x14ac:dyDescent="0.2">
      <c r="A406" s="2" t="s">
        <v>675</v>
      </c>
      <c r="B406" s="2" t="str">
        <f>LOWER(VLOOKUP(A406,Xtal_Templ!A:B,2,FALSE))</f>
        <v>agtr1_human</v>
      </c>
      <c r="C406" s="2" t="str">
        <f>VLOOKUP(A406,Classification!A:D,2,FALSE)</f>
        <v>T</v>
      </c>
      <c r="R406" s="71" t="str">
        <f>MID(VLOOKUP($A406,Seqs!$A:$B,2,FALSE),VLOOKUP($A406,'NonXtal_SegEnds_Prot#'!A:AL,10,FALSE),1)</f>
        <v>R</v>
      </c>
      <c r="S406" s="102" t="str">
        <f>MID(VLOOKUP($A406,Seqs!$A:$B,2,FALSE),VLOOKUP($A406,'NonXtal_SegEnds_Prot#'!A:AL,10,FALSE)+6,1)</f>
        <v>V</v>
      </c>
      <c r="T406" s="102" t="str">
        <f>MID(VLOOKUP($A406,Seqs!$A:$B,2,FALSE),VLOOKUP($A406,'NonXtal_SegEnds_Prot#'!A:AL,10,FALSE)+7,1)</f>
        <v>I</v>
      </c>
      <c r="U406" s="102" t="str">
        <f>MID(VLOOKUP($A406,Seqs!$A:$B,2,FALSE),VLOOKUP($A406,'NonXtal_SegEnds_Prot#'!A:AL,10,FALSE)+8,1)</f>
        <v>S</v>
      </c>
      <c r="V406" s="102" t="str">
        <f>MID(VLOOKUP($A406,Seqs!$A:$B,2,FALSE),VLOOKUP($A406,'NonXtal_SegEnds_Prot#'!A:AL,10,FALSE)+9,1)</f>
        <v>L</v>
      </c>
      <c r="W406" s="71" t="str">
        <f>MID(VLOOKUP($A406,Seqs!$A:$B,2,FALSE),VLOOKUP($A406,'NonXtal_SegEnds_Prot#'!$A:$AL,22,FALSE)+6,1)</f>
        <v>L</v>
      </c>
      <c r="X406" s="102" t="str">
        <f>MID(VLOOKUP($A406,Seqs!$A:$B,2,FALSE),VLOOKUP($A406,'NonXtal_SegEnds_Prot#'!$A:$AL,22,FALSE)+7,1)</f>
        <v>I</v>
      </c>
      <c r="Y406" s="102" t="str">
        <f>MID(VLOOKUP($A406,Seqs!$A:$B,2,FALSE),VLOOKUP($A406,'NonXtal_SegEnds_Prot#'!$A:$AL,22,FALSE)+8,1)</f>
        <v>I</v>
      </c>
      <c r="Z406" s="102" t="str">
        <f>MID(VLOOKUP($A406,Seqs!$A:$B,2,FALSE),VLOOKUP($A406,'NonXtal_SegEnds_Prot#'!$A:$AL,22,FALSE)+9,1)</f>
        <v>S</v>
      </c>
      <c r="AA406" s="102" t="str">
        <f>MID(VLOOKUP($A406,Seqs!$A:$B,2,FALSE),VLOOKUP($A406,'NonXtal_SegEnds_Prot#'!$A:$AL,22,FALSE)+10,1)</f>
        <v>V</v>
      </c>
      <c r="AB406" s="71" t="str">
        <f>MID(VLOOKUP($A406,Seqs!$A:$B,2,FALSE),VLOOKUP($A406,'NonXtal_SegEnds_Prot#'!$A:$AL,28,FALSE)-4,1)</f>
        <v>G</v>
      </c>
      <c r="AC406" s="102" t="str">
        <f>MID(VLOOKUP($A406,Seqs!$A:$B,2,FALSE),VLOOKUP($A406,'NonXtal_SegEnds_Prot#'!$A:$AL,28,FALSE),1)</f>
        <v>P</v>
      </c>
    </row>
    <row r="407" spans="1:29" s="2" customFormat="1" x14ac:dyDescent="0.2">
      <c r="R407" s="71"/>
      <c r="S407" s="102"/>
      <c r="T407" s="102"/>
      <c r="U407" s="102"/>
      <c r="V407" s="102"/>
      <c r="W407" s="71"/>
      <c r="X407" s="102"/>
      <c r="Y407" s="102"/>
      <c r="Z407" s="102"/>
      <c r="AB407" s="35"/>
    </row>
    <row r="408" spans="1:29" s="2" customFormat="1" x14ac:dyDescent="0.2">
      <c r="R408" s="71"/>
      <c r="S408" s="102"/>
      <c r="T408" s="102"/>
      <c r="U408" s="102"/>
      <c r="V408" s="102"/>
      <c r="W408" s="71"/>
      <c r="X408" s="102"/>
      <c r="Y408" s="102"/>
      <c r="Z408" s="102"/>
      <c r="AB408" s="35"/>
    </row>
    <row r="409" spans="1:29" s="2" customFormat="1" x14ac:dyDescent="0.2">
      <c r="R409" s="71"/>
      <c r="S409" s="102"/>
      <c r="T409" s="102"/>
      <c r="U409" s="102"/>
      <c r="V409" s="102"/>
      <c r="W409" s="71"/>
      <c r="X409" s="102"/>
      <c r="Y409" s="102"/>
      <c r="Z409" s="102"/>
      <c r="AB409" s="35"/>
    </row>
  </sheetData>
  <sortState ref="A2:AC409">
    <sortCondition ref="C2:C409"/>
    <sortCondition ref="A2:A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Z1:AA1048576">
    <cfRule type="cellIs" dxfId="4" priority="4" operator="equal">
      <formula>"P"</formula>
    </cfRule>
  </conditionalFormatting>
  <conditionalFormatting sqref="X1:X1048576">
    <cfRule type="cellIs" dxfId="3" priority="2" operator="equal">
      <formula>"W"</formula>
    </cfRule>
    <cfRule type="cellIs" dxfId="2" priority="3" operator="equal">
      <formula>"G"</formula>
    </cfRule>
  </conditionalFormatting>
  <conditionalFormatting sqref="AB2:AC406">
    <cfRule type="cellIs" dxfId="1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1445</v>
      </c>
      <c r="C1" s="74" t="s">
        <v>1446</v>
      </c>
      <c r="D1" s="73" t="s">
        <v>292</v>
      </c>
      <c r="E1" s="62" t="s">
        <v>1444</v>
      </c>
      <c r="F1" s="62" t="s">
        <v>11</v>
      </c>
      <c r="G1" s="73" t="s">
        <v>1428</v>
      </c>
      <c r="H1" s="73" t="s">
        <v>17</v>
      </c>
      <c r="I1" s="73" t="s">
        <v>1430</v>
      </c>
      <c r="J1" s="73" t="s">
        <v>25</v>
      </c>
      <c r="K1" s="73" t="s">
        <v>1429</v>
      </c>
      <c r="L1" s="73" t="s">
        <v>31</v>
      </c>
      <c r="M1" s="73" t="s">
        <v>1431</v>
      </c>
      <c r="N1" s="73" t="s">
        <v>39</v>
      </c>
      <c r="O1" s="73" t="s">
        <v>44</v>
      </c>
      <c r="P1" s="73" t="s">
        <v>48</v>
      </c>
      <c r="Q1" s="73" t="s">
        <v>1427</v>
      </c>
      <c r="R1" s="62" t="s">
        <v>1267</v>
      </c>
      <c r="S1" s="11" t="s">
        <v>1284</v>
      </c>
      <c r="T1" s="11" t="s">
        <v>1269</v>
      </c>
      <c r="U1" s="11" t="s">
        <v>1286</v>
      </c>
      <c r="V1" s="11" t="s">
        <v>1271</v>
      </c>
      <c r="W1" s="11" t="s">
        <v>1299</v>
      </c>
      <c r="X1" s="11" t="s">
        <v>1273</v>
      </c>
      <c r="Y1" s="11" t="s">
        <v>1302</v>
      </c>
      <c r="Z1" s="11" t="s">
        <v>1275</v>
      </c>
      <c r="AA1" s="11" t="s">
        <v>1277</v>
      </c>
      <c r="AB1" s="11" t="s">
        <v>1279</v>
      </c>
      <c r="AC1" s="11" t="s">
        <v>1281</v>
      </c>
      <c r="AD1" s="62" t="s">
        <v>1268</v>
      </c>
      <c r="AE1" s="11" t="s">
        <v>1285</v>
      </c>
      <c r="AF1" s="11" t="s">
        <v>1270</v>
      </c>
      <c r="AG1" s="11" t="s">
        <v>1287</v>
      </c>
      <c r="AH1" s="11" t="s">
        <v>1272</v>
      </c>
      <c r="AI1" s="11" t="s">
        <v>1300</v>
      </c>
      <c r="AJ1" s="11" t="s">
        <v>1274</v>
      </c>
      <c r="AK1" s="11" t="s">
        <v>1303</v>
      </c>
      <c r="AL1" s="11" t="s">
        <v>1276</v>
      </c>
      <c r="AM1" s="11" t="s">
        <v>1278</v>
      </c>
      <c r="AN1" s="11" t="s">
        <v>1280</v>
      </c>
      <c r="AO1" s="11" t="s">
        <v>1282</v>
      </c>
      <c r="AP1" s="62" t="s">
        <v>1432</v>
      </c>
      <c r="AQ1" s="73" t="s">
        <v>1433</v>
      </c>
      <c r="AR1" s="73" t="s">
        <v>1434</v>
      </c>
      <c r="AS1" s="73" t="s">
        <v>1435</v>
      </c>
      <c r="AT1" s="73" t="s">
        <v>1436</v>
      </c>
      <c r="AU1" s="73" t="s">
        <v>1437</v>
      </c>
      <c r="AV1" s="73" t="s">
        <v>1438</v>
      </c>
      <c r="AW1" s="73" t="s">
        <v>1439</v>
      </c>
      <c r="AX1" s="73" t="s">
        <v>1440</v>
      </c>
      <c r="AY1" s="73" t="s">
        <v>1441</v>
      </c>
      <c r="AZ1" s="73" t="s">
        <v>1442</v>
      </c>
      <c r="BA1" s="73" t="s">
        <v>1443</v>
      </c>
    </row>
    <row r="2" spans="1:53" x14ac:dyDescent="0.2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72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72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72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72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72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72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72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72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72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72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72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72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72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72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72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72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72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72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72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72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72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72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">
      <c r="A24" s="1" t="str">
        <f>'NonXtal_SegEnds_Prot#'!A226</f>
        <v>cnr1_human</v>
      </c>
      <c r="B24" s="1" t="str">
        <f t="shared" si="0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24" s="72" t="str">
        <f>IF(ISERROR(MATCH(A24,'Xtal_SegEnds_Prot#'!B:B, 0)), "NoXtal", "Xtal")</f>
        <v>NoXtal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SQQLAIAVLSLTLGTFTVLENLLVLCVILHS</v>
      </c>
      <c r="G24" s="4" t="str">
        <f t="shared" si="2"/>
        <v>RSLR</v>
      </c>
      <c r="H24" s="4" t="str">
        <f t="shared" si="3"/>
        <v>CRPSYHFIGSLAVADLLGSVIFVYSFIDFHV</v>
      </c>
      <c r="I24" s="4" t="str">
        <f t="shared" si="4"/>
        <v/>
      </c>
      <c r="J24" s="4" t="str">
        <f t="shared" si="5"/>
        <v>RKDSRNVFLFKLGGVTASFTASVGSLFLTAIDRYISIHR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IKTVFAFCSMLCLLNSTVNPIIYALR</v>
      </c>
      <c r="Q24" s="4" t="str">
        <f t="shared" si="12"/>
        <v>SKDLRHAFRSMFP</v>
      </c>
      <c r="R24" s="5">
        <f>VLOOKUP($A24,'NonXtal_SegEnds_Prot#'!$A:$AL,3,FALSE)</f>
        <v>114</v>
      </c>
      <c r="S24" s="5">
        <f>VLOOKUP($A24,'NonXtal_SegEnds_Prot#'!$A:$AL,6,FALSE)</f>
        <v>145</v>
      </c>
      <c r="T24" s="5">
        <f>VLOOKUP($A24,'NonXtal_SegEnds_Prot#'!$A:$AL,9,FALSE)</f>
        <v>149</v>
      </c>
      <c r="U24" s="5" t="str">
        <f>VLOOKUP($A24,'NonXtal_SegEnds_Prot#'!$A:$AL,12,FALSE)</f>
        <v>-</v>
      </c>
      <c r="V24" s="5">
        <f>VLOOKUP($A24,'NonXtal_SegEnds_Prot#'!$A:$AL,15,FALSE)</f>
        <v>182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375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30</v>
      </c>
      <c r="AQ24" s="4">
        <f t="shared" si="14"/>
        <v>3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72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72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72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72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EWVLIAAYVAVFVVALVGNTLVCLAVWRNTVTNYFIVNLSLADVLVTAICLPASLLVDITGHALCKVIPYLQAVSVSVAVLTLSFIALDRWYAICHARRARGSILGIWAVSLAIMVPQAAVMDLYPKIYHSCFFIVTYLAPLGLMAMAYFQIFRKLWGRQIPFLAEVKQMRARRKTAKMLMVVLLVFALCYLPISVLNVLKRVFREAVYACFTFSHWLVYANSAANPIIYNFLSGKFREQFKAAF</v>
      </c>
      <c r="C29" s="72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248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39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72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72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72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72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72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72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72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72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38" s="72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493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50</v>
      </c>
      <c r="AZ38" s="4">
        <f t="shared" si="23"/>
        <v>22</v>
      </c>
      <c r="BA38" s="4">
        <f t="shared" si="24"/>
        <v>15</v>
      </c>
    </row>
    <row r="39" spans="1:53" x14ac:dyDescent="0.2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72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72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72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72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72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72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72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72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72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72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72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72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72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72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72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72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72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72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72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72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72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72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72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72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72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72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72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72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72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72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72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72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72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72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72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72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72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72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72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72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72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72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72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72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72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72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72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72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72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72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72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72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72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72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72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72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72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72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72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72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72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72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72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72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72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72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72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72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72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72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72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72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72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72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72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72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72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72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72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72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72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72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72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72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72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72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72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72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72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72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72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72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72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72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72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72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72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72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72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72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72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72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72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72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72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72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72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72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72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72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72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72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72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72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72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72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72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72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72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72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72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72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72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72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72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72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72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72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72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72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72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72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72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72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72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72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72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72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72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72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72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72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72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72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72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72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72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72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72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72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ACLAIDPLRVAPLPLYAAIFLVGVPGNAMVAWVAGKVRVGATWLLHLAVADLLCCLSLPILAVPIARGAVGCRALPSIILLTMYASVLLLAALSADLCFLALGACGVQVACGAAWTLALLLTVPSAIYRSSTENAVTAIRFLFGFLGPLVAVASCHSALLCWRPLGTAIVVGFFVCWAPYHLLGLVLTVALARALRAEPLIVGLALAHSCLNPMLFLYFGRAQLRRSLPAAC</v>
      </c>
      <c r="C189" s="72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>SSTENAVTAIRFLFGFLGPLVAVASCHSALLCW</v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>
        <f>VLOOKUP($A189,'NonXtal_SegEnds_Prot#'!$A:$AL,29,FALSE)</f>
        <v>226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32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72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72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72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72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72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72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72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72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72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72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72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72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72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72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72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72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72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72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72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72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72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72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72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72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72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72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72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72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72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72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72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72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72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72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72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72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">
      <c r="A226" s="1" t="str">
        <f>'NonXtal_SegEnds_Prot#'!A209</f>
        <v>gp158_human</v>
      </c>
      <c r="B226" s="1" t="str">
        <f t="shared" si="75"/>
        <v>YLRLAIISFQALCMLLDFVSMLVVYHFGLILLETILFGSLLLYFPVVILYTFRCILLRWARLLGFATVYGTVTLKLHRVLKVFRTAQRIPYMTGGRVMRMLAVILLVVFDRWDYMTAVAEFLFLLWGVYLCYAVEPRYMAVAVHNELIISAIFHTIRFVMLMLYFAHTHLTVTVTIGLLLIPKFSHSSNNPRDDIATEAYED</v>
      </c>
      <c r="C226" s="72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RTAQRIPYMTGGRVMRMLAVILLVVF</v>
      </c>
      <c r="M226" s="4" t="str">
        <f t="shared" si="83"/>
        <v>CLI</v>
      </c>
      <c r="N226" s="4" t="str">
        <f t="shared" si="84"/>
        <v>DRWDYMTAVAEFLFLLWGVYLCYAV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513</v>
      </c>
      <c r="Y226" s="5">
        <f>VLOOKUP($A226,'NonXtal_SegEnds_Prot#'!$A:$AL,24,FALSE)</f>
        <v>573</v>
      </c>
      <c r="Z226" s="5">
        <f>VLOOKUP($A226,'NonXtal_SegEnds_Prot#'!$A:$AL,27,FALSE)</f>
        <v>576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538</v>
      </c>
      <c r="AK226" s="5">
        <f>VLOOKUP($A226,'NonXtal_SegEnds_Prot#'!$A:$AL,26,FALSE)</f>
        <v>575</v>
      </c>
      <c r="AL226" s="5">
        <f>VLOOKUP($A226,'NonXtal_SegEnds_Prot#'!$A:$AL,29,FALSE)</f>
        <v>600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">
      <c r="A227" s="1" t="str">
        <f>'NonXtal_SegEnds_Prot#'!A210</f>
        <v>gp179_human</v>
      </c>
      <c r="B227" s="1" t="str">
        <f t="shared" si="75"/>
        <v>VLRAAVLACQACCMLAIFLSMLVSYRCGVVLLETVLFGFLLLYFPVFILYVFRCIALRWVRLLGFAIVYGTIILKLYRVLQLFRTAQRSALLSSGRLLRRLGLLLLPVLDRWDYIMVVAELLLLCWGSFLCYATEPRYMGIALHNELLLSAAFHTARFVTLLLFFFHTHSTVTTTLALIFIPKFWKLGAPPREEMVDEVCED</v>
      </c>
      <c r="C227" s="72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RTAQRSALLSSGRLLRRLGLLLLPVL</v>
      </c>
      <c r="M227" s="4" t="str">
        <f t="shared" si="83"/>
        <v>CHH</v>
      </c>
      <c r="N227" s="4" t="str">
        <f t="shared" si="84"/>
        <v>DRWDYIMVVAELLLLCWGSFLCYAT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477</v>
      </c>
      <c r="Y227" s="5">
        <f>VLOOKUP($A227,'NonXtal_SegEnds_Prot#'!$A:$AL,24,FALSE)</f>
        <v>537</v>
      </c>
      <c r="Z227" s="5">
        <f>VLOOKUP($A227,'NonXtal_SegEnds_Prot#'!$A:$AL,27,FALSE)</f>
        <v>540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502</v>
      </c>
      <c r="AK227" s="5">
        <f>VLOOKUP($A227,'NonXtal_SegEnds_Prot#'!$A:$AL,26,FALSE)</f>
        <v>539</v>
      </c>
      <c r="AL227" s="5">
        <f>VLOOKUP($A227,'NonXtal_SegEnds_Prot#'!$A:$AL,29,FALSE)</f>
        <v>564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72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72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72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72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72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72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72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72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72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72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72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72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72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'NonXtal_SegEnds_Prot#'!A227</f>
        <v>cnr2_human</v>
      </c>
      <c r="B241" s="1" t="str">
        <f t="shared" si="75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72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31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72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72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72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72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72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72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72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72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72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72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72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72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72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72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72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72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72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GARSASSLALAIAITALYSAVCAVGLLGNVLVMFGIVRY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39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38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72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72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72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72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72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72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72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72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72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72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72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72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72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72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72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72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72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72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72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72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72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72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72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72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72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72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72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72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72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72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72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72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72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72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72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72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72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72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72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DAVYYSLGIFIGICGIIGCGGNGIVIYLFTKTTPANMFIINLAFSDFTFSLVNGFPLMTISCFLKGFAACKVYGFIGGIFGFMSIMTMAMISIDRYNVIGRHRRAFIMIIFVWLWSVLWAIGPIFDSTTRSNILCMFILGFFGPILIIFFCYFNIVMSVSNHEKEMAAMAKKELRKAQAGANAEMRLAKISIVIVSQFLLSWSPYAVVALLAQFGTPYAAQLPVMFAKASAIHNPMIYSVSHPKFREAISQTF</v>
      </c>
      <c r="C298" s="72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DSTTRSNILCMFILGFFGPILIIFFCYFNIVMSVSNHEKEMAAMAK</v>
      </c>
      <c r="O298" s="4" t="str">
        <f t="shared" si="110"/>
        <v>KELRKAQAGANAEMRLAKISIVIVSQFLLSWSPYAVVALLAQFG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244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239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45</v>
      </c>
      <c r="AY298" s="4">
        <f t="shared" si="122"/>
        <v>43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72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72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72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72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72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72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72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72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72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72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72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72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72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72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72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72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YEWVLIAGYIIVFVVALIGNVLVCVAVWKNTVTNYFIVNLSLADVLVTITCLPATLVVDITGQSLCKVIPYLQTVSVSVSVLTLSCIALDRWYAICHAKRARNSIVIIWIVSCIIMIPQAIVMEIYPKMYHICFFLVTYMAPLCLMVLAYLQIFRKLWCRQIPVAAEIKQIRARRKTARMLMIVLLVFAICYLPISILNVLKRVFRETVYAWFTFSHWLVYANSAANPIIYNFLSGKFREEFKAAF</v>
      </c>
      <c r="C315" s="72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256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39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72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72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72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72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72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72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72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72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72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72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72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72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72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72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72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72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72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72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72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72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72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72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72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72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72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72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72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72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72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72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72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72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72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72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72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72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72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72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72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72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72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72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72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72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72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72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72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72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72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72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72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72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72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72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72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72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72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72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72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72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72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72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72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72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72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72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72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72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72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72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72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72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72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72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72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72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72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72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394" s="72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578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50</v>
      </c>
      <c r="AZ394" s="4">
        <f t="shared" si="173"/>
        <v>22</v>
      </c>
      <c r="BA394" s="4">
        <f t="shared" si="174"/>
        <v>15</v>
      </c>
    </row>
    <row r="395" spans="1:53" x14ac:dyDescent="0.2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395" s="72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574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50</v>
      </c>
      <c r="AZ395" s="4">
        <f t="shared" si="173"/>
        <v>22</v>
      </c>
      <c r="BA395" s="4">
        <f t="shared" si="174"/>
        <v>15</v>
      </c>
    </row>
    <row r="396" spans="1:53" x14ac:dyDescent="0.2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396" s="72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512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50</v>
      </c>
      <c r="AZ396" s="4">
        <f t="shared" si="173"/>
        <v>22</v>
      </c>
      <c r="BA396" s="4">
        <f t="shared" si="174"/>
        <v>15</v>
      </c>
    </row>
    <row r="397" spans="1:53" x14ac:dyDescent="0.2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397" s="72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503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50</v>
      </c>
      <c r="AZ397" s="4">
        <f t="shared" si="173"/>
        <v>22</v>
      </c>
      <c r="BA397" s="4">
        <f t="shared" si="174"/>
        <v>15</v>
      </c>
    </row>
    <row r="398" spans="1:53" x14ac:dyDescent="0.2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398" s="72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491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50</v>
      </c>
      <c r="AZ398" s="4">
        <f t="shared" si="173"/>
        <v>22</v>
      </c>
      <c r="BA398" s="4">
        <f t="shared" si="174"/>
        <v>15</v>
      </c>
    </row>
    <row r="399" spans="1:53" x14ac:dyDescent="0.2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399" s="72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489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50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400" s="72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485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50</v>
      </c>
      <c r="AZ400" s="4">
        <f t="shared" si="173"/>
        <v>22</v>
      </c>
      <c r="BA400" s="4">
        <f t="shared" si="174"/>
        <v>15</v>
      </c>
    </row>
    <row r="401" spans="1:53" x14ac:dyDescent="0.2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72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402" s="72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462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50</v>
      </c>
      <c r="AZ402" s="4">
        <f t="shared" si="173"/>
        <v>22</v>
      </c>
      <c r="BA402" s="4">
        <f t="shared" si="174"/>
        <v>15</v>
      </c>
    </row>
    <row r="403" spans="1:53" x14ac:dyDescent="0.2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403" s="72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458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50</v>
      </c>
      <c r="AZ403" s="4">
        <f t="shared" si="173"/>
        <v>22</v>
      </c>
      <c r="BA403" s="4">
        <f t="shared" si="174"/>
        <v>15</v>
      </c>
    </row>
    <row r="404" spans="1:53" x14ac:dyDescent="0.2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72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72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72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1376</v>
      </c>
      <c r="C1" s="53" t="s">
        <v>1446</v>
      </c>
      <c r="D1" s="53" t="s">
        <v>1424</v>
      </c>
      <c r="E1" s="53" t="s">
        <v>292</v>
      </c>
    </row>
    <row r="2" spans="1:5" x14ac:dyDescent="0.2">
      <c r="A2" t="s">
        <v>663</v>
      </c>
      <c r="B2" t="s">
        <v>758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664</v>
      </c>
      <c r="B3" t="s">
        <v>789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1126</v>
      </c>
      <c r="B4" t="s">
        <v>806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662</v>
      </c>
      <c r="B5" t="s">
        <v>839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669</v>
      </c>
      <c r="B6" t="s">
        <v>892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670</v>
      </c>
      <c r="B7" t="s">
        <v>893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671</v>
      </c>
      <c r="B8" t="s">
        <v>894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672</v>
      </c>
      <c r="B9" t="s">
        <v>895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673</v>
      </c>
      <c r="B10" t="s">
        <v>896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674</v>
      </c>
      <c r="B11" t="s">
        <v>897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675</v>
      </c>
      <c r="B12" t="s">
        <v>898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651</v>
      </c>
      <c r="B13" t="s">
        <v>899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652</v>
      </c>
      <c r="B14" t="s">
        <v>900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653</v>
      </c>
      <c r="B15" t="s">
        <v>901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654</v>
      </c>
      <c r="B16" t="s">
        <v>902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655</v>
      </c>
      <c r="B17" t="s">
        <v>903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656</v>
      </c>
      <c r="B18" t="s">
        <v>904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657</v>
      </c>
      <c r="B19" t="s">
        <v>905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658</v>
      </c>
      <c r="B20" t="s">
        <v>906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659</v>
      </c>
      <c r="B21" t="s">
        <v>907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660</v>
      </c>
      <c r="B22" t="s">
        <v>908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661</v>
      </c>
      <c r="B23" t="s">
        <v>909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665</v>
      </c>
      <c r="B24" t="s">
        <v>910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666</v>
      </c>
      <c r="B25" t="s">
        <v>911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667</v>
      </c>
      <c r="B26" t="s">
        <v>912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677</v>
      </c>
      <c r="B27" t="s">
        <v>1074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676</v>
      </c>
      <c r="B28" t="s">
        <v>1075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678</v>
      </c>
      <c r="B29" t="s">
        <v>1076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679</v>
      </c>
      <c r="B30" t="s">
        <v>1077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680</v>
      </c>
      <c r="B31" t="s">
        <v>1078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681</v>
      </c>
      <c r="B32" t="s">
        <v>1079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1073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641</v>
      </c>
      <c r="B34" t="s">
        <v>1063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643</v>
      </c>
      <c r="B35" t="s">
        <v>1064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644</v>
      </c>
      <c r="B36" t="s">
        <v>1065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645</v>
      </c>
      <c r="B37" t="s">
        <v>1066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646</v>
      </c>
      <c r="B38" t="s">
        <v>1067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647</v>
      </c>
      <c r="B39" t="s">
        <v>1068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648</v>
      </c>
      <c r="B40" t="s">
        <v>1069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649</v>
      </c>
      <c r="B41" t="s">
        <v>1070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650</v>
      </c>
      <c r="B42" t="s">
        <v>1071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642</v>
      </c>
      <c r="B43" t="s">
        <v>1072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1046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1050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305</v>
      </c>
      <c r="B46" t="s">
        <v>1041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300</v>
      </c>
      <c r="B47" t="s">
        <v>1042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299</v>
      </c>
      <c r="B48" t="s">
        <v>1043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308</v>
      </c>
      <c r="B49" t="s">
        <v>1044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301</v>
      </c>
      <c r="B50" t="s">
        <v>1045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309</v>
      </c>
      <c r="B51" t="s">
        <v>1047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310</v>
      </c>
      <c r="B52" t="s">
        <v>1048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311</v>
      </c>
      <c r="B53" t="s">
        <v>1049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312</v>
      </c>
      <c r="B54" t="s">
        <v>1051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313</v>
      </c>
      <c r="B55" t="s">
        <v>1052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314</v>
      </c>
      <c r="B56" t="s">
        <v>1053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316</v>
      </c>
      <c r="B57" t="s">
        <v>1054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317</v>
      </c>
      <c r="B58" t="s">
        <v>1055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318</v>
      </c>
      <c r="B59" t="s">
        <v>1056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302</v>
      </c>
      <c r="B60" t="s">
        <v>1057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303</v>
      </c>
      <c r="B61" t="s">
        <v>1058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304</v>
      </c>
      <c r="B62" t="s">
        <v>1059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315</v>
      </c>
      <c r="B63" t="s">
        <v>1060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306</v>
      </c>
      <c r="B64" t="s">
        <v>1061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307</v>
      </c>
      <c r="B65" t="s">
        <v>1062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1396</v>
      </c>
      <c r="B66" t="s">
        <v>1008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1397</v>
      </c>
      <c r="B67" t="s">
        <v>1009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1398</v>
      </c>
      <c r="B68" t="s">
        <v>1010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608</v>
      </c>
      <c r="B69" t="s">
        <v>1011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1399</v>
      </c>
      <c r="B70" t="s">
        <v>1012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1400</v>
      </c>
      <c r="B71" t="s">
        <v>1013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612</v>
      </c>
      <c r="B72" t="s">
        <v>1014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613</v>
      </c>
      <c r="B73" t="s">
        <v>1015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614</v>
      </c>
      <c r="B74" t="s">
        <v>1016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1401</v>
      </c>
      <c r="B75" t="s">
        <v>1017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1402</v>
      </c>
      <c r="B76" t="s">
        <v>1018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1403</v>
      </c>
      <c r="B77" t="s">
        <v>1019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1404</v>
      </c>
      <c r="B78" t="s">
        <v>1020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1405</v>
      </c>
      <c r="B79" t="s">
        <v>1021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1406</v>
      </c>
      <c r="B80" t="s">
        <v>1022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611</v>
      </c>
      <c r="B81" t="s">
        <v>1023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1407</v>
      </c>
      <c r="B82" t="s">
        <v>1024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1408</v>
      </c>
      <c r="B83" t="s">
        <v>1025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1409</v>
      </c>
      <c r="B84" t="s">
        <v>1026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1410</v>
      </c>
      <c r="B85" t="s">
        <v>1027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1411</v>
      </c>
      <c r="B86" t="s">
        <v>1028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1412</v>
      </c>
      <c r="B87" t="s">
        <v>1029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1413</v>
      </c>
      <c r="B88" t="s">
        <v>1030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1414</v>
      </c>
      <c r="B89" t="s">
        <v>1031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1415</v>
      </c>
      <c r="B90" t="s">
        <v>1032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1416</v>
      </c>
      <c r="B91" t="s">
        <v>1033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630</v>
      </c>
      <c r="B92" t="s">
        <v>1034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1417</v>
      </c>
      <c r="B93" t="s">
        <v>1035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1418</v>
      </c>
      <c r="B94" t="s">
        <v>1036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1419</v>
      </c>
      <c r="B95" t="s">
        <v>1037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1420</v>
      </c>
      <c r="B96" t="s">
        <v>1038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1421</v>
      </c>
      <c r="B97" t="s">
        <v>1039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637</v>
      </c>
      <c r="B98" t="s">
        <v>1040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1558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1001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595</v>
      </c>
      <c r="B101" t="s">
        <v>994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596</v>
      </c>
      <c r="B102" t="s">
        <v>995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597</v>
      </c>
      <c r="B103" t="s">
        <v>996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598</v>
      </c>
      <c r="B104" t="s">
        <v>997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599</v>
      </c>
      <c r="B105" t="s">
        <v>998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600</v>
      </c>
      <c r="B106" t="s">
        <v>999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601</v>
      </c>
      <c r="B107" t="s">
        <v>1000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605</v>
      </c>
      <c r="B108" t="s">
        <v>1002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603</v>
      </c>
      <c r="B109" t="s">
        <v>1003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604</v>
      </c>
      <c r="B110" t="s">
        <v>1004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602</v>
      </c>
      <c r="B111" t="s">
        <v>1005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606</v>
      </c>
      <c r="B112" t="s">
        <v>1006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607</v>
      </c>
      <c r="B113" t="s">
        <v>1007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1108</v>
      </c>
      <c r="B114" t="s">
        <v>1109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1112</v>
      </c>
      <c r="B115" t="s">
        <v>1113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1114</v>
      </c>
      <c r="B116" t="s">
        <v>1115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1106</v>
      </c>
      <c r="B117" t="s">
        <v>1107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1110</v>
      </c>
      <c r="B118" t="s">
        <v>1111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1118</v>
      </c>
      <c r="B119" t="s">
        <v>1119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1116</v>
      </c>
      <c r="B120" t="s">
        <v>1117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1120</v>
      </c>
      <c r="B121" t="s">
        <v>1121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683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688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340</v>
      </c>
      <c r="B124" t="s">
        <v>694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341</v>
      </c>
      <c r="B125" t="s">
        <v>695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343</v>
      </c>
      <c r="B126" t="s">
        <v>698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320</v>
      </c>
      <c r="B127" t="s">
        <v>707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386</v>
      </c>
      <c r="B128" t="s">
        <v>710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472</v>
      </c>
      <c r="B129" t="s">
        <v>713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352</v>
      </c>
      <c r="B130" t="s">
        <v>718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529</v>
      </c>
      <c r="B131" t="s">
        <v>766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530</v>
      </c>
      <c r="B132" t="s">
        <v>767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1393</v>
      </c>
      <c r="B133" t="s">
        <v>769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1394</v>
      </c>
      <c r="B134" t="s">
        <v>770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1395</v>
      </c>
      <c r="B135" t="s">
        <v>771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549</v>
      </c>
      <c r="B136" t="s">
        <v>774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367</v>
      </c>
      <c r="B137" t="s">
        <v>802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1391</v>
      </c>
      <c r="B138" t="s">
        <v>812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1392</v>
      </c>
      <c r="B139" t="s">
        <v>828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297</v>
      </c>
      <c r="B140" t="s">
        <v>838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298</v>
      </c>
      <c r="B141" t="s">
        <v>844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333</v>
      </c>
      <c r="B142" t="s">
        <v>867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539</v>
      </c>
      <c r="B143" t="s">
        <v>870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546</v>
      </c>
      <c r="B144" t="s">
        <v>875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533</v>
      </c>
      <c r="B145" t="s">
        <v>885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322</v>
      </c>
      <c r="B146" t="s">
        <v>682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323</v>
      </c>
      <c r="B147" t="s">
        <v>684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324</v>
      </c>
      <c r="B148" t="s">
        <v>685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325</v>
      </c>
      <c r="B149" t="s">
        <v>686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326</v>
      </c>
      <c r="B150" t="s">
        <v>687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327</v>
      </c>
      <c r="B151" t="s">
        <v>689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328</v>
      </c>
      <c r="B152" t="s">
        <v>690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329</v>
      </c>
      <c r="B153" t="s">
        <v>691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330</v>
      </c>
      <c r="B154" t="s">
        <v>692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331</v>
      </c>
      <c r="B155" t="s">
        <v>693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385</v>
      </c>
      <c r="B156" t="s">
        <v>696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342</v>
      </c>
      <c r="B157" t="s">
        <v>697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344</v>
      </c>
      <c r="B158" t="s">
        <v>699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346</v>
      </c>
      <c r="B159" t="s">
        <v>700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347</v>
      </c>
      <c r="B160" t="s">
        <v>701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348</v>
      </c>
      <c r="B161" t="s">
        <v>702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349</v>
      </c>
      <c r="B162" t="s">
        <v>703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350</v>
      </c>
      <c r="B163" t="s">
        <v>704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351</v>
      </c>
      <c r="B164" t="s">
        <v>705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319</v>
      </c>
      <c r="B165" t="s">
        <v>706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296</v>
      </c>
      <c r="B166" t="s">
        <v>708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384</v>
      </c>
      <c r="B167" t="s">
        <v>709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387</v>
      </c>
      <c r="B168" t="s">
        <v>711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388</v>
      </c>
      <c r="B169" t="s">
        <v>712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473</v>
      </c>
      <c r="B170" t="s">
        <v>714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474</v>
      </c>
      <c r="B171" t="s">
        <v>715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475</v>
      </c>
      <c r="B172" t="s">
        <v>716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581</v>
      </c>
      <c r="B173" t="s">
        <v>717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353</v>
      </c>
      <c r="B174" t="s">
        <v>719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354</v>
      </c>
      <c r="B175" t="s">
        <v>720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511</v>
      </c>
      <c r="B176" t="s">
        <v>721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468</v>
      </c>
      <c r="B177" t="s">
        <v>722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357</v>
      </c>
      <c r="B178" t="s">
        <v>723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355</v>
      </c>
      <c r="B179" t="s">
        <v>724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356</v>
      </c>
      <c r="B180" t="s">
        <v>725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361</v>
      </c>
      <c r="B181" t="s">
        <v>726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402</v>
      </c>
      <c r="B182" t="s">
        <v>727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358</v>
      </c>
      <c r="B183" t="s">
        <v>728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359</v>
      </c>
      <c r="B184" t="s">
        <v>729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360</v>
      </c>
      <c r="B185" t="s">
        <v>730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389</v>
      </c>
      <c r="B186" t="s">
        <v>731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390</v>
      </c>
      <c r="B187" t="s">
        <v>732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395</v>
      </c>
      <c r="B188" t="s">
        <v>733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396</v>
      </c>
      <c r="B189" t="s">
        <v>734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397</v>
      </c>
      <c r="B190" t="s">
        <v>735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399</v>
      </c>
      <c r="B191" t="s">
        <v>736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400</v>
      </c>
      <c r="B192" t="s">
        <v>737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401</v>
      </c>
      <c r="B193" t="s">
        <v>738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403</v>
      </c>
      <c r="B194" t="s">
        <v>739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404</v>
      </c>
      <c r="B195" t="s">
        <v>740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405</v>
      </c>
      <c r="B196" t="s">
        <v>741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476</v>
      </c>
      <c r="B197" t="s">
        <v>742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493</v>
      </c>
      <c r="B198" t="s">
        <v>743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494</v>
      </c>
      <c r="B199" t="s">
        <v>744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503</v>
      </c>
      <c r="B200" t="s">
        <v>745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345</v>
      </c>
      <c r="B201" t="s">
        <v>746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490</v>
      </c>
      <c r="B202" t="s">
        <v>747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491</v>
      </c>
      <c r="B203" t="s">
        <v>748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492</v>
      </c>
      <c r="B204" t="s">
        <v>749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504</v>
      </c>
      <c r="B205" t="s">
        <v>750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512</v>
      </c>
      <c r="B206" t="s">
        <v>751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513</v>
      </c>
      <c r="B207" t="s">
        <v>752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516</v>
      </c>
      <c r="B208" t="s">
        <v>753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517</v>
      </c>
      <c r="B209" t="s">
        <v>754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518</v>
      </c>
      <c r="B210" t="s">
        <v>755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514</v>
      </c>
      <c r="B211" t="s">
        <v>756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515</v>
      </c>
      <c r="B212" t="s">
        <v>757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519</v>
      </c>
      <c r="B213" t="s">
        <v>759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520</v>
      </c>
      <c r="B214" t="s">
        <v>760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521</v>
      </c>
      <c r="B215" t="s">
        <v>761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522</v>
      </c>
      <c r="B216" t="s">
        <v>762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523</v>
      </c>
      <c r="B217" t="s">
        <v>763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321</v>
      </c>
      <c r="B218" t="s">
        <v>764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524</v>
      </c>
      <c r="B219" t="s">
        <v>765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531</v>
      </c>
      <c r="B220" t="s">
        <v>768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566</v>
      </c>
      <c r="B221" t="s">
        <v>772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563</v>
      </c>
      <c r="B222" t="s">
        <v>773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550</v>
      </c>
      <c r="B223" t="s">
        <v>775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551</v>
      </c>
      <c r="B224" t="s">
        <v>776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552</v>
      </c>
      <c r="B225" t="s">
        <v>777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569</v>
      </c>
      <c r="B226" t="s">
        <v>778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570</v>
      </c>
      <c r="B227" t="s">
        <v>779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567</v>
      </c>
      <c r="B228" t="s">
        <v>780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568</v>
      </c>
      <c r="B229" t="s">
        <v>781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575</v>
      </c>
      <c r="B230" t="s">
        <v>782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576</v>
      </c>
      <c r="B231" t="s">
        <v>783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577</v>
      </c>
      <c r="B232" t="s">
        <v>784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578</v>
      </c>
      <c r="B233" t="s">
        <v>785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579</v>
      </c>
      <c r="B234" t="s">
        <v>786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508</v>
      </c>
      <c r="B235" t="s">
        <v>787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509</v>
      </c>
      <c r="B236" t="s">
        <v>788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510</v>
      </c>
      <c r="B237" t="s">
        <v>790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588</v>
      </c>
      <c r="B238" t="s">
        <v>791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590</v>
      </c>
      <c r="B239" t="s">
        <v>792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591</v>
      </c>
      <c r="B240" t="s">
        <v>793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592</v>
      </c>
      <c r="B241" t="s">
        <v>794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593</v>
      </c>
      <c r="B242" t="s">
        <v>795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538</v>
      </c>
      <c r="B243" t="s">
        <v>796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375</v>
      </c>
      <c r="B244" t="s">
        <v>797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362</v>
      </c>
      <c r="B245" t="s">
        <v>798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364</v>
      </c>
      <c r="B246" t="s">
        <v>799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365</v>
      </c>
      <c r="B247" t="s">
        <v>800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366</v>
      </c>
      <c r="B248" t="s">
        <v>801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368</v>
      </c>
      <c r="B249" t="s">
        <v>803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369</v>
      </c>
      <c r="B250" t="s">
        <v>804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370</v>
      </c>
      <c r="B251" t="s">
        <v>805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371</v>
      </c>
      <c r="B252" t="s">
        <v>807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363</v>
      </c>
      <c r="B253" t="s">
        <v>808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379</v>
      </c>
      <c r="B254" t="s">
        <v>809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380</v>
      </c>
      <c r="B255" t="s">
        <v>810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381</v>
      </c>
      <c r="B256" t="s">
        <v>811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382</v>
      </c>
      <c r="B257" t="s">
        <v>813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383</v>
      </c>
      <c r="B258" t="s">
        <v>814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378</v>
      </c>
      <c r="B259" t="s">
        <v>815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594</v>
      </c>
      <c r="B260" t="s">
        <v>816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336</v>
      </c>
      <c r="B261" t="s">
        <v>817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337</v>
      </c>
      <c r="B262" t="s">
        <v>818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338</v>
      </c>
      <c r="B263" t="s">
        <v>819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339</v>
      </c>
      <c r="B264" t="s">
        <v>820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372</v>
      </c>
      <c r="B265" t="s">
        <v>821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398</v>
      </c>
      <c r="B266" t="s">
        <v>822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480</v>
      </c>
      <c r="B267" t="s">
        <v>823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485</v>
      </c>
      <c r="B268" t="s">
        <v>824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589</v>
      </c>
      <c r="B269" t="s">
        <v>825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561</v>
      </c>
      <c r="B270" t="s">
        <v>826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562</v>
      </c>
      <c r="B271" t="s">
        <v>827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392</v>
      </c>
      <c r="B272" t="s">
        <v>829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393</v>
      </c>
      <c r="B273" t="s">
        <v>830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831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452</v>
      </c>
      <c r="B275" t="s">
        <v>832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486</v>
      </c>
      <c r="B276" t="s">
        <v>833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487</v>
      </c>
      <c r="B277" t="s">
        <v>834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373</v>
      </c>
      <c r="B278" t="s">
        <v>835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374</v>
      </c>
      <c r="B279" t="s">
        <v>836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536</v>
      </c>
      <c r="B280" t="s">
        <v>837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481</v>
      </c>
      <c r="B281" t="s">
        <v>840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482</v>
      </c>
      <c r="B282" t="s">
        <v>841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483</v>
      </c>
      <c r="B283" t="s">
        <v>842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484</v>
      </c>
      <c r="B284" t="s">
        <v>843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571</v>
      </c>
      <c r="B285" t="s">
        <v>845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572</v>
      </c>
      <c r="B286" t="s">
        <v>846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573</v>
      </c>
      <c r="B287" t="s">
        <v>847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574</v>
      </c>
      <c r="B288" t="s">
        <v>848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376</v>
      </c>
      <c r="B289" t="s">
        <v>849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850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435</v>
      </c>
      <c r="B291" t="s">
        <v>851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455</v>
      </c>
      <c r="B292" t="s">
        <v>852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407</v>
      </c>
      <c r="B293" t="s">
        <v>853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565</v>
      </c>
      <c r="B294" t="s">
        <v>854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553</v>
      </c>
      <c r="B295" t="s">
        <v>855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554</v>
      </c>
      <c r="B296" t="s">
        <v>856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555</v>
      </c>
      <c r="B297" t="s">
        <v>857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556</v>
      </c>
      <c r="B298" t="s">
        <v>858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557</v>
      </c>
      <c r="B299" t="s">
        <v>859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558</v>
      </c>
      <c r="B300" t="s">
        <v>860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559</v>
      </c>
      <c r="B301" t="s">
        <v>861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560</v>
      </c>
      <c r="B302" t="s">
        <v>862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668</v>
      </c>
      <c r="B303" t="s">
        <v>863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505</v>
      </c>
      <c r="B304" t="s">
        <v>864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506</v>
      </c>
      <c r="B305" t="s">
        <v>865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332</v>
      </c>
      <c r="B306" t="s">
        <v>866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334</v>
      </c>
      <c r="B307" t="s">
        <v>868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335</v>
      </c>
      <c r="B308" t="s">
        <v>869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540</v>
      </c>
      <c r="B309" t="s">
        <v>871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541</v>
      </c>
      <c r="B310" t="s">
        <v>872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542</v>
      </c>
      <c r="B311" t="s">
        <v>873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545</v>
      </c>
      <c r="B312" t="s">
        <v>874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547</v>
      </c>
      <c r="B313" t="s">
        <v>876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548</v>
      </c>
      <c r="B314" t="s">
        <v>877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429</v>
      </c>
      <c r="B315" t="s">
        <v>878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430</v>
      </c>
      <c r="B316" t="s">
        <v>879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469</v>
      </c>
      <c r="B317" t="s">
        <v>880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470</v>
      </c>
      <c r="B318" t="s">
        <v>881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471</v>
      </c>
      <c r="B319" t="s">
        <v>882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537</v>
      </c>
      <c r="B320" t="s">
        <v>883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580</v>
      </c>
      <c r="B321" t="s">
        <v>884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527</v>
      </c>
      <c r="B322" t="s">
        <v>886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526</v>
      </c>
      <c r="B323" t="s">
        <v>887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528</v>
      </c>
      <c r="B324" t="s">
        <v>888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532</v>
      </c>
      <c r="B325" t="s">
        <v>889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534</v>
      </c>
      <c r="B326" t="s">
        <v>890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535</v>
      </c>
      <c r="B327" t="s">
        <v>891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431</v>
      </c>
      <c r="B328" t="s">
        <v>913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443</v>
      </c>
      <c r="B329" t="s">
        <v>914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451</v>
      </c>
      <c r="B330" t="s">
        <v>915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456</v>
      </c>
      <c r="B331" t="s">
        <v>916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432</v>
      </c>
      <c r="B332" t="s">
        <v>917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433</v>
      </c>
      <c r="B333" t="s">
        <v>918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434</v>
      </c>
      <c r="B334" t="s">
        <v>919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436</v>
      </c>
      <c r="B335" t="s">
        <v>920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437</v>
      </c>
      <c r="B336" t="s">
        <v>921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438</v>
      </c>
      <c r="B337" t="s">
        <v>922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439</v>
      </c>
      <c r="B338" t="s">
        <v>923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440</v>
      </c>
      <c r="B339" t="s">
        <v>924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441</v>
      </c>
      <c r="B340" t="s">
        <v>925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442</v>
      </c>
      <c r="B341" t="s">
        <v>926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444</v>
      </c>
      <c r="B342" t="s">
        <v>927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445</v>
      </c>
      <c r="B343" t="s">
        <v>928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446</v>
      </c>
      <c r="B344" t="s">
        <v>929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447</v>
      </c>
      <c r="B345" t="s">
        <v>930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448</v>
      </c>
      <c r="B346" t="s">
        <v>931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449</v>
      </c>
      <c r="B347" t="s">
        <v>932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391</v>
      </c>
      <c r="B348" t="s">
        <v>933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450</v>
      </c>
      <c r="B349" t="s">
        <v>934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453</v>
      </c>
      <c r="B350" t="s">
        <v>935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507</v>
      </c>
      <c r="B351" t="s">
        <v>936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454</v>
      </c>
      <c r="B352" t="s">
        <v>937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457</v>
      </c>
      <c r="B353" t="s">
        <v>938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458</v>
      </c>
      <c r="B354" t="s">
        <v>939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459</v>
      </c>
      <c r="B355" t="s">
        <v>940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564</v>
      </c>
      <c r="B356" t="s">
        <v>941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525</v>
      </c>
      <c r="B357" t="s">
        <v>942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460</v>
      </c>
      <c r="B358" t="s">
        <v>943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461</v>
      </c>
      <c r="B359" t="s">
        <v>944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462</v>
      </c>
      <c r="B360" t="s">
        <v>945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463</v>
      </c>
      <c r="B361" t="s">
        <v>946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464</v>
      </c>
      <c r="B362" t="s">
        <v>947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465</v>
      </c>
      <c r="B363" t="s">
        <v>948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466</v>
      </c>
      <c r="B364" t="s">
        <v>949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467</v>
      </c>
      <c r="B365" t="s">
        <v>950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406</v>
      </c>
      <c r="B366" t="s">
        <v>951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408</v>
      </c>
      <c r="B367" t="s">
        <v>952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409</v>
      </c>
      <c r="B368" t="s">
        <v>953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410</v>
      </c>
      <c r="B369" t="s">
        <v>954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411</v>
      </c>
      <c r="B370" t="s">
        <v>955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412</v>
      </c>
      <c r="B371" t="s">
        <v>956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413</v>
      </c>
      <c r="B372" t="s">
        <v>957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414</v>
      </c>
      <c r="B373" t="s">
        <v>958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415</v>
      </c>
      <c r="B374" t="s">
        <v>959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416</v>
      </c>
      <c r="B375" t="s">
        <v>960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417</v>
      </c>
      <c r="B376" t="s">
        <v>961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418</v>
      </c>
      <c r="B377" t="s">
        <v>962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419</v>
      </c>
      <c r="B378" t="s">
        <v>963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420</v>
      </c>
      <c r="B379" t="s">
        <v>964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421</v>
      </c>
      <c r="B380" t="s">
        <v>965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422</v>
      </c>
      <c r="B381" t="s">
        <v>966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423</v>
      </c>
      <c r="B382" t="s">
        <v>967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424</v>
      </c>
      <c r="B383" t="s">
        <v>968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425</v>
      </c>
      <c r="B384" t="s">
        <v>969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426</v>
      </c>
      <c r="B385" t="s">
        <v>970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427</v>
      </c>
      <c r="B386" t="s">
        <v>971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428</v>
      </c>
      <c r="B387" t="s">
        <v>972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477</v>
      </c>
      <c r="B388" t="s">
        <v>973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478</v>
      </c>
      <c r="B389" t="s">
        <v>974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479</v>
      </c>
      <c r="B390" t="s">
        <v>975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488</v>
      </c>
      <c r="B391" t="s">
        <v>976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489</v>
      </c>
      <c r="B392" t="s">
        <v>977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495</v>
      </c>
      <c r="B393" t="s">
        <v>978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496</v>
      </c>
      <c r="B394" t="s">
        <v>979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497</v>
      </c>
      <c r="B395" t="s">
        <v>980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498</v>
      </c>
      <c r="B396" t="s">
        <v>981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499</v>
      </c>
      <c r="B397" t="s">
        <v>982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500</v>
      </c>
      <c r="B398" t="s">
        <v>983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501</v>
      </c>
      <c r="B399" t="s">
        <v>984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502</v>
      </c>
      <c r="B400" t="s">
        <v>985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543</v>
      </c>
      <c r="B401" t="s">
        <v>986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544</v>
      </c>
      <c r="B402" t="s">
        <v>987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582</v>
      </c>
      <c r="B403" t="s">
        <v>988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583</v>
      </c>
      <c r="B404" t="s">
        <v>989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584</v>
      </c>
      <c r="B405" t="s">
        <v>990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585</v>
      </c>
      <c r="B406" t="s">
        <v>991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586</v>
      </c>
      <c r="B407" t="s">
        <v>992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587</v>
      </c>
      <c r="B408" t="s">
        <v>993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27" workbookViewId="0">
      <selection activeCell="B254" sqref="B254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71"/>
    <col min="4" max="4" width="10.83203125" style="33"/>
    <col min="5" max="5" width="14.6640625" style="33" bestFit="1" customWidth="1"/>
    <col min="7" max="16384" width="10.83203125" style="1"/>
  </cols>
  <sheetData>
    <row r="1" spans="1:7" s="78" customFormat="1" x14ac:dyDescent="0.2">
      <c r="A1" s="78" t="s">
        <v>1377</v>
      </c>
      <c r="B1" s="78" t="s">
        <v>1331</v>
      </c>
      <c r="C1" s="79" t="s">
        <v>1448</v>
      </c>
      <c r="D1" s="78" t="s">
        <v>1447</v>
      </c>
      <c r="E1" s="78" t="s">
        <v>1449</v>
      </c>
    </row>
    <row r="2" spans="1:7" s="17" customFormat="1" x14ac:dyDescent="0.2">
      <c r="A2" t="s">
        <v>667</v>
      </c>
      <c r="B2" t="s">
        <v>208</v>
      </c>
      <c r="C2" s="71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652</v>
      </c>
      <c r="B3" t="s">
        <v>209</v>
      </c>
      <c r="C3" s="71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671</v>
      </c>
      <c r="B4" t="s">
        <v>341</v>
      </c>
      <c r="C4" s="71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660</v>
      </c>
      <c r="B5" t="s">
        <v>1106</v>
      </c>
      <c r="C5" s="71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680</v>
      </c>
      <c r="B6" t="s">
        <v>352</v>
      </c>
      <c r="C6" s="71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655</v>
      </c>
      <c r="B7" t="s">
        <v>352</v>
      </c>
      <c r="C7" s="71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1126</v>
      </c>
      <c r="B8" t="s">
        <v>352</v>
      </c>
      <c r="C8" s="71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666</v>
      </c>
      <c r="B9" t="s">
        <v>352</v>
      </c>
      <c r="C9" s="71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662</v>
      </c>
      <c r="B10" t="s">
        <v>352</v>
      </c>
      <c r="C10" s="71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674</v>
      </c>
      <c r="B11" t="s">
        <v>352</v>
      </c>
      <c r="C11" s="71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656</v>
      </c>
      <c r="B12" t="s">
        <v>352</v>
      </c>
      <c r="C12" s="71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658</v>
      </c>
      <c r="B13" t="s">
        <v>352</v>
      </c>
      <c r="C13" s="71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663</v>
      </c>
      <c r="B14" t="s">
        <v>352</v>
      </c>
      <c r="C14" s="71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664</v>
      </c>
      <c r="B15" t="s">
        <v>352</v>
      </c>
      <c r="C15" s="71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665</v>
      </c>
      <c r="B16" t="s">
        <v>352</v>
      </c>
      <c r="C16" s="71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">
      <c r="A17" t="s">
        <v>675</v>
      </c>
      <c r="B17" t="s">
        <v>352</v>
      </c>
      <c r="C17" s="71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">
      <c r="A18" t="s">
        <v>670</v>
      </c>
      <c r="B18" t="s">
        <v>352</v>
      </c>
      <c r="C18" s="71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">
      <c r="A19" t="s">
        <v>673</v>
      </c>
      <c r="B19" t="s">
        <v>352</v>
      </c>
      <c r="C19" s="71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">
      <c r="A20" t="s">
        <v>659</v>
      </c>
      <c r="B20" t="s">
        <v>352</v>
      </c>
      <c r="C20" s="71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">
      <c r="A21" t="s">
        <v>657</v>
      </c>
      <c r="B21" t="s">
        <v>352</v>
      </c>
      <c r="C21" s="71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">
      <c r="A22" t="s">
        <v>1406</v>
      </c>
      <c r="B22" t="s">
        <v>213</v>
      </c>
      <c r="C22" s="71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">
      <c r="A23" t="s">
        <v>1416</v>
      </c>
      <c r="B23" t="s">
        <v>213</v>
      </c>
      <c r="C23" s="71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">
      <c r="A24" t="s">
        <v>1421</v>
      </c>
      <c r="B24" t="s">
        <v>213</v>
      </c>
      <c r="C24" s="71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">
      <c r="A25" t="s">
        <v>1414</v>
      </c>
      <c r="B25" t="s">
        <v>213</v>
      </c>
      <c r="C25" s="71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">
      <c r="A26" t="s">
        <v>1412</v>
      </c>
      <c r="B26" t="s">
        <v>213</v>
      </c>
      <c r="C26" s="71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">
      <c r="A27" t="s">
        <v>1403</v>
      </c>
      <c r="B27" t="s">
        <v>213</v>
      </c>
      <c r="C27" s="71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">
      <c r="A28" t="s">
        <v>1410</v>
      </c>
      <c r="B28" t="s">
        <v>213</v>
      </c>
      <c r="C28" s="71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">
      <c r="A29" t="s">
        <v>1404</v>
      </c>
      <c r="B29" t="s">
        <v>213</v>
      </c>
      <c r="C29" s="71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">
      <c r="A30" t="s">
        <v>1405</v>
      </c>
      <c r="B30" t="s">
        <v>213</v>
      </c>
      <c r="C30" s="71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">
      <c r="A31" t="s">
        <v>1409</v>
      </c>
      <c r="B31" t="s">
        <v>213</v>
      </c>
      <c r="C31" s="71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">
      <c r="A32" t="s">
        <v>1402</v>
      </c>
      <c r="B32" t="s">
        <v>213</v>
      </c>
      <c r="C32" s="71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1401</v>
      </c>
      <c r="B33" t="s">
        <v>213</v>
      </c>
      <c r="C33" s="71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1407</v>
      </c>
      <c r="B34" t="s">
        <v>213</v>
      </c>
      <c r="C34" s="71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1417</v>
      </c>
      <c r="B35" t="s">
        <v>213</v>
      </c>
      <c r="C35" s="71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1411</v>
      </c>
      <c r="B36" t="s">
        <v>213</v>
      </c>
      <c r="C36" s="71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1415</v>
      </c>
      <c r="B37" t="s">
        <v>213</v>
      </c>
      <c r="C37" s="71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630</v>
      </c>
      <c r="B38" t="s">
        <v>213</v>
      </c>
      <c r="C38" s="71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1413</v>
      </c>
      <c r="B39" t="s">
        <v>213</v>
      </c>
      <c r="C39" s="71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637</v>
      </c>
      <c r="B40" t="s">
        <v>213</v>
      </c>
      <c r="C40" s="71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1396</v>
      </c>
      <c r="B41" t="s">
        <v>213</v>
      </c>
      <c r="C41" s="71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1397</v>
      </c>
      <c r="B42" t="s">
        <v>213</v>
      </c>
      <c r="C42" s="71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1398</v>
      </c>
      <c r="B43" t="s">
        <v>213</v>
      </c>
      <c r="C43" s="71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612</v>
      </c>
      <c r="B44" t="s">
        <v>213</v>
      </c>
      <c r="C44" s="71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613</v>
      </c>
      <c r="B45" t="s">
        <v>213</v>
      </c>
      <c r="C45" s="71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1420</v>
      </c>
      <c r="B46" t="s">
        <v>213</v>
      </c>
      <c r="C46" s="71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1419</v>
      </c>
      <c r="B47" t="s">
        <v>213</v>
      </c>
      <c r="C47" s="71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1400</v>
      </c>
      <c r="B48" t="s">
        <v>213</v>
      </c>
      <c r="C48" s="71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1418</v>
      </c>
      <c r="B49" t="s">
        <v>213</v>
      </c>
      <c r="C49" s="71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1399</v>
      </c>
      <c r="B50" t="s">
        <v>213</v>
      </c>
      <c r="C50" s="71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608</v>
      </c>
      <c r="B51" t="s">
        <v>213</v>
      </c>
      <c r="C51" s="71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1408</v>
      </c>
      <c r="B52" t="s">
        <v>213</v>
      </c>
      <c r="C52" s="71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676</v>
      </c>
      <c r="B53" t="s">
        <v>1391</v>
      </c>
      <c r="C53" s="71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679</v>
      </c>
      <c r="B54" t="s">
        <v>1391</v>
      </c>
      <c r="C54" s="71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611</v>
      </c>
      <c r="B55" t="s">
        <v>206</v>
      </c>
      <c r="C55" s="71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614</v>
      </c>
      <c r="B56" t="s">
        <v>206</v>
      </c>
      <c r="C56" s="71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681</v>
      </c>
      <c r="B57" t="s">
        <v>223</v>
      </c>
      <c r="C57" s="71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661</v>
      </c>
      <c r="B58" t="s">
        <v>1114</v>
      </c>
      <c r="C58" s="71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669</v>
      </c>
      <c r="B59" t="s">
        <v>533</v>
      </c>
      <c r="C59" s="71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654</v>
      </c>
      <c r="B60" t="s">
        <v>1395</v>
      </c>
      <c r="C60" s="71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653</v>
      </c>
      <c r="B61" t="s">
        <v>539</v>
      </c>
      <c r="C61" s="71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677</v>
      </c>
      <c r="B62" t="s">
        <v>546</v>
      </c>
      <c r="C62" s="71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651</v>
      </c>
      <c r="B63" t="s">
        <v>298</v>
      </c>
      <c r="C63" s="71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672</v>
      </c>
      <c r="B64" t="s">
        <v>1120</v>
      </c>
      <c r="C64" s="71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">
      <c r="A65" t="s">
        <v>325</v>
      </c>
      <c r="B65" t="s">
        <v>208</v>
      </c>
      <c r="C65" s="71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">
      <c r="A66" t="s">
        <v>329</v>
      </c>
      <c r="B66" t="s">
        <v>208</v>
      </c>
      <c r="C66" s="71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">
      <c r="A67" t="s">
        <v>324</v>
      </c>
      <c r="B67" t="s">
        <v>208</v>
      </c>
      <c r="C67" s="71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">
      <c r="A68" t="s">
        <v>323</v>
      </c>
      <c r="B68" t="s">
        <v>208</v>
      </c>
      <c r="C68" s="71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">
      <c r="A69" t="s">
        <v>208</v>
      </c>
      <c r="B69" t="s">
        <v>208</v>
      </c>
      <c r="C69" s="71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">
      <c r="A70" t="s">
        <v>322</v>
      </c>
      <c r="B70" t="s">
        <v>208</v>
      </c>
      <c r="C70" s="71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">
      <c r="A71" t="s">
        <v>349</v>
      </c>
      <c r="B71" t="s">
        <v>208</v>
      </c>
      <c r="C71" s="71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">
      <c r="A72" t="s">
        <v>351</v>
      </c>
      <c r="B72" t="s">
        <v>208</v>
      </c>
      <c r="C72" s="71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">
      <c r="A73" t="s">
        <v>586</v>
      </c>
      <c r="B73" t="s">
        <v>208</v>
      </c>
      <c r="C73" s="71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">
      <c r="A74" t="s">
        <v>584</v>
      </c>
      <c r="B74" t="s">
        <v>208</v>
      </c>
      <c r="C74" s="71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">
      <c r="A75" t="s">
        <v>583</v>
      </c>
      <c r="B75" t="s">
        <v>208</v>
      </c>
      <c r="C75" s="71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">
      <c r="A76" t="s">
        <v>585</v>
      </c>
      <c r="B76" t="s">
        <v>208</v>
      </c>
      <c r="C76" s="71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">
      <c r="A77" t="s">
        <v>414</v>
      </c>
      <c r="B77" t="s">
        <v>208</v>
      </c>
      <c r="C77" s="71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">
      <c r="A78" t="s">
        <v>582</v>
      </c>
      <c r="B78" t="s">
        <v>208</v>
      </c>
      <c r="C78" s="71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">
      <c r="A79" t="s">
        <v>587</v>
      </c>
      <c r="B79" t="s">
        <v>208</v>
      </c>
      <c r="C79" s="71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">
      <c r="A80" t="s">
        <v>459</v>
      </c>
      <c r="B80" t="s">
        <v>208</v>
      </c>
      <c r="C80" s="71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331</v>
      </c>
      <c r="B81" t="s">
        <v>208</v>
      </c>
      <c r="C81" s="71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346</v>
      </c>
      <c r="B82" t="s">
        <v>208</v>
      </c>
      <c r="C82" s="71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421</v>
      </c>
      <c r="B83" t="s">
        <v>208</v>
      </c>
      <c r="C83" s="71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465</v>
      </c>
      <c r="B84" t="s">
        <v>209</v>
      </c>
      <c r="C84" s="71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424</v>
      </c>
      <c r="B85" t="s">
        <v>209</v>
      </c>
      <c r="C85" s="71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442</v>
      </c>
      <c r="B86" t="s">
        <v>209</v>
      </c>
      <c r="C86" s="71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327</v>
      </c>
      <c r="B87" t="s">
        <v>209</v>
      </c>
      <c r="C87" s="71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326</v>
      </c>
      <c r="B88" t="s">
        <v>209</v>
      </c>
      <c r="C88" s="71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71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492</v>
      </c>
      <c r="B90" t="s">
        <v>333</v>
      </c>
      <c r="C90" s="71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335</v>
      </c>
      <c r="B91" t="s">
        <v>333</v>
      </c>
      <c r="C91" s="71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332</v>
      </c>
      <c r="B92" t="s">
        <v>333</v>
      </c>
      <c r="C92" s="71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334</v>
      </c>
      <c r="B93" t="s">
        <v>333</v>
      </c>
      <c r="C93" s="71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555</v>
      </c>
      <c r="B94" t="s">
        <v>333</v>
      </c>
      <c r="C94" s="71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398</v>
      </c>
      <c r="B95" t="s">
        <v>333</v>
      </c>
      <c r="C95" s="71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485</v>
      </c>
      <c r="B96" t="s">
        <v>333</v>
      </c>
      <c r="C96" s="71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589</v>
      </c>
      <c r="B97" t="s">
        <v>333</v>
      </c>
      <c r="C97" s="71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478</v>
      </c>
      <c r="B98" t="s">
        <v>333</v>
      </c>
      <c r="C98" s="71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333</v>
      </c>
      <c r="B99" t="s">
        <v>333</v>
      </c>
      <c r="C99" s="71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474</v>
      </c>
      <c r="B100" t="s">
        <v>340</v>
      </c>
      <c r="C100" s="71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340</v>
      </c>
      <c r="B101" t="s">
        <v>340</v>
      </c>
      <c r="C101" s="71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429</v>
      </c>
      <c r="B102" t="s">
        <v>340</v>
      </c>
      <c r="C102" s="71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341</v>
      </c>
      <c r="B103" t="s">
        <v>341</v>
      </c>
      <c r="C103" s="71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475</v>
      </c>
      <c r="B104" t="s">
        <v>1106</v>
      </c>
      <c r="C104" s="71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344</v>
      </c>
      <c r="B105" t="s">
        <v>1106</v>
      </c>
      <c r="C105" s="71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1106</v>
      </c>
      <c r="B106" t="s">
        <v>1106</v>
      </c>
      <c r="C106" s="71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342</v>
      </c>
      <c r="B107" t="s">
        <v>1106</v>
      </c>
      <c r="C107" s="71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343</v>
      </c>
      <c r="B108" t="s">
        <v>343</v>
      </c>
      <c r="C108" s="71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422</v>
      </c>
      <c r="B109" t="s">
        <v>343</v>
      </c>
      <c r="C109" s="71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581</v>
      </c>
      <c r="B110" t="s">
        <v>1108</v>
      </c>
      <c r="C110" s="71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453</v>
      </c>
      <c r="B111" t="s">
        <v>1108</v>
      </c>
      <c r="C111" s="71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406</v>
      </c>
      <c r="B112" t="s">
        <v>1108</v>
      </c>
      <c r="C112" s="71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505</v>
      </c>
      <c r="B113" t="s">
        <v>1108</v>
      </c>
      <c r="C113" s="71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296</v>
      </c>
      <c r="B114" t="s">
        <v>1108</v>
      </c>
      <c r="C114" s="71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570</v>
      </c>
      <c r="B115" t="s">
        <v>1108</v>
      </c>
      <c r="C115" s="71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473</v>
      </c>
      <c r="B116" t="s">
        <v>1108</v>
      </c>
      <c r="C116" s="71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328</v>
      </c>
      <c r="B117" t="s">
        <v>1108</v>
      </c>
      <c r="C117" s="71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319</v>
      </c>
      <c r="B118" t="s">
        <v>1108</v>
      </c>
      <c r="C118" s="71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384</v>
      </c>
      <c r="B119" t="s">
        <v>1108</v>
      </c>
      <c r="C119" s="71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388</v>
      </c>
      <c r="B120" t="s">
        <v>1108</v>
      </c>
      <c r="C120" s="71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330</v>
      </c>
      <c r="B121" t="s">
        <v>1108</v>
      </c>
      <c r="C121" s="71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1108</v>
      </c>
      <c r="B122" t="s">
        <v>1108</v>
      </c>
      <c r="C122" s="71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348</v>
      </c>
      <c r="B123" t="s">
        <v>1108</v>
      </c>
      <c r="C123" s="71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347</v>
      </c>
      <c r="B124" t="s">
        <v>1108</v>
      </c>
      <c r="C124" s="71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569</v>
      </c>
      <c r="B125" t="s">
        <v>320</v>
      </c>
      <c r="C125" s="71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320</v>
      </c>
      <c r="B126" t="s">
        <v>320</v>
      </c>
      <c r="C126" s="71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446</v>
      </c>
      <c r="B127" t="s">
        <v>352</v>
      </c>
      <c r="C127" s="71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498</v>
      </c>
      <c r="B128" t="s">
        <v>352</v>
      </c>
      <c r="C128" s="71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355</v>
      </c>
      <c r="B129" t="s">
        <v>352</v>
      </c>
      <c r="C129" s="71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353</v>
      </c>
      <c r="B130" t="s">
        <v>352</v>
      </c>
      <c r="C130" s="71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338</v>
      </c>
      <c r="B131" t="s">
        <v>352</v>
      </c>
      <c r="C131" s="71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359</v>
      </c>
      <c r="B132" t="s">
        <v>352</v>
      </c>
      <c r="C132" s="71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500</v>
      </c>
      <c r="B133" t="s">
        <v>352</v>
      </c>
      <c r="C133" s="71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431</v>
      </c>
      <c r="B134" t="s">
        <v>352</v>
      </c>
      <c r="C134" s="71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430</v>
      </c>
      <c r="B135" t="s">
        <v>352</v>
      </c>
      <c r="C135" s="71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440</v>
      </c>
      <c r="B136" t="s">
        <v>352</v>
      </c>
      <c r="C136" s="71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352</v>
      </c>
      <c r="B137" t="s">
        <v>352</v>
      </c>
      <c r="C137" s="71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375</v>
      </c>
      <c r="B138" t="s">
        <v>352</v>
      </c>
      <c r="C138" s="71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433</v>
      </c>
      <c r="B139" t="s">
        <v>352</v>
      </c>
      <c r="C139" s="71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356</v>
      </c>
      <c r="B140" t="s">
        <v>352</v>
      </c>
      <c r="C140" s="71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568</v>
      </c>
      <c r="B141" t="s">
        <v>352</v>
      </c>
      <c r="C141" s="71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486</v>
      </c>
      <c r="B142" t="s">
        <v>352</v>
      </c>
      <c r="C142" s="71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354</v>
      </c>
      <c r="B143" t="s">
        <v>352</v>
      </c>
      <c r="C143" s="71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525</v>
      </c>
      <c r="B144" t="s">
        <v>352</v>
      </c>
      <c r="C144" s="71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567</v>
      </c>
      <c r="B145" t="s">
        <v>352</v>
      </c>
      <c r="C145" s="71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427</v>
      </c>
      <c r="B146" t="s">
        <v>352</v>
      </c>
      <c r="C146" s="71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477</v>
      </c>
      <c r="B147" t="s">
        <v>352</v>
      </c>
      <c r="C147" s="71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336</v>
      </c>
      <c r="B148" t="s">
        <v>367</v>
      </c>
      <c r="C148" s="71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372</v>
      </c>
      <c r="B149" t="s">
        <v>367</v>
      </c>
      <c r="C149" s="71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379</v>
      </c>
      <c r="B150" t="s">
        <v>367</v>
      </c>
      <c r="C150" s="71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594</v>
      </c>
      <c r="B151" t="s">
        <v>367</v>
      </c>
      <c r="C151" s="71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380</v>
      </c>
      <c r="B152" t="s">
        <v>367</v>
      </c>
      <c r="C152" s="71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339</v>
      </c>
      <c r="B153" t="s">
        <v>367</v>
      </c>
      <c r="C153" s="71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363</v>
      </c>
      <c r="B154" t="s">
        <v>367</v>
      </c>
      <c r="C154" s="71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371</v>
      </c>
      <c r="B155" t="s">
        <v>367</v>
      </c>
      <c r="C155" s="71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369</v>
      </c>
      <c r="B156" t="s">
        <v>367</v>
      </c>
      <c r="C156" s="71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383</v>
      </c>
      <c r="B157" t="s">
        <v>367</v>
      </c>
      <c r="C157" s="71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362</v>
      </c>
      <c r="B158" t="s">
        <v>367</v>
      </c>
      <c r="C158" s="71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365</v>
      </c>
      <c r="B159" t="s">
        <v>367</v>
      </c>
      <c r="C159" s="71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367</v>
      </c>
      <c r="B160" t="s">
        <v>367</v>
      </c>
      <c r="C160" s="71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370</v>
      </c>
      <c r="B161" t="s">
        <v>367</v>
      </c>
      <c r="C161" s="71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366</v>
      </c>
      <c r="B162" t="s">
        <v>367</v>
      </c>
      <c r="C162" s="71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368</v>
      </c>
      <c r="B163" t="s">
        <v>367</v>
      </c>
      <c r="C163" s="71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378</v>
      </c>
      <c r="B164" t="s">
        <v>367</v>
      </c>
      <c r="C164" s="71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364</v>
      </c>
      <c r="B165" t="s">
        <v>367</v>
      </c>
      <c r="C165" s="71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337</v>
      </c>
      <c r="B166" t="s">
        <v>367</v>
      </c>
      <c r="C166" s="71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597</v>
      </c>
      <c r="B167" t="s">
        <v>213</v>
      </c>
      <c r="C167" s="71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71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596</v>
      </c>
      <c r="B169" t="s">
        <v>213</v>
      </c>
      <c r="C169" s="71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595</v>
      </c>
      <c r="B170" t="s">
        <v>213</v>
      </c>
      <c r="C170" s="71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360</v>
      </c>
      <c r="B171" t="s">
        <v>1391</v>
      </c>
      <c r="C171" s="71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395</v>
      </c>
      <c r="B172" t="s">
        <v>1391</v>
      </c>
      <c r="C172" s="71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396</v>
      </c>
      <c r="B173" t="s">
        <v>1391</v>
      </c>
      <c r="C173" s="71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1391</v>
      </c>
      <c r="B174" t="s">
        <v>1391</v>
      </c>
      <c r="C174" s="71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382</v>
      </c>
      <c r="B175" t="s">
        <v>1391</v>
      </c>
      <c r="C175" s="71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381</v>
      </c>
      <c r="B176" t="s">
        <v>1391</v>
      </c>
      <c r="C176" s="71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397</v>
      </c>
      <c r="B177" t="s">
        <v>1391</v>
      </c>
      <c r="C177" s="71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487</v>
      </c>
      <c r="B178" t="s">
        <v>1391</v>
      </c>
      <c r="C178" s="71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386</v>
      </c>
      <c r="B179" t="s">
        <v>386</v>
      </c>
      <c r="C179" s="71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385</v>
      </c>
      <c r="B180" t="s">
        <v>386</v>
      </c>
      <c r="C180" s="71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387</v>
      </c>
      <c r="B181" t="s">
        <v>386</v>
      </c>
      <c r="C181" s="71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350</v>
      </c>
      <c r="B182" t="s">
        <v>386</v>
      </c>
      <c r="C182" s="71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467</v>
      </c>
      <c r="B183" t="s">
        <v>386</v>
      </c>
      <c r="C183" s="71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458</v>
      </c>
      <c r="B184" t="s">
        <v>386</v>
      </c>
      <c r="C184" s="71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560</v>
      </c>
      <c r="B185" t="s">
        <v>386</v>
      </c>
      <c r="C185" s="71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457</v>
      </c>
      <c r="B186" t="s">
        <v>386</v>
      </c>
      <c r="C186" s="71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460</v>
      </c>
      <c r="B187" t="s">
        <v>386</v>
      </c>
      <c r="C187" s="71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390</v>
      </c>
      <c r="B188" t="s">
        <v>390</v>
      </c>
      <c r="C188" s="71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389</v>
      </c>
      <c r="B189" t="s">
        <v>390</v>
      </c>
      <c r="C189" s="71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468</v>
      </c>
      <c r="B190" t="s">
        <v>390</v>
      </c>
      <c r="C190" s="71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">
      <c r="A191" t="s">
        <v>449</v>
      </c>
      <c r="B191" t="s">
        <v>390</v>
      </c>
      <c r="C191" s="71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">
      <c r="A192" t="s">
        <v>391</v>
      </c>
      <c r="B192" t="s">
        <v>390</v>
      </c>
      <c r="C192" s="71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">
      <c r="A193" t="s">
        <v>511</v>
      </c>
      <c r="B193" t="s">
        <v>390</v>
      </c>
      <c r="C193" s="71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">
      <c r="A194" t="s">
        <v>1392</v>
      </c>
      <c r="B194" t="s">
        <v>1392</v>
      </c>
      <c r="C194" s="71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">
      <c r="A195" t="s">
        <v>392</v>
      </c>
      <c r="B195" t="s">
        <v>1392</v>
      </c>
      <c r="C195" s="71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">
      <c r="A196" t="s">
        <v>598</v>
      </c>
      <c r="B196" t="s">
        <v>206</v>
      </c>
      <c r="C196" s="71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605</v>
      </c>
      <c r="B197" t="s">
        <v>206</v>
      </c>
      <c r="C197" s="71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600</v>
      </c>
      <c r="B198" t="s">
        <v>206</v>
      </c>
      <c r="C198" s="71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607</v>
      </c>
      <c r="B199" t="s">
        <v>206</v>
      </c>
      <c r="C199" s="71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602</v>
      </c>
      <c r="B200" t="s">
        <v>206</v>
      </c>
      <c r="C200" s="71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606</v>
      </c>
      <c r="B201" t="s">
        <v>206</v>
      </c>
      <c r="C201" s="71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">
      <c r="A202" t="s">
        <v>599</v>
      </c>
      <c r="B202" t="s">
        <v>206</v>
      </c>
      <c r="C202" s="71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">
      <c r="A203" t="s">
        <v>206</v>
      </c>
      <c r="B203" t="s">
        <v>206</v>
      </c>
      <c r="C203" s="71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">
      <c r="A204" t="s">
        <v>601</v>
      </c>
      <c r="B204" t="s">
        <v>206</v>
      </c>
      <c r="C204" s="71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">
      <c r="A205" t="s">
        <v>603</v>
      </c>
      <c r="B205" t="s">
        <v>206</v>
      </c>
      <c r="C205" s="71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">
      <c r="A206" t="s">
        <v>604</v>
      </c>
      <c r="B206" t="s">
        <v>206</v>
      </c>
      <c r="C206" s="71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">
      <c r="A207" t="s">
        <v>317</v>
      </c>
      <c r="B207" t="s">
        <v>223</v>
      </c>
      <c r="C207" s="71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316</v>
      </c>
      <c r="B208" t="s">
        <v>223</v>
      </c>
      <c r="C208" s="71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318</v>
      </c>
      <c r="B209" t="s">
        <v>223</v>
      </c>
      <c r="C209" s="71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307</v>
      </c>
      <c r="B210" t="s">
        <v>223</v>
      </c>
      <c r="C210" s="71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315</v>
      </c>
      <c r="B211" t="s">
        <v>223</v>
      </c>
      <c r="C211" s="71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308</v>
      </c>
      <c r="B212" t="s">
        <v>223</v>
      </c>
      <c r="C212" s="71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300</v>
      </c>
      <c r="B213" t="s">
        <v>223</v>
      </c>
      <c r="C213" s="71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305</v>
      </c>
      <c r="B214" t="s">
        <v>223</v>
      </c>
      <c r="C214" s="71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306</v>
      </c>
      <c r="B215" t="s">
        <v>223</v>
      </c>
      <c r="C215" s="71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223</v>
      </c>
      <c r="B216" t="s">
        <v>223</v>
      </c>
      <c r="C216" s="71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302</v>
      </c>
      <c r="B217" t="s">
        <v>223</v>
      </c>
      <c r="C217" s="71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303</v>
      </c>
      <c r="B218" t="s">
        <v>223</v>
      </c>
      <c r="C218" s="71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304</v>
      </c>
      <c r="B219" t="s">
        <v>223</v>
      </c>
      <c r="C219" s="71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312</v>
      </c>
      <c r="B220" t="s">
        <v>224</v>
      </c>
      <c r="C220" s="71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310</v>
      </c>
      <c r="B221" t="s">
        <v>224</v>
      </c>
      <c r="C221" s="71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309</v>
      </c>
      <c r="B222" t="s">
        <v>224</v>
      </c>
      <c r="C222" s="71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314</v>
      </c>
      <c r="B223" t="s">
        <v>224</v>
      </c>
      <c r="C223" s="71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">
      <c r="A224" t="s">
        <v>311</v>
      </c>
      <c r="B224" t="s">
        <v>224</v>
      </c>
      <c r="C224" s="71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">
      <c r="A225" t="s">
        <v>313</v>
      </c>
      <c r="B225" t="s">
        <v>224</v>
      </c>
      <c r="C225" s="71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">
      <c r="A226" t="s">
        <v>301</v>
      </c>
      <c r="B226" t="s">
        <v>224</v>
      </c>
      <c r="C226" s="71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">
      <c r="A227" t="s">
        <v>299</v>
      </c>
      <c r="B227" t="s">
        <v>224</v>
      </c>
      <c r="C227" s="71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">
      <c r="A228" t="s">
        <v>224</v>
      </c>
      <c r="B228" t="s">
        <v>224</v>
      </c>
      <c r="C228" s="71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">
      <c r="A229" t="s">
        <v>472</v>
      </c>
      <c r="B229" t="s">
        <v>472</v>
      </c>
      <c r="C229" s="71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">
      <c r="A230" t="s">
        <v>413</v>
      </c>
      <c r="B230" t="s">
        <v>472</v>
      </c>
      <c r="C230" s="71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">
      <c r="A231" t="s">
        <v>420</v>
      </c>
      <c r="B231" t="s">
        <v>472</v>
      </c>
      <c r="C231" s="71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">
      <c r="A232" t="s">
        <v>439</v>
      </c>
      <c r="B232" t="s">
        <v>472</v>
      </c>
      <c r="C232" s="71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">
      <c r="A233" t="s">
        <v>443</v>
      </c>
      <c r="B233" t="s">
        <v>297</v>
      </c>
      <c r="C233" s="71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">
      <c r="A234" t="s">
        <v>297</v>
      </c>
      <c r="B234" t="s">
        <v>297</v>
      </c>
      <c r="C234" s="71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">
      <c r="A235" t="s">
        <v>480</v>
      </c>
      <c r="B235" t="s">
        <v>297</v>
      </c>
      <c r="C235" s="71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">
      <c r="A236" t="s">
        <v>481</v>
      </c>
      <c r="B236" t="s">
        <v>297</v>
      </c>
      <c r="C236" s="71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">
      <c r="A237" t="s">
        <v>377</v>
      </c>
      <c r="B237" t="s">
        <v>297</v>
      </c>
      <c r="C237" s="71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">
      <c r="A238" t="s">
        <v>376</v>
      </c>
      <c r="B238" t="s">
        <v>297</v>
      </c>
      <c r="C238" s="71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">
      <c r="A239" t="s">
        <v>556</v>
      </c>
      <c r="B239" t="s">
        <v>1110</v>
      </c>
      <c r="C239" s="71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">
      <c r="A240" t="s">
        <v>403</v>
      </c>
      <c r="B240" t="s">
        <v>1110</v>
      </c>
      <c r="C240" s="71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">
      <c r="A241" t="s">
        <v>524</v>
      </c>
      <c r="B241" t="s">
        <v>1110</v>
      </c>
      <c r="C241" s="71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">
      <c r="A242" t="s">
        <v>321</v>
      </c>
      <c r="B242" t="s">
        <v>1110</v>
      </c>
      <c r="C242" s="71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">
      <c r="A243" t="s">
        <v>1110</v>
      </c>
      <c r="B243" t="s">
        <v>1110</v>
      </c>
      <c r="C243" s="71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">
      <c r="A244" t="s">
        <v>504</v>
      </c>
      <c r="B244" t="s">
        <v>1110</v>
      </c>
      <c r="C244" s="71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">
      <c r="A245" t="s">
        <v>410</v>
      </c>
      <c r="B245" t="s">
        <v>1110</v>
      </c>
      <c r="C245" s="71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">
      <c r="A246" t="s">
        <v>512</v>
      </c>
      <c r="B246" t="s">
        <v>1110</v>
      </c>
      <c r="C246" s="71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">
      <c r="A247" t="s">
        <v>513</v>
      </c>
      <c r="B247" t="s">
        <v>1110</v>
      </c>
      <c r="C247" s="71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">
      <c r="A248" t="s">
        <v>450</v>
      </c>
      <c r="B248" t="s">
        <v>1110</v>
      </c>
      <c r="C248" s="71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">
      <c r="A249" t="s">
        <v>418</v>
      </c>
      <c r="B249" t="s">
        <v>1110</v>
      </c>
      <c r="C249" s="71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">
      <c r="A250" t="s">
        <v>515</v>
      </c>
      <c r="B250" t="s">
        <v>1112</v>
      </c>
      <c r="C250" s="71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">
      <c r="A251" t="s">
        <v>462</v>
      </c>
      <c r="B251" t="s">
        <v>1112</v>
      </c>
      <c r="C251" s="71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">
      <c r="A252" t="s">
        <v>494</v>
      </c>
      <c r="B252" t="s">
        <v>1112</v>
      </c>
      <c r="C252" s="71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s="23" customFormat="1" x14ac:dyDescent="0.2">
      <c r="A253" s="23" t="s">
        <v>529</v>
      </c>
      <c r="B253" s="23" t="s">
        <v>529</v>
      </c>
      <c r="C253" s="123" t="str">
        <f>VLOOKUP(A253,Classification!$A:$D,2,FALSE)</f>
        <v>A</v>
      </c>
      <c r="D253" s="126" t="str">
        <f>VLOOKUP(B253,Classification!$A:$D,2,FALSE)</f>
        <v>A</v>
      </c>
      <c r="E253" s="126" t="str">
        <f t="shared" si="3"/>
        <v>Ok</v>
      </c>
    </row>
    <row r="254" spans="1:5" x14ac:dyDescent="0.2">
      <c r="A254" t="s">
        <v>1112</v>
      </c>
      <c r="B254" t="s">
        <v>1112</v>
      </c>
      <c r="C254" s="71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">
      <c r="A255" t="s">
        <v>578</v>
      </c>
      <c r="B255" t="s">
        <v>1112</v>
      </c>
      <c r="C255" s="71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">
      <c r="A256" t="s">
        <v>554</v>
      </c>
      <c r="B256" t="s">
        <v>1112</v>
      </c>
      <c r="C256" s="71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394</v>
      </c>
      <c r="B257" t="s">
        <v>530</v>
      </c>
      <c r="C257" s="71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445</v>
      </c>
      <c r="B258" t="s">
        <v>530</v>
      </c>
      <c r="C258" s="71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358</v>
      </c>
      <c r="B259" t="s">
        <v>530</v>
      </c>
      <c r="C259" s="71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502</v>
      </c>
      <c r="B260" t="s">
        <v>530</v>
      </c>
      <c r="C260" s="71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530</v>
      </c>
      <c r="B261" t="s">
        <v>530</v>
      </c>
      <c r="C261" s="71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536</v>
      </c>
      <c r="B262" t="s">
        <v>530</v>
      </c>
      <c r="C262" s="71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399</v>
      </c>
      <c r="B263" t="s">
        <v>1114</v>
      </c>
      <c r="C263" s="71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576</v>
      </c>
      <c r="B264" t="s">
        <v>1114</v>
      </c>
      <c r="C264" s="71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579</v>
      </c>
      <c r="B265" t="s">
        <v>1114</v>
      </c>
      <c r="C265" s="71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1114</v>
      </c>
      <c r="B266" t="s">
        <v>1114</v>
      </c>
      <c r="C266" s="71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531</v>
      </c>
      <c r="B267" t="s">
        <v>1114</v>
      </c>
      <c r="C267" s="71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575</v>
      </c>
      <c r="B268" t="s">
        <v>1114</v>
      </c>
      <c r="C268" s="71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591</v>
      </c>
      <c r="B269" t="s">
        <v>1114</v>
      </c>
      <c r="C269" s="71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401</v>
      </c>
      <c r="B270" t="s">
        <v>1114</v>
      </c>
      <c r="C270" s="71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400</v>
      </c>
      <c r="B271" t="s">
        <v>1114</v>
      </c>
      <c r="C271" s="71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404</v>
      </c>
      <c r="B272" t="s">
        <v>1114</v>
      </c>
      <c r="C272" s="71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411</v>
      </c>
      <c r="B273" t="s">
        <v>1393</v>
      </c>
      <c r="C273" s="71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514</v>
      </c>
      <c r="B274" t="s">
        <v>1393</v>
      </c>
      <c r="C274" s="71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493</v>
      </c>
      <c r="B275" t="s">
        <v>1393</v>
      </c>
      <c r="C275" s="71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593</v>
      </c>
      <c r="B276" t="s">
        <v>1393</v>
      </c>
      <c r="C276" s="71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412</v>
      </c>
      <c r="B277" t="s">
        <v>1393</v>
      </c>
      <c r="C277" s="71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1393</v>
      </c>
      <c r="B278" t="s">
        <v>1393</v>
      </c>
      <c r="C278" s="71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590</v>
      </c>
      <c r="B279" t="s">
        <v>1393</v>
      </c>
      <c r="C279" s="71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476</v>
      </c>
      <c r="B280" t="s">
        <v>1393</v>
      </c>
      <c r="C280" s="71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588</v>
      </c>
      <c r="B281" t="s">
        <v>1393</v>
      </c>
      <c r="C281" s="71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592</v>
      </c>
      <c r="B282" t="s">
        <v>1393</v>
      </c>
      <c r="C282" s="71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577</v>
      </c>
      <c r="B283" t="s">
        <v>1393</v>
      </c>
      <c r="C283" s="71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1116</v>
      </c>
      <c r="B284" t="s">
        <v>1116</v>
      </c>
      <c r="C284" s="71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526</v>
      </c>
      <c r="B285" t="s">
        <v>1116</v>
      </c>
      <c r="C285" s="71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533</v>
      </c>
      <c r="B286" t="s">
        <v>533</v>
      </c>
      <c r="C286" s="71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534</v>
      </c>
      <c r="B287" t="s">
        <v>533</v>
      </c>
      <c r="C287" s="71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535</v>
      </c>
      <c r="B288" t="s">
        <v>533</v>
      </c>
      <c r="C288" s="71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532</v>
      </c>
      <c r="B289" t="s">
        <v>533</v>
      </c>
      <c r="C289" s="71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479</v>
      </c>
      <c r="B290" t="s">
        <v>533</v>
      </c>
      <c r="C290" s="71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528</v>
      </c>
      <c r="B291" t="s">
        <v>1118</v>
      </c>
      <c r="C291" s="71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527</v>
      </c>
      <c r="B292" t="s">
        <v>1118</v>
      </c>
      <c r="C292" s="71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1118</v>
      </c>
      <c r="B293" t="s">
        <v>1118</v>
      </c>
      <c r="C293" s="71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464</v>
      </c>
      <c r="B294" t="s">
        <v>1394</v>
      </c>
      <c r="C294" s="71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520</v>
      </c>
      <c r="B295" t="s">
        <v>1394</v>
      </c>
      <c r="C295" s="71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538</v>
      </c>
      <c r="B296" t="s">
        <v>1394</v>
      </c>
      <c r="C296" s="71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1394</v>
      </c>
      <c r="B297" t="s">
        <v>1394</v>
      </c>
      <c r="C297" s="71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461</v>
      </c>
      <c r="B298" t="s">
        <v>1394</v>
      </c>
      <c r="C298" s="71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416</v>
      </c>
      <c r="B299" t="s">
        <v>1394</v>
      </c>
      <c r="C299" s="71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517</v>
      </c>
      <c r="B300" t="s">
        <v>1394</v>
      </c>
      <c r="C300" s="71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509</v>
      </c>
      <c r="B301" t="s">
        <v>1394</v>
      </c>
      <c r="C301" s="71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409</v>
      </c>
      <c r="B302" t="s">
        <v>1394</v>
      </c>
      <c r="C302" s="71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426</v>
      </c>
      <c r="B303" t="s">
        <v>1394</v>
      </c>
      <c r="C303" s="71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522</v>
      </c>
      <c r="B304" t="s">
        <v>1395</v>
      </c>
      <c r="C304" s="71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563</v>
      </c>
      <c r="B305" t="s">
        <v>1395</v>
      </c>
      <c r="C305" s="71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553</v>
      </c>
      <c r="B306" t="s">
        <v>1395</v>
      </c>
      <c r="C306" s="71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518</v>
      </c>
      <c r="B307" t="s">
        <v>1395</v>
      </c>
      <c r="C307" s="71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441</v>
      </c>
      <c r="B308" t="s">
        <v>1395</v>
      </c>
      <c r="C308" s="71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454</v>
      </c>
      <c r="B309" t="s">
        <v>1395</v>
      </c>
      <c r="C309" s="71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438</v>
      </c>
      <c r="B310" t="s">
        <v>1395</v>
      </c>
      <c r="C310" s="71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562</v>
      </c>
      <c r="B311" t="s">
        <v>1395</v>
      </c>
      <c r="C311" s="71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561</v>
      </c>
      <c r="B312" t="s">
        <v>1395</v>
      </c>
      <c r="C312" s="71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521</v>
      </c>
      <c r="B313" t="s">
        <v>1395</v>
      </c>
      <c r="C313" s="71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506</v>
      </c>
      <c r="B314" t="s">
        <v>1395</v>
      </c>
      <c r="C314" s="71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402</v>
      </c>
      <c r="B315" t="s">
        <v>1395</v>
      </c>
      <c r="C315" s="71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361</v>
      </c>
      <c r="B316" t="s">
        <v>1395</v>
      </c>
      <c r="C316" s="71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519</v>
      </c>
      <c r="B317" t="s">
        <v>1395</v>
      </c>
      <c r="C317" s="71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357</v>
      </c>
      <c r="B318" t="s">
        <v>1395</v>
      </c>
      <c r="C318" s="71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463</v>
      </c>
      <c r="B319" t="s">
        <v>1395</v>
      </c>
      <c r="C319" s="71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1395</v>
      </c>
      <c r="B320" t="s">
        <v>1395</v>
      </c>
      <c r="C320" s="71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436</v>
      </c>
      <c r="B321" t="s">
        <v>1395</v>
      </c>
      <c r="C321" s="71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566</v>
      </c>
      <c r="B322" t="s">
        <v>1395</v>
      </c>
      <c r="C322" s="71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516</v>
      </c>
      <c r="B323" t="s">
        <v>1395</v>
      </c>
      <c r="C323" s="71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508</v>
      </c>
      <c r="B324" t="s">
        <v>1395</v>
      </c>
      <c r="C324" s="71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510</v>
      </c>
      <c r="B325" t="s">
        <v>1395</v>
      </c>
      <c r="C325" s="71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417</v>
      </c>
      <c r="B326" t="s">
        <v>1395</v>
      </c>
      <c r="C326" s="71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419</v>
      </c>
      <c r="B327" t="s">
        <v>1395</v>
      </c>
      <c r="C327" s="71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507</v>
      </c>
      <c r="B328" t="s">
        <v>1395</v>
      </c>
      <c r="C328" s="71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523</v>
      </c>
      <c r="B329" t="s">
        <v>1395</v>
      </c>
      <c r="C329" s="71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542</v>
      </c>
      <c r="B330" t="s">
        <v>539</v>
      </c>
      <c r="C330" s="71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544</v>
      </c>
      <c r="B331" t="s">
        <v>539</v>
      </c>
      <c r="C331" s="71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537</v>
      </c>
      <c r="B332" t="s">
        <v>539</v>
      </c>
      <c r="C332" s="71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444</v>
      </c>
      <c r="B333" t="s">
        <v>539</v>
      </c>
      <c r="C333" s="71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580</v>
      </c>
      <c r="B334" t="s">
        <v>539</v>
      </c>
      <c r="C334" s="71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425</v>
      </c>
      <c r="B335" t="s">
        <v>539</v>
      </c>
      <c r="C335" s="71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374</v>
      </c>
      <c r="B336" t="s">
        <v>539</v>
      </c>
      <c r="C336" s="71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373</v>
      </c>
      <c r="B337" t="s">
        <v>539</v>
      </c>
      <c r="C337" s="71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434</v>
      </c>
      <c r="B338" t="s">
        <v>539</v>
      </c>
      <c r="C338" s="71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495</v>
      </c>
      <c r="B339" t="s">
        <v>539</v>
      </c>
      <c r="C339" s="71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435</v>
      </c>
      <c r="B340" t="s">
        <v>539</v>
      </c>
      <c r="C340" s="71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488</v>
      </c>
      <c r="B341" t="s">
        <v>539</v>
      </c>
      <c r="C341" s="71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564</v>
      </c>
      <c r="B342" t="s">
        <v>539</v>
      </c>
      <c r="C342" s="71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539</v>
      </c>
      <c r="B343" t="s">
        <v>539</v>
      </c>
      <c r="C343" s="71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499</v>
      </c>
      <c r="B344" t="s">
        <v>539</v>
      </c>
      <c r="C344" s="71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484</v>
      </c>
      <c r="B345" t="s">
        <v>539</v>
      </c>
      <c r="C345" s="71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497</v>
      </c>
      <c r="B346" t="s">
        <v>539</v>
      </c>
      <c r="C346" s="71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545</v>
      </c>
      <c r="B347" t="s">
        <v>539</v>
      </c>
      <c r="C347" s="71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482</v>
      </c>
      <c r="B348" t="s">
        <v>539</v>
      </c>
      <c r="C348" s="71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541</v>
      </c>
      <c r="B349" t="s">
        <v>539</v>
      </c>
      <c r="C349" s="71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489</v>
      </c>
      <c r="B350" t="s">
        <v>539</v>
      </c>
      <c r="C350" s="71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469</v>
      </c>
      <c r="B351" t="s">
        <v>539</v>
      </c>
      <c r="C351" s="71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470</v>
      </c>
      <c r="B352" t="s">
        <v>539</v>
      </c>
      <c r="C352" s="71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540</v>
      </c>
      <c r="B353" t="s">
        <v>539</v>
      </c>
      <c r="C353" s="71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408</v>
      </c>
      <c r="B354" t="s">
        <v>539</v>
      </c>
      <c r="C354" s="71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483</v>
      </c>
      <c r="B355" t="s">
        <v>539</v>
      </c>
      <c r="C355" s="71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451</v>
      </c>
      <c r="B356" t="s">
        <v>539</v>
      </c>
      <c r="C356" s="71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471</v>
      </c>
      <c r="B357" t="s">
        <v>539</v>
      </c>
      <c r="C357" s="71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423</v>
      </c>
      <c r="B358" t="s">
        <v>546</v>
      </c>
      <c r="C358" s="71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547</v>
      </c>
      <c r="B359" t="s">
        <v>546</v>
      </c>
      <c r="C359" s="71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548</v>
      </c>
      <c r="B360" t="s">
        <v>546</v>
      </c>
      <c r="C360" s="71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546</v>
      </c>
      <c r="B361" t="s">
        <v>546</v>
      </c>
      <c r="C361" s="71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466</v>
      </c>
      <c r="B362" t="s">
        <v>546</v>
      </c>
      <c r="C362" s="71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501</v>
      </c>
      <c r="B363" t="s">
        <v>546</v>
      </c>
      <c r="C363" s="71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565</v>
      </c>
      <c r="B364" t="s">
        <v>546</v>
      </c>
      <c r="C364" s="71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428</v>
      </c>
      <c r="B365" t="s">
        <v>546</v>
      </c>
      <c r="C365" s="71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559</v>
      </c>
      <c r="B366" t="s">
        <v>546</v>
      </c>
      <c r="C366" s="71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447</v>
      </c>
      <c r="B367" t="s">
        <v>546</v>
      </c>
      <c r="C367" s="71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558</v>
      </c>
      <c r="B368" t="s">
        <v>546</v>
      </c>
      <c r="C368" s="71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551</v>
      </c>
      <c r="B369" t="s">
        <v>549</v>
      </c>
      <c r="C369" s="71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455</v>
      </c>
      <c r="B370" t="s">
        <v>549</v>
      </c>
      <c r="C370" s="71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448</v>
      </c>
      <c r="B371" t="s">
        <v>549</v>
      </c>
      <c r="C371" s="71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496</v>
      </c>
      <c r="B372" t="s">
        <v>549</v>
      </c>
      <c r="C372" s="71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552</v>
      </c>
      <c r="B373" t="s">
        <v>549</v>
      </c>
      <c r="C373" s="71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550</v>
      </c>
      <c r="B374" t="s">
        <v>549</v>
      </c>
      <c r="C374" s="71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549</v>
      </c>
      <c r="B375" t="s">
        <v>549</v>
      </c>
      <c r="C375" s="71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437</v>
      </c>
      <c r="B376" t="s">
        <v>549</v>
      </c>
      <c r="C376" s="71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543</v>
      </c>
      <c r="B377" t="s">
        <v>549</v>
      </c>
      <c r="C377" s="71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393</v>
      </c>
      <c r="B378" t="s">
        <v>549</v>
      </c>
      <c r="C378" s="71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452</v>
      </c>
      <c r="B379" t="s">
        <v>549</v>
      </c>
      <c r="C379" s="71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503</v>
      </c>
      <c r="B380" t="s">
        <v>298</v>
      </c>
      <c r="C380" s="71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345</v>
      </c>
      <c r="B381" t="s">
        <v>298</v>
      </c>
      <c r="C381" s="71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490</v>
      </c>
      <c r="B382" t="s">
        <v>298</v>
      </c>
      <c r="C382" s="71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491</v>
      </c>
      <c r="B383" t="s">
        <v>298</v>
      </c>
      <c r="C383" s="71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432</v>
      </c>
      <c r="B384" t="s">
        <v>298</v>
      </c>
      <c r="C384" s="71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456</v>
      </c>
      <c r="B385" t="s">
        <v>298</v>
      </c>
      <c r="C385" s="71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557</v>
      </c>
      <c r="B386" t="s">
        <v>298</v>
      </c>
      <c r="C386" s="71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668</v>
      </c>
      <c r="B387" t="s">
        <v>298</v>
      </c>
      <c r="C387" s="71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407</v>
      </c>
      <c r="B388" t="s">
        <v>298</v>
      </c>
      <c r="C388" s="71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571</v>
      </c>
      <c r="B389" t="s">
        <v>298</v>
      </c>
      <c r="C389" s="71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298</v>
      </c>
      <c r="B390" t="s">
        <v>298</v>
      </c>
      <c r="C390" s="71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573</v>
      </c>
      <c r="B391" t="s">
        <v>298</v>
      </c>
      <c r="C391" s="71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572</v>
      </c>
      <c r="B392" t="s">
        <v>298</v>
      </c>
      <c r="C392" s="71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574</v>
      </c>
      <c r="B393" t="s">
        <v>298</v>
      </c>
      <c r="C393" s="71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643</v>
      </c>
      <c r="B394" t="s">
        <v>207</v>
      </c>
      <c r="C394" s="71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648</v>
      </c>
      <c r="B395" t="s">
        <v>207</v>
      </c>
      <c r="C395" s="71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641</v>
      </c>
      <c r="B396" t="s">
        <v>207</v>
      </c>
      <c r="C396" s="71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645</v>
      </c>
      <c r="B397" t="s">
        <v>207</v>
      </c>
      <c r="C397" s="71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642</v>
      </c>
      <c r="B398" t="s">
        <v>207</v>
      </c>
      <c r="C398" s="71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650</v>
      </c>
      <c r="B399" t="s">
        <v>207</v>
      </c>
      <c r="C399" s="71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646</v>
      </c>
      <c r="B400" t="s">
        <v>207</v>
      </c>
      <c r="C400" s="71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649</v>
      </c>
      <c r="B401" t="s">
        <v>207</v>
      </c>
      <c r="C401" s="71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644</v>
      </c>
      <c r="B402" t="s">
        <v>207</v>
      </c>
      <c r="C402" s="71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647</v>
      </c>
      <c r="B403" t="s">
        <v>207</v>
      </c>
      <c r="C403" s="71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71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1120</v>
      </c>
      <c r="B405" t="s">
        <v>1120</v>
      </c>
      <c r="C405" s="71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415</v>
      </c>
      <c r="B406" t="s">
        <v>1120</v>
      </c>
      <c r="C406" s="71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295</v>
      </c>
      <c r="B1" s="17" t="s">
        <v>1129</v>
      </c>
      <c r="C1" s="17" t="s">
        <v>1132</v>
      </c>
      <c r="D1" s="17" t="s">
        <v>1133</v>
      </c>
    </row>
    <row r="2" spans="1:4" x14ac:dyDescent="0.2">
      <c r="A2" s="3" t="s">
        <v>322</v>
      </c>
      <c r="B2" s="3" t="s">
        <v>9</v>
      </c>
      <c r="C2" s="3" t="s">
        <v>10</v>
      </c>
      <c r="D2" s="3" t="s">
        <v>1134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1134</v>
      </c>
    </row>
    <row r="4" spans="1:4" x14ac:dyDescent="0.2">
      <c r="A4" s="3" t="s">
        <v>323</v>
      </c>
      <c r="B4" s="3" t="s">
        <v>9</v>
      </c>
      <c r="C4" s="3" t="s">
        <v>10</v>
      </c>
      <c r="D4" s="3" t="s">
        <v>1134</v>
      </c>
    </row>
    <row r="5" spans="1:4" x14ac:dyDescent="0.2">
      <c r="A5" s="3" t="s">
        <v>324</v>
      </c>
      <c r="B5" s="3" t="s">
        <v>9</v>
      </c>
      <c r="C5" s="3" t="s">
        <v>10</v>
      </c>
      <c r="D5" s="3" t="s">
        <v>1134</v>
      </c>
    </row>
    <row r="6" spans="1:4" x14ac:dyDescent="0.2">
      <c r="A6" s="3" t="s">
        <v>325</v>
      </c>
      <c r="B6" s="3" t="s">
        <v>9</v>
      </c>
      <c r="C6" s="3" t="s">
        <v>10</v>
      </c>
      <c r="D6" s="3" t="s">
        <v>1134</v>
      </c>
    </row>
    <row r="7" spans="1:4" x14ac:dyDescent="0.2">
      <c r="A7" s="3" t="s">
        <v>326</v>
      </c>
      <c r="B7" s="3" t="s">
        <v>9</v>
      </c>
      <c r="C7" s="3" t="s">
        <v>10</v>
      </c>
      <c r="D7" s="3" t="s">
        <v>1134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1134</v>
      </c>
    </row>
    <row r="9" spans="1:4" x14ac:dyDescent="0.2">
      <c r="A9" s="3" t="s">
        <v>327</v>
      </c>
      <c r="B9" s="3" t="s">
        <v>9</v>
      </c>
      <c r="C9" s="3" t="s">
        <v>10</v>
      </c>
      <c r="D9" s="3" t="s">
        <v>1134</v>
      </c>
    </row>
    <row r="10" spans="1:4" x14ac:dyDescent="0.2">
      <c r="A10" s="3" t="s">
        <v>328</v>
      </c>
      <c r="B10" s="3" t="s">
        <v>9</v>
      </c>
      <c r="C10" s="3" t="s">
        <v>10</v>
      </c>
      <c r="D10" s="3" t="s">
        <v>1134</v>
      </c>
    </row>
    <row r="11" spans="1:4" x14ac:dyDescent="0.2">
      <c r="A11" s="3" t="s">
        <v>329</v>
      </c>
      <c r="B11" s="3" t="s">
        <v>9</v>
      </c>
      <c r="C11" s="3" t="s">
        <v>10</v>
      </c>
      <c r="D11" s="3" t="s">
        <v>1134</v>
      </c>
    </row>
    <row r="12" spans="1:4" x14ac:dyDescent="0.2">
      <c r="A12" s="3" t="s">
        <v>330</v>
      </c>
      <c r="B12" s="3" t="s">
        <v>9</v>
      </c>
      <c r="C12" s="3" t="s">
        <v>10</v>
      </c>
      <c r="D12" s="3" t="s">
        <v>1134</v>
      </c>
    </row>
    <row r="13" spans="1:4" x14ac:dyDescent="0.2">
      <c r="A13" s="3" t="s">
        <v>331</v>
      </c>
      <c r="B13" s="3" t="s">
        <v>9</v>
      </c>
      <c r="C13" s="3" t="s">
        <v>10</v>
      </c>
      <c r="D13" s="3" t="s">
        <v>1134</v>
      </c>
    </row>
    <row r="14" spans="1:4" x14ac:dyDescent="0.2">
      <c r="A14" s="3" t="s">
        <v>340</v>
      </c>
      <c r="B14" s="3" t="s">
        <v>9</v>
      </c>
      <c r="C14" s="3" t="s">
        <v>10</v>
      </c>
      <c r="D14" s="3" t="s">
        <v>1136</v>
      </c>
    </row>
    <row r="15" spans="1:4" x14ac:dyDescent="0.2">
      <c r="A15" s="3" t="s">
        <v>341</v>
      </c>
      <c r="B15" s="3" t="s">
        <v>9</v>
      </c>
      <c r="C15" s="3" t="s">
        <v>10</v>
      </c>
      <c r="D15" s="3" t="s">
        <v>1136</v>
      </c>
    </row>
    <row r="16" spans="1:4" x14ac:dyDescent="0.2">
      <c r="A16" s="3" t="s">
        <v>342</v>
      </c>
      <c r="B16" s="3" t="s">
        <v>9</v>
      </c>
      <c r="C16" s="3" t="s">
        <v>10</v>
      </c>
      <c r="D16" s="3" t="s">
        <v>1136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1136</v>
      </c>
    </row>
    <row r="18" spans="1:4" x14ac:dyDescent="0.2">
      <c r="A18" s="3" t="s">
        <v>343</v>
      </c>
      <c r="B18" s="3" t="s">
        <v>9</v>
      </c>
      <c r="C18" s="3" t="s">
        <v>10</v>
      </c>
      <c r="D18" s="3" t="s">
        <v>1136</v>
      </c>
    </row>
    <row r="19" spans="1:4" x14ac:dyDescent="0.2">
      <c r="A19" s="3" t="s">
        <v>344</v>
      </c>
      <c r="B19" s="3" t="s">
        <v>9</v>
      </c>
      <c r="C19" s="3" t="s">
        <v>10</v>
      </c>
      <c r="D19" s="3" t="s">
        <v>1136</v>
      </c>
    </row>
    <row r="20" spans="1:4" x14ac:dyDescent="0.2">
      <c r="A20" s="3" t="s">
        <v>332</v>
      </c>
      <c r="B20" s="3" t="s">
        <v>9</v>
      </c>
      <c r="C20" s="3" t="s">
        <v>1135</v>
      </c>
      <c r="D20" s="3" t="s">
        <v>63</v>
      </c>
    </row>
    <row r="21" spans="1:4" x14ac:dyDescent="0.2">
      <c r="A21" s="3" t="s">
        <v>333</v>
      </c>
      <c r="B21" s="3" t="s">
        <v>9</v>
      </c>
      <c r="C21" s="3" t="s">
        <v>1135</v>
      </c>
      <c r="D21" s="3" t="s">
        <v>63</v>
      </c>
    </row>
    <row r="22" spans="1:4" x14ac:dyDescent="0.2">
      <c r="A22" s="3" t="s">
        <v>334</v>
      </c>
      <c r="B22" s="3" t="s">
        <v>9</v>
      </c>
      <c r="C22" s="3" t="s">
        <v>1135</v>
      </c>
      <c r="D22" s="3" t="s">
        <v>63</v>
      </c>
    </row>
    <row r="23" spans="1:4" x14ac:dyDescent="0.2">
      <c r="A23" s="3" t="s">
        <v>335</v>
      </c>
      <c r="B23" s="3" t="s">
        <v>9</v>
      </c>
      <c r="C23" s="3" t="s">
        <v>1135</v>
      </c>
      <c r="D23" s="3" t="s">
        <v>63</v>
      </c>
    </row>
    <row r="24" spans="1:4" x14ac:dyDescent="0.2">
      <c r="A24" s="3" t="s">
        <v>608</v>
      </c>
      <c r="B24" s="3" t="s">
        <v>1141</v>
      </c>
      <c r="C24" s="3" t="s">
        <v>1142</v>
      </c>
      <c r="D24" s="3" t="s">
        <v>1143</v>
      </c>
    </row>
    <row r="25" spans="1:4" x14ac:dyDescent="0.2">
      <c r="A25" s="3" t="s">
        <v>609</v>
      </c>
      <c r="B25" s="3" t="s">
        <v>1141</v>
      </c>
      <c r="C25" s="3" t="s">
        <v>1142</v>
      </c>
      <c r="D25" s="3" t="s">
        <v>1143</v>
      </c>
    </row>
    <row r="26" spans="1:4" x14ac:dyDescent="0.2">
      <c r="A26" s="3" t="s">
        <v>610</v>
      </c>
      <c r="B26" s="3" t="s">
        <v>1141</v>
      </c>
      <c r="C26" s="3" t="s">
        <v>1142</v>
      </c>
      <c r="D26" s="3" t="s">
        <v>1143</v>
      </c>
    </row>
    <row r="27" spans="1:4" x14ac:dyDescent="0.2">
      <c r="A27" s="3" t="s">
        <v>611</v>
      </c>
      <c r="B27" s="3" t="s">
        <v>1141</v>
      </c>
      <c r="C27" s="3" t="s">
        <v>1142</v>
      </c>
      <c r="D27" s="3" t="s">
        <v>1143</v>
      </c>
    </row>
    <row r="28" spans="1:4" x14ac:dyDescent="0.2">
      <c r="A28" s="3" t="s">
        <v>612</v>
      </c>
      <c r="B28" s="3" t="s">
        <v>1141</v>
      </c>
      <c r="C28" s="3" t="s">
        <v>1142</v>
      </c>
      <c r="D28" s="3" t="s">
        <v>1143</v>
      </c>
    </row>
    <row r="29" spans="1:4" x14ac:dyDescent="0.2">
      <c r="A29" s="3" t="s">
        <v>613</v>
      </c>
      <c r="B29" s="3" t="s">
        <v>1141</v>
      </c>
      <c r="C29" s="3" t="s">
        <v>1142</v>
      </c>
      <c r="D29" s="3" t="s">
        <v>1143</v>
      </c>
    </row>
    <row r="30" spans="1:4" x14ac:dyDescent="0.2">
      <c r="A30" s="3" t="s">
        <v>614</v>
      </c>
      <c r="B30" s="3" t="s">
        <v>1141</v>
      </c>
      <c r="C30" s="3" t="s">
        <v>1142</v>
      </c>
      <c r="D30" s="3" t="s">
        <v>1143</v>
      </c>
    </row>
    <row r="31" spans="1:4" x14ac:dyDescent="0.2">
      <c r="A31" s="3" t="s">
        <v>615</v>
      </c>
      <c r="B31" s="3" t="s">
        <v>1141</v>
      </c>
      <c r="C31" s="3" t="s">
        <v>1142</v>
      </c>
      <c r="D31" s="3" t="s">
        <v>1143</v>
      </c>
    </row>
    <row r="32" spans="1:4" x14ac:dyDescent="0.2">
      <c r="A32" s="3" t="s">
        <v>616</v>
      </c>
      <c r="B32" s="3" t="s">
        <v>1141</v>
      </c>
      <c r="C32" s="3" t="s">
        <v>1142</v>
      </c>
      <c r="D32" s="3" t="s">
        <v>1143</v>
      </c>
    </row>
    <row r="33" spans="1:4" x14ac:dyDescent="0.2">
      <c r="A33" s="3" t="s">
        <v>617</v>
      </c>
      <c r="B33" s="3" t="s">
        <v>1141</v>
      </c>
      <c r="C33" s="3" t="s">
        <v>1142</v>
      </c>
      <c r="D33" s="3" t="s">
        <v>1143</v>
      </c>
    </row>
    <row r="34" spans="1:4" x14ac:dyDescent="0.2">
      <c r="A34" s="3" t="s">
        <v>618</v>
      </c>
      <c r="B34" s="3" t="s">
        <v>1141</v>
      </c>
      <c r="C34" s="3" t="s">
        <v>1142</v>
      </c>
      <c r="D34" s="3" t="s">
        <v>1143</v>
      </c>
    </row>
    <row r="35" spans="1:4" x14ac:dyDescent="0.2">
      <c r="A35" s="3" t="s">
        <v>619</v>
      </c>
      <c r="B35" s="3" t="s">
        <v>1141</v>
      </c>
      <c r="C35" s="3" t="s">
        <v>1142</v>
      </c>
      <c r="D35" s="3" t="s">
        <v>1143</v>
      </c>
    </row>
    <row r="36" spans="1:4" x14ac:dyDescent="0.2">
      <c r="A36" s="3" t="s">
        <v>620</v>
      </c>
      <c r="B36" s="3" t="s">
        <v>1141</v>
      </c>
      <c r="C36" s="3" t="s">
        <v>1142</v>
      </c>
      <c r="D36" s="3" t="s">
        <v>1143</v>
      </c>
    </row>
    <row r="37" spans="1:4" x14ac:dyDescent="0.2">
      <c r="A37" s="3" t="s">
        <v>621</v>
      </c>
      <c r="B37" s="3" t="s">
        <v>1141</v>
      </c>
      <c r="C37" s="3" t="s">
        <v>1142</v>
      </c>
      <c r="D37" s="3" t="s">
        <v>1143</v>
      </c>
    </row>
    <row r="38" spans="1:4" x14ac:dyDescent="0.2">
      <c r="A38" s="3" t="s">
        <v>622</v>
      </c>
      <c r="B38" s="3" t="s">
        <v>1141</v>
      </c>
      <c r="C38" s="3" t="s">
        <v>1142</v>
      </c>
      <c r="D38" s="3" t="s">
        <v>1143</v>
      </c>
    </row>
    <row r="39" spans="1:4" x14ac:dyDescent="0.2">
      <c r="A39" s="3" t="s">
        <v>623</v>
      </c>
      <c r="B39" s="3" t="s">
        <v>1141</v>
      </c>
      <c r="C39" s="3" t="s">
        <v>1142</v>
      </c>
      <c r="D39" s="3" t="s">
        <v>1143</v>
      </c>
    </row>
    <row r="40" spans="1:4" x14ac:dyDescent="0.2">
      <c r="A40" s="3" t="s">
        <v>624</v>
      </c>
      <c r="B40" s="3" t="s">
        <v>1141</v>
      </c>
      <c r="C40" s="3" t="s">
        <v>1142</v>
      </c>
      <c r="D40" s="3" t="s">
        <v>1143</v>
      </c>
    </row>
    <row r="41" spans="1:4" x14ac:dyDescent="0.2">
      <c r="A41" s="3" t="s">
        <v>625</v>
      </c>
      <c r="B41" s="3" t="s">
        <v>1141</v>
      </c>
      <c r="C41" s="3" t="s">
        <v>1142</v>
      </c>
      <c r="D41" s="3" t="s">
        <v>1143</v>
      </c>
    </row>
    <row r="42" spans="1:4" x14ac:dyDescent="0.2">
      <c r="A42" s="3" t="s">
        <v>626</v>
      </c>
      <c r="B42" s="3" t="s">
        <v>1141</v>
      </c>
      <c r="C42" s="3" t="s">
        <v>1142</v>
      </c>
      <c r="D42" s="3" t="s">
        <v>1143</v>
      </c>
    </row>
    <row r="43" spans="1:4" x14ac:dyDescent="0.2">
      <c r="A43" s="3" t="s">
        <v>627</v>
      </c>
      <c r="B43" s="3" t="s">
        <v>1141</v>
      </c>
      <c r="C43" s="3" t="s">
        <v>1142</v>
      </c>
      <c r="D43" s="3" t="s">
        <v>1143</v>
      </c>
    </row>
    <row r="44" spans="1:4" x14ac:dyDescent="0.2">
      <c r="A44" s="3" t="s">
        <v>628</v>
      </c>
      <c r="B44" s="3" t="s">
        <v>1141</v>
      </c>
      <c r="C44" s="3" t="s">
        <v>1142</v>
      </c>
      <c r="D44" s="3" t="s">
        <v>1143</v>
      </c>
    </row>
    <row r="45" spans="1:4" x14ac:dyDescent="0.2">
      <c r="A45" s="3" t="s">
        <v>629</v>
      </c>
      <c r="B45" s="3" t="s">
        <v>1141</v>
      </c>
      <c r="C45" s="3" t="s">
        <v>1142</v>
      </c>
      <c r="D45" s="3" t="s">
        <v>1143</v>
      </c>
    </row>
    <row r="46" spans="1:4" x14ac:dyDescent="0.2">
      <c r="A46" s="3" t="s">
        <v>630</v>
      </c>
      <c r="B46" s="3" t="s">
        <v>1141</v>
      </c>
      <c r="C46" s="3" t="s">
        <v>1142</v>
      </c>
      <c r="D46" s="3" t="s">
        <v>1143</v>
      </c>
    </row>
    <row r="47" spans="1:4" x14ac:dyDescent="0.2">
      <c r="A47" s="3" t="s">
        <v>631</v>
      </c>
      <c r="B47" s="3" t="s">
        <v>1141</v>
      </c>
      <c r="C47" s="3" t="s">
        <v>1142</v>
      </c>
      <c r="D47" s="3" t="s">
        <v>1143</v>
      </c>
    </row>
    <row r="48" spans="1:4" x14ac:dyDescent="0.2">
      <c r="A48" s="3" t="s">
        <v>632</v>
      </c>
      <c r="B48" s="3" t="s">
        <v>1141</v>
      </c>
      <c r="C48" s="3" t="s">
        <v>1142</v>
      </c>
      <c r="D48" s="3" t="s">
        <v>1143</v>
      </c>
    </row>
    <row r="49" spans="1:4" x14ac:dyDescent="0.2">
      <c r="A49" s="3" t="s">
        <v>633</v>
      </c>
      <c r="B49" s="3" t="s">
        <v>1141</v>
      </c>
      <c r="C49" s="3" t="s">
        <v>1142</v>
      </c>
      <c r="D49" s="3" t="s">
        <v>1143</v>
      </c>
    </row>
    <row r="50" spans="1:4" x14ac:dyDescent="0.2">
      <c r="A50" s="3" t="s">
        <v>634</v>
      </c>
      <c r="B50" s="3" t="s">
        <v>1141</v>
      </c>
      <c r="C50" s="3" t="s">
        <v>1142</v>
      </c>
      <c r="D50" s="3" t="s">
        <v>1143</v>
      </c>
    </row>
    <row r="51" spans="1:4" x14ac:dyDescent="0.2">
      <c r="A51" s="3" t="s">
        <v>635</v>
      </c>
      <c r="B51" s="3" t="s">
        <v>1141</v>
      </c>
      <c r="C51" s="3" t="s">
        <v>1142</v>
      </c>
      <c r="D51" s="3" t="s">
        <v>1143</v>
      </c>
    </row>
    <row r="52" spans="1:4" x14ac:dyDescent="0.2">
      <c r="A52" s="3" t="s">
        <v>636</v>
      </c>
      <c r="B52" s="3" t="s">
        <v>1141</v>
      </c>
      <c r="C52" s="3" t="s">
        <v>1142</v>
      </c>
      <c r="D52" s="3" t="s">
        <v>1143</v>
      </c>
    </row>
    <row r="53" spans="1:4" x14ac:dyDescent="0.2">
      <c r="A53" s="3" t="s">
        <v>637</v>
      </c>
      <c r="B53" s="3" t="s">
        <v>1141</v>
      </c>
      <c r="C53" s="3" t="s">
        <v>1142</v>
      </c>
      <c r="D53" s="3" t="s">
        <v>1143</v>
      </c>
    </row>
    <row r="54" spans="1:4" x14ac:dyDescent="0.2">
      <c r="A54" s="3" t="s">
        <v>638</v>
      </c>
      <c r="B54" s="3" t="s">
        <v>1141</v>
      </c>
      <c r="C54" s="3" t="s">
        <v>1142</v>
      </c>
      <c r="D54" s="3" t="s">
        <v>1143</v>
      </c>
    </row>
    <row r="55" spans="1:4" x14ac:dyDescent="0.2">
      <c r="A55" s="3" t="s">
        <v>639</v>
      </c>
      <c r="B55" s="3" t="s">
        <v>1141</v>
      </c>
      <c r="C55" s="3" t="s">
        <v>1142</v>
      </c>
      <c r="D55" s="3" t="s">
        <v>1143</v>
      </c>
    </row>
    <row r="56" spans="1:4" x14ac:dyDescent="0.2">
      <c r="A56" s="3" t="s">
        <v>640</v>
      </c>
      <c r="B56" s="3" t="s">
        <v>1141</v>
      </c>
      <c r="C56" s="3" t="s">
        <v>1142</v>
      </c>
      <c r="D56" s="3" t="s">
        <v>1143</v>
      </c>
    </row>
    <row r="57" spans="1:4" x14ac:dyDescent="0.2">
      <c r="A57" s="3" t="s">
        <v>346</v>
      </c>
      <c r="B57" s="3" t="s">
        <v>9</v>
      </c>
      <c r="C57" s="3" t="s">
        <v>10</v>
      </c>
      <c r="D57" s="3" t="s">
        <v>1138</v>
      </c>
    </row>
    <row r="58" spans="1:4" x14ac:dyDescent="0.2">
      <c r="A58" s="3" t="s">
        <v>347</v>
      </c>
      <c r="B58" s="3" t="s">
        <v>9</v>
      </c>
      <c r="C58" s="3" t="s">
        <v>10</v>
      </c>
      <c r="D58" s="3" t="s">
        <v>1138</v>
      </c>
    </row>
    <row r="59" spans="1:4" x14ac:dyDescent="0.2">
      <c r="A59" s="3" t="s">
        <v>348</v>
      </c>
      <c r="B59" s="3" t="s">
        <v>9</v>
      </c>
      <c r="C59" s="3" t="s">
        <v>10</v>
      </c>
      <c r="D59" s="3" t="s">
        <v>1138</v>
      </c>
    </row>
    <row r="60" spans="1:4" x14ac:dyDescent="0.2">
      <c r="A60" s="3" t="s">
        <v>349</v>
      </c>
      <c r="B60" s="3" t="s">
        <v>9</v>
      </c>
      <c r="C60" s="3" t="s">
        <v>10</v>
      </c>
      <c r="D60" s="3" t="s">
        <v>1138</v>
      </c>
    </row>
    <row r="61" spans="1:4" x14ac:dyDescent="0.2">
      <c r="A61" s="3" t="s">
        <v>350</v>
      </c>
      <c r="B61" s="3" t="s">
        <v>9</v>
      </c>
      <c r="C61" s="3" t="s">
        <v>10</v>
      </c>
      <c r="D61" s="3" t="s">
        <v>1138</v>
      </c>
    </row>
    <row r="62" spans="1:4" x14ac:dyDescent="0.2">
      <c r="A62" s="3" t="s">
        <v>351</v>
      </c>
      <c r="B62" s="3" t="s">
        <v>9</v>
      </c>
      <c r="C62" s="3" t="s">
        <v>10</v>
      </c>
      <c r="D62" s="3" t="s">
        <v>1138</v>
      </c>
    </row>
    <row r="63" spans="1:4" x14ac:dyDescent="0.2">
      <c r="A63" s="3" t="s">
        <v>319</v>
      </c>
      <c r="B63" s="3" t="s">
        <v>9</v>
      </c>
      <c r="C63" s="3" t="s">
        <v>10</v>
      </c>
      <c r="D63" s="3" t="s">
        <v>1138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1138</v>
      </c>
    </row>
    <row r="65" spans="1:4" x14ac:dyDescent="0.2">
      <c r="A65" s="3" t="s">
        <v>320</v>
      </c>
      <c r="B65" s="3" t="s">
        <v>9</v>
      </c>
      <c r="C65" s="3" t="s">
        <v>10</v>
      </c>
      <c r="D65" s="3" t="s">
        <v>1138</v>
      </c>
    </row>
    <row r="66" spans="1:4" x14ac:dyDescent="0.2">
      <c r="A66" s="3" t="s">
        <v>296</v>
      </c>
      <c r="B66" s="3" t="s">
        <v>9</v>
      </c>
      <c r="C66" s="3" t="s">
        <v>10</v>
      </c>
      <c r="D66" s="3" t="s">
        <v>1138</v>
      </c>
    </row>
    <row r="67" spans="1:4" x14ac:dyDescent="0.2">
      <c r="A67" s="3" t="s">
        <v>352</v>
      </c>
      <c r="B67" s="3" t="s">
        <v>9</v>
      </c>
      <c r="C67" s="3" t="s">
        <v>95</v>
      </c>
      <c r="D67" s="3" t="s">
        <v>1139</v>
      </c>
    </row>
    <row r="68" spans="1:4" x14ac:dyDescent="0.2">
      <c r="A68" s="3" t="s">
        <v>353</v>
      </c>
      <c r="B68" s="3" t="s">
        <v>9</v>
      </c>
      <c r="C68" s="3" t="s">
        <v>95</v>
      </c>
      <c r="D68" s="3" t="s">
        <v>1139</v>
      </c>
    </row>
    <row r="69" spans="1:4" x14ac:dyDescent="0.2">
      <c r="A69" s="3" t="s">
        <v>354</v>
      </c>
      <c r="B69" s="3" t="s">
        <v>9</v>
      </c>
      <c r="C69" s="3" t="s">
        <v>95</v>
      </c>
      <c r="D69" s="3" t="s">
        <v>1140</v>
      </c>
    </row>
    <row r="70" spans="1:4" x14ac:dyDescent="0.2">
      <c r="A70" s="3" t="s">
        <v>429</v>
      </c>
      <c r="B70" s="3" t="s">
        <v>9</v>
      </c>
      <c r="C70" s="3" t="s">
        <v>1172</v>
      </c>
      <c r="D70" s="3" t="s">
        <v>1173</v>
      </c>
    </row>
    <row r="71" spans="1:4" x14ac:dyDescent="0.2">
      <c r="A71" s="3" t="s">
        <v>357</v>
      </c>
      <c r="B71" s="3" t="s">
        <v>9</v>
      </c>
      <c r="C71" s="3" t="s">
        <v>95</v>
      </c>
      <c r="D71" s="3" t="s">
        <v>1145</v>
      </c>
    </row>
    <row r="72" spans="1:4" x14ac:dyDescent="0.2">
      <c r="A72" s="3" t="s">
        <v>468</v>
      </c>
      <c r="B72" s="3" t="s">
        <v>9</v>
      </c>
      <c r="C72" s="3" t="s">
        <v>95</v>
      </c>
      <c r="D72" s="3" t="s">
        <v>1145</v>
      </c>
    </row>
    <row r="73" spans="1:4" x14ac:dyDescent="0.2">
      <c r="A73" s="3" t="s">
        <v>511</v>
      </c>
      <c r="B73" s="3" t="s">
        <v>9</v>
      </c>
      <c r="C73" s="3" t="s">
        <v>95</v>
      </c>
      <c r="D73" s="3" t="s">
        <v>1145</v>
      </c>
    </row>
    <row r="74" spans="1:4" x14ac:dyDescent="0.2">
      <c r="A74" s="3" t="s">
        <v>355</v>
      </c>
      <c r="B74" s="3" t="s">
        <v>9</v>
      </c>
      <c r="C74" s="3" t="s">
        <v>95</v>
      </c>
      <c r="D74" s="3" t="s">
        <v>1144</v>
      </c>
    </row>
    <row r="75" spans="1:4" x14ac:dyDescent="0.2">
      <c r="A75" s="3" t="s">
        <v>356</v>
      </c>
      <c r="B75" s="3" t="s">
        <v>9</v>
      </c>
      <c r="C75" s="3" t="s">
        <v>95</v>
      </c>
      <c r="D75" s="3" t="s">
        <v>1144</v>
      </c>
    </row>
    <row r="76" spans="1:4" x14ac:dyDescent="0.2">
      <c r="A76" s="3" t="s">
        <v>595</v>
      </c>
      <c r="B76" s="3" t="s">
        <v>1147</v>
      </c>
      <c r="C76" s="3" t="s">
        <v>95</v>
      </c>
      <c r="D76" s="3" t="s">
        <v>1148</v>
      </c>
    </row>
    <row r="77" spans="1:4" x14ac:dyDescent="0.2">
      <c r="A77" s="3" t="s">
        <v>596</v>
      </c>
      <c r="B77" s="3" t="s">
        <v>1147</v>
      </c>
      <c r="C77" s="3" t="s">
        <v>95</v>
      </c>
      <c r="D77" s="3" t="s">
        <v>1148</v>
      </c>
    </row>
    <row r="78" spans="1:4" x14ac:dyDescent="0.2">
      <c r="A78" s="3" t="s">
        <v>299</v>
      </c>
      <c r="B78" s="3" t="s">
        <v>184</v>
      </c>
      <c r="C78" s="3" t="s">
        <v>1149</v>
      </c>
      <c r="D78" s="3" t="s">
        <v>1150</v>
      </c>
    </row>
    <row r="79" spans="1:4" x14ac:dyDescent="0.2">
      <c r="A79" s="3" t="s">
        <v>308</v>
      </c>
      <c r="B79" s="3" t="s">
        <v>184</v>
      </c>
      <c r="C79" s="3" t="s">
        <v>1149</v>
      </c>
      <c r="D79" s="3" t="s">
        <v>1150</v>
      </c>
    </row>
    <row r="80" spans="1:4" x14ac:dyDescent="0.2">
      <c r="A80" s="3" t="s">
        <v>376</v>
      </c>
      <c r="B80" s="3" t="s">
        <v>9</v>
      </c>
      <c r="C80" s="3" t="s">
        <v>117</v>
      </c>
      <c r="D80" s="3" t="s">
        <v>1154</v>
      </c>
    </row>
    <row r="81" spans="1:4" x14ac:dyDescent="0.2">
      <c r="A81" s="3" t="s">
        <v>377</v>
      </c>
      <c r="B81" s="3" t="s">
        <v>9</v>
      </c>
      <c r="C81" s="3" t="s">
        <v>117</v>
      </c>
      <c r="D81" s="3" t="s">
        <v>1154</v>
      </c>
    </row>
    <row r="82" spans="1:4" x14ac:dyDescent="0.2">
      <c r="A82" s="3" t="s">
        <v>375</v>
      </c>
      <c r="B82" s="3" t="s">
        <v>9</v>
      </c>
      <c r="C82" s="3" t="s">
        <v>198</v>
      </c>
      <c r="D82" s="3" t="s">
        <v>1153</v>
      </c>
    </row>
    <row r="83" spans="1:4" x14ac:dyDescent="0.2">
      <c r="A83" s="3" t="s">
        <v>336</v>
      </c>
      <c r="B83" s="3" t="s">
        <v>9</v>
      </c>
      <c r="C83" s="3" t="s">
        <v>198</v>
      </c>
      <c r="D83" s="3" t="s">
        <v>1130</v>
      </c>
    </row>
    <row r="84" spans="1:4" x14ac:dyDescent="0.2">
      <c r="A84" s="3" t="s">
        <v>337</v>
      </c>
      <c r="B84" s="3" t="s">
        <v>9</v>
      </c>
      <c r="C84" s="3" t="s">
        <v>198</v>
      </c>
      <c r="D84" s="3" t="s">
        <v>1130</v>
      </c>
    </row>
    <row r="85" spans="1:4" x14ac:dyDescent="0.2">
      <c r="A85" s="3" t="s">
        <v>338</v>
      </c>
      <c r="B85" s="3" t="s">
        <v>9</v>
      </c>
      <c r="C85" s="3" t="s">
        <v>198</v>
      </c>
      <c r="D85" s="3" t="s">
        <v>1130</v>
      </c>
    </row>
    <row r="86" spans="1:4" x14ac:dyDescent="0.2">
      <c r="A86" s="3" t="s">
        <v>339</v>
      </c>
      <c r="B86" s="3" t="s">
        <v>9</v>
      </c>
      <c r="C86" s="3" t="s">
        <v>198</v>
      </c>
      <c r="D86" s="3" t="s">
        <v>1130</v>
      </c>
    </row>
    <row r="87" spans="1:4" x14ac:dyDescent="0.2">
      <c r="A87" s="3" t="s">
        <v>362</v>
      </c>
      <c r="B87" s="3" t="s">
        <v>9</v>
      </c>
      <c r="C87" s="3" t="s">
        <v>198</v>
      </c>
      <c r="D87" s="3" t="s">
        <v>1130</v>
      </c>
    </row>
    <row r="88" spans="1:4" x14ac:dyDescent="0.2">
      <c r="A88" s="3" t="s">
        <v>363</v>
      </c>
      <c r="B88" s="3" t="s">
        <v>9</v>
      </c>
      <c r="C88" s="3" t="s">
        <v>198</v>
      </c>
      <c r="D88" s="3" t="s">
        <v>1130</v>
      </c>
    </row>
    <row r="89" spans="1:4" x14ac:dyDescent="0.2">
      <c r="A89" s="3" t="s">
        <v>364</v>
      </c>
      <c r="B89" s="3" t="s">
        <v>9</v>
      </c>
      <c r="C89" s="3" t="s">
        <v>198</v>
      </c>
      <c r="D89" s="3" t="s">
        <v>1130</v>
      </c>
    </row>
    <row r="90" spans="1:4" x14ac:dyDescent="0.2">
      <c r="A90" s="3" t="s">
        <v>365</v>
      </c>
      <c r="B90" s="3" t="s">
        <v>9</v>
      </c>
      <c r="C90" s="3" t="s">
        <v>198</v>
      </c>
      <c r="D90" s="3" t="s">
        <v>1130</v>
      </c>
    </row>
    <row r="91" spans="1:4" x14ac:dyDescent="0.2">
      <c r="A91" s="3" t="s">
        <v>366</v>
      </c>
      <c r="B91" s="3" t="s">
        <v>9</v>
      </c>
      <c r="C91" s="3" t="s">
        <v>198</v>
      </c>
      <c r="D91" s="3" t="s">
        <v>1130</v>
      </c>
    </row>
    <row r="92" spans="1:4" x14ac:dyDescent="0.2">
      <c r="A92" s="3" t="s">
        <v>367</v>
      </c>
      <c r="B92" s="3" t="s">
        <v>9</v>
      </c>
      <c r="C92" s="3" t="s">
        <v>198</v>
      </c>
      <c r="D92" s="3" t="s">
        <v>1130</v>
      </c>
    </row>
    <row r="93" spans="1:4" x14ac:dyDescent="0.2">
      <c r="A93" s="3" t="s">
        <v>368</v>
      </c>
      <c r="B93" s="3" t="s">
        <v>9</v>
      </c>
      <c r="C93" s="3" t="s">
        <v>198</v>
      </c>
      <c r="D93" s="3" t="s">
        <v>1130</v>
      </c>
    </row>
    <row r="94" spans="1:4" x14ac:dyDescent="0.2">
      <c r="A94" s="3" t="s">
        <v>369</v>
      </c>
      <c r="B94" s="3" t="s">
        <v>9</v>
      </c>
      <c r="C94" s="3" t="s">
        <v>198</v>
      </c>
      <c r="D94" s="3" t="s">
        <v>1130</v>
      </c>
    </row>
    <row r="95" spans="1:4" x14ac:dyDescent="0.2">
      <c r="A95" s="3" t="s">
        <v>370</v>
      </c>
      <c r="B95" s="3" t="s">
        <v>9</v>
      </c>
      <c r="C95" s="3" t="s">
        <v>198</v>
      </c>
      <c r="D95" s="3" t="s">
        <v>1130</v>
      </c>
    </row>
    <row r="96" spans="1:4" x14ac:dyDescent="0.2">
      <c r="A96" s="3" t="s">
        <v>371</v>
      </c>
      <c r="B96" s="3" t="s">
        <v>9</v>
      </c>
      <c r="C96" s="3" t="s">
        <v>198</v>
      </c>
      <c r="D96" s="3" t="s">
        <v>1130</v>
      </c>
    </row>
    <row r="97" spans="1:4" x14ac:dyDescent="0.2">
      <c r="A97" s="3" t="s">
        <v>372</v>
      </c>
      <c r="B97" s="3" t="s">
        <v>9</v>
      </c>
      <c r="C97" s="3" t="s">
        <v>198</v>
      </c>
      <c r="D97" s="3" t="s">
        <v>1130</v>
      </c>
    </row>
    <row r="98" spans="1:4" x14ac:dyDescent="0.2">
      <c r="A98" s="3" t="s">
        <v>378</v>
      </c>
      <c r="B98" s="3" t="s">
        <v>9</v>
      </c>
      <c r="C98" s="3" t="s">
        <v>198</v>
      </c>
      <c r="D98" s="3" t="s">
        <v>1130</v>
      </c>
    </row>
    <row r="99" spans="1:4" x14ac:dyDescent="0.2">
      <c r="A99" s="3" t="s">
        <v>379</v>
      </c>
      <c r="B99" s="3" t="s">
        <v>9</v>
      </c>
      <c r="C99" s="3" t="s">
        <v>198</v>
      </c>
      <c r="D99" s="3" t="s">
        <v>1130</v>
      </c>
    </row>
    <row r="100" spans="1:4" x14ac:dyDescent="0.2">
      <c r="A100" s="3" t="s">
        <v>380</v>
      </c>
      <c r="B100" s="3" t="s">
        <v>9</v>
      </c>
      <c r="C100" s="3" t="s">
        <v>198</v>
      </c>
      <c r="D100" s="3" t="s">
        <v>1130</v>
      </c>
    </row>
    <row r="101" spans="1:4" x14ac:dyDescent="0.2">
      <c r="A101" s="3" t="s">
        <v>381</v>
      </c>
      <c r="B101" s="3" t="s">
        <v>9</v>
      </c>
      <c r="C101" s="3" t="s">
        <v>198</v>
      </c>
      <c r="D101" s="3" t="s">
        <v>1130</v>
      </c>
    </row>
    <row r="102" spans="1:4" x14ac:dyDescent="0.2">
      <c r="A102" s="3" t="s">
        <v>1237</v>
      </c>
      <c r="B102" s="3" t="s">
        <v>9</v>
      </c>
      <c r="C102" s="3" t="s">
        <v>198</v>
      </c>
      <c r="D102" s="3" t="s">
        <v>1130</v>
      </c>
    </row>
    <row r="103" spans="1:4" x14ac:dyDescent="0.2">
      <c r="A103" s="3" t="s">
        <v>382</v>
      </c>
      <c r="B103" s="3" t="s">
        <v>9</v>
      </c>
      <c r="C103" s="3" t="s">
        <v>198</v>
      </c>
      <c r="D103" s="3" t="s">
        <v>1130</v>
      </c>
    </row>
    <row r="104" spans="1:4" x14ac:dyDescent="0.2">
      <c r="A104" s="3" t="s">
        <v>383</v>
      </c>
      <c r="B104" s="3" t="s">
        <v>9</v>
      </c>
      <c r="C104" s="3" t="s">
        <v>198</v>
      </c>
      <c r="D104" s="3" t="s">
        <v>1130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1130</v>
      </c>
    </row>
    <row r="106" spans="1:4" x14ac:dyDescent="0.2">
      <c r="A106" s="3" t="s">
        <v>594</v>
      </c>
      <c r="B106" s="3" t="s">
        <v>9</v>
      </c>
      <c r="C106" s="3" t="s">
        <v>198</v>
      </c>
      <c r="D106" s="3" t="s">
        <v>1130</v>
      </c>
    </row>
    <row r="107" spans="1:4" x14ac:dyDescent="0.2">
      <c r="A107" s="3" t="s">
        <v>361</v>
      </c>
      <c r="B107" s="3" t="s">
        <v>9</v>
      </c>
      <c r="C107" s="3" t="s">
        <v>95</v>
      </c>
      <c r="D107" s="3" t="s">
        <v>1151</v>
      </c>
    </row>
    <row r="108" spans="1:4" x14ac:dyDescent="0.2">
      <c r="A108" s="3" t="s">
        <v>402</v>
      </c>
      <c r="B108" s="3" t="s">
        <v>9</v>
      </c>
      <c r="C108" s="3" t="s">
        <v>95</v>
      </c>
      <c r="D108" s="3" t="s">
        <v>1151</v>
      </c>
    </row>
    <row r="109" spans="1:4" x14ac:dyDescent="0.2">
      <c r="A109" s="3" t="s">
        <v>391</v>
      </c>
      <c r="B109" s="3" t="s">
        <v>9</v>
      </c>
      <c r="C109" s="3" t="s">
        <v>1142</v>
      </c>
      <c r="D109" s="3" t="s">
        <v>1158</v>
      </c>
    </row>
    <row r="110" spans="1:4" x14ac:dyDescent="0.2">
      <c r="A110" s="3" t="s">
        <v>406</v>
      </c>
      <c r="B110" s="3" t="s">
        <v>9</v>
      </c>
      <c r="C110" s="3" t="s">
        <v>1142</v>
      </c>
      <c r="D110" s="3" t="s">
        <v>1158</v>
      </c>
    </row>
    <row r="111" spans="1:4" x14ac:dyDescent="0.2">
      <c r="A111" s="3" t="s">
        <v>408</v>
      </c>
      <c r="B111" s="3" t="s">
        <v>9</v>
      </c>
      <c r="C111" s="3" t="s">
        <v>1142</v>
      </c>
      <c r="D111" s="3" t="s">
        <v>1158</v>
      </c>
    </row>
    <row r="112" spans="1:4" x14ac:dyDescent="0.2">
      <c r="A112" s="3" t="s">
        <v>409</v>
      </c>
      <c r="B112" s="3" t="s">
        <v>9</v>
      </c>
      <c r="C112" s="3" t="s">
        <v>1142</v>
      </c>
      <c r="D112" s="3" t="s">
        <v>1158</v>
      </c>
    </row>
    <row r="113" spans="1:4" x14ac:dyDescent="0.2">
      <c r="A113" s="3" t="s">
        <v>410</v>
      </c>
      <c r="B113" s="3" t="s">
        <v>9</v>
      </c>
      <c r="C113" s="3" t="s">
        <v>1142</v>
      </c>
      <c r="D113" s="3" t="s">
        <v>1158</v>
      </c>
    </row>
    <row r="114" spans="1:4" x14ac:dyDescent="0.2">
      <c r="A114" s="3" t="s">
        <v>411</v>
      </c>
      <c r="B114" s="3" t="s">
        <v>9</v>
      </c>
      <c r="C114" s="3" t="s">
        <v>1142</v>
      </c>
      <c r="D114" s="3" t="s">
        <v>1158</v>
      </c>
    </row>
    <row r="115" spans="1:4" x14ac:dyDescent="0.2">
      <c r="A115" s="3" t="s">
        <v>412</v>
      </c>
      <c r="B115" s="3" t="s">
        <v>9</v>
      </c>
      <c r="C115" s="3" t="s">
        <v>1142</v>
      </c>
      <c r="D115" s="3" t="s">
        <v>1158</v>
      </c>
    </row>
    <row r="116" spans="1:4" x14ac:dyDescent="0.2">
      <c r="A116" s="3" t="s">
        <v>413</v>
      </c>
      <c r="B116" s="3" t="s">
        <v>9</v>
      </c>
      <c r="C116" s="3" t="s">
        <v>1142</v>
      </c>
      <c r="D116" s="3" t="s">
        <v>1158</v>
      </c>
    </row>
    <row r="117" spans="1:4" x14ac:dyDescent="0.2">
      <c r="A117" s="3" t="s">
        <v>414</v>
      </c>
      <c r="B117" s="3" t="s">
        <v>9</v>
      </c>
      <c r="C117" s="3" t="s">
        <v>1142</v>
      </c>
      <c r="D117" s="3" t="s">
        <v>1158</v>
      </c>
    </row>
    <row r="118" spans="1:4" x14ac:dyDescent="0.2">
      <c r="A118" s="3" t="s">
        <v>415</v>
      </c>
      <c r="B118" s="3" t="s">
        <v>9</v>
      </c>
      <c r="C118" s="3" t="s">
        <v>1142</v>
      </c>
      <c r="D118" s="3" t="s">
        <v>1158</v>
      </c>
    </row>
    <row r="119" spans="1:4" x14ac:dyDescent="0.2">
      <c r="A119" s="3" t="s">
        <v>416</v>
      </c>
      <c r="B119" s="3" t="s">
        <v>9</v>
      </c>
      <c r="C119" s="3" t="s">
        <v>1142</v>
      </c>
      <c r="D119" s="3" t="s">
        <v>1158</v>
      </c>
    </row>
    <row r="120" spans="1:4" x14ac:dyDescent="0.2">
      <c r="A120" s="3" t="s">
        <v>417</v>
      </c>
      <c r="B120" s="3" t="s">
        <v>9</v>
      </c>
      <c r="C120" s="3" t="s">
        <v>1142</v>
      </c>
      <c r="D120" s="3" t="s">
        <v>1158</v>
      </c>
    </row>
    <row r="121" spans="1:4" x14ac:dyDescent="0.2">
      <c r="A121" s="3" t="s">
        <v>418</v>
      </c>
      <c r="B121" s="3" t="s">
        <v>9</v>
      </c>
      <c r="C121" s="3" t="s">
        <v>1142</v>
      </c>
      <c r="D121" s="3" t="s">
        <v>1158</v>
      </c>
    </row>
    <row r="122" spans="1:4" x14ac:dyDescent="0.2">
      <c r="A122" s="3" t="s">
        <v>419</v>
      </c>
      <c r="B122" s="3" t="s">
        <v>9</v>
      </c>
      <c r="C122" s="3" t="s">
        <v>1142</v>
      </c>
      <c r="D122" s="3" t="s">
        <v>1158</v>
      </c>
    </row>
    <row r="123" spans="1:4" x14ac:dyDescent="0.2">
      <c r="A123" s="3" t="s">
        <v>420</v>
      </c>
      <c r="B123" s="3" t="s">
        <v>9</v>
      </c>
      <c r="C123" s="3" t="s">
        <v>1142</v>
      </c>
      <c r="D123" s="3" t="s">
        <v>1158</v>
      </c>
    </row>
    <row r="124" spans="1:4" x14ac:dyDescent="0.2">
      <c r="A124" s="3" t="s">
        <v>421</v>
      </c>
      <c r="B124" s="3" t="s">
        <v>9</v>
      </c>
      <c r="C124" s="3" t="s">
        <v>1142</v>
      </c>
      <c r="D124" s="3" t="s">
        <v>1158</v>
      </c>
    </row>
    <row r="125" spans="1:4" x14ac:dyDescent="0.2">
      <c r="A125" s="3" t="s">
        <v>422</v>
      </c>
      <c r="B125" s="3" t="s">
        <v>9</v>
      </c>
      <c r="C125" s="3" t="s">
        <v>1142</v>
      </c>
      <c r="D125" s="3" t="s">
        <v>1158</v>
      </c>
    </row>
    <row r="126" spans="1:4" x14ac:dyDescent="0.2">
      <c r="A126" s="3" t="s">
        <v>423</v>
      </c>
      <c r="B126" s="3" t="s">
        <v>9</v>
      </c>
      <c r="C126" s="3" t="s">
        <v>1142</v>
      </c>
      <c r="D126" s="3" t="s">
        <v>1158</v>
      </c>
    </row>
    <row r="127" spans="1:4" x14ac:dyDescent="0.2">
      <c r="A127" s="3" t="s">
        <v>424</v>
      </c>
      <c r="B127" s="3" t="s">
        <v>9</v>
      </c>
      <c r="C127" s="3" t="s">
        <v>1142</v>
      </c>
      <c r="D127" s="3" t="s">
        <v>1158</v>
      </c>
    </row>
    <row r="128" spans="1:4" x14ac:dyDescent="0.2">
      <c r="A128" s="3" t="s">
        <v>425</v>
      </c>
      <c r="B128" s="3" t="s">
        <v>9</v>
      </c>
      <c r="C128" s="3" t="s">
        <v>1142</v>
      </c>
      <c r="D128" s="3" t="s">
        <v>1158</v>
      </c>
    </row>
    <row r="129" spans="1:4" x14ac:dyDescent="0.2">
      <c r="A129" s="3" t="s">
        <v>426</v>
      </c>
      <c r="B129" s="3" t="s">
        <v>9</v>
      </c>
      <c r="C129" s="3" t="s">
        <v>1142</v>
      </c>
      <c r="D129" s="3" t="s">
        <v>1158</v>
      </c>
    </row>
    <row r="130" spans="1:4" x14ac:dyDescent="0.2">
      <c r="A130" s="3" t="s">
        <v>427</v>
      </c>
      <c r="B130" s="3" t="s">
        <v>9</v>
      </c>
      <c r="C130" s="3" t="s">
        <v>1142</v>
      </c>
      <c r="D130" s="3" t="s">
        <v>1158</v>
      </c>
    </row>
    <row r="131" spans="1:4" x14ac:dyDescent="0.2">
      <c r="A131" s="3" t="s">
        <v>428</v>
      </c>
      <c r="B131" s="3" t="s">
        <v>9</v>
      </c>
      <c r="C131" s="3" t="s">
        <v>1142</v>
      </c>
      <c r="D131" s="3" t="s">
        <v>1158</v>
      </c>
    </row>
    <row r="132" spans="1:4" x14ac:dyDescent="0.2">
      <c r="A132" s="3" t="s">
        <v>431</v>
      </c>
      <c r="B132" s="3" t="s">
        <v>9</v>
      </c>
      <c r="C132" s="3" t="s">
        <v>1142</v>
      </c>
      <c r="D132" s="3" t="s">
        <v>1158</v>
      </c>
    </row>
    <row r="133" spans="1:4" x14ac:dyDescent="0.2">
      <c r="A133" s="3" t="s">
        <v>432</v>
      </c>
      <c r="B133" s="3" t="s">
        <v>9</v>
      </c>
      <c r="C133" s="3" t="s">
        <v>1142</v>
      </c>
      <c r="D133" s="3" t="s">
        <v>1158</v>
      </c>
    </row>
    <row r="134" spans="1:4" x14ac:dyDescent="0.2">
      <c r="A134" s="3" t="s">
        <v>433</v>
      </c>
      <c r="B134" s="3" t="s">
        <v>9</v>
      </c>
      <c r="C134" s="3" t="s">
        <v>1142</v>
      </c>
      <c r="D134" s="3" t="s">
        <v>1158</v>
      </c>
    </row>
    <row r="135" spans="1:4" x14ac:dyDescent="0.2">
      <c r="A135" s="3" t="s">
        <v>434</v>
      </c>
      <c r="B135" s="3" t="s">
        <v>9</v>
      </c>
      <c r="C135" s="3" t="s">
        <v>1142</v>
      </c>
      <c r="D135" s="3" t="s">
        <v>1158</v>
      </c>
    </row>
    <row r="136" spans="1:4" x14ac:dyDescent="0.2">
      <c r="A136" s="3" t="s">
        <v>436</v>
      </c>
      <c r="B136" s="3" t="s">
        <v>9</v>
      </c>
      <c r="C136" s="3" t="s">
        <v>1142</v>
      </c>
      <c r="D136" s="3" t="s">
        <v>1158</v>
      </c>
    </row>
    <row r="137" spans="1:4" x14ac:dyDescent="0.2">
      <c r="A137" s="3" t="s">
        <v>437</v>
      </c>
      <c r="B137" s="3" t="s">
        <v>9</v>
      </c>
      <c r="C137" s="3" t="s">
        <v>1142</v>
      </c>
      <c r="D137" s="3" t="s">
        <v>1158</v>
      </c>
    </row>
    <row r="138" spans="1:4" x14ac:dyDescent="0.2">
      <c r="A138" s="3" t="s">
        <v>438</v>
      </c>
      <c r="B138" s="3" t="s">
        <v>9</v>
      </c>
      <c r="C138" s="3" t="s">
        <v>1142</v>
      </c>
      <c r="D138" s="3" t="s">
        <v>1158</v>
      </c>
    </row>
    <row r="139" spans="1:4" x14ac:dyDescent="0.2">
      <c r="A139" s="3" t="s">
        <v>439</v>
      </c>
      <c r="B139" s="3" t="s">
        <v>9</v>
      </c>
      <c r="C139" s="3" t="s">
        <v>1142</v>
      </c>
      <c r="D139" s="3" t="s">
        <v>1158</v>
      </c>
    </row>
    <row r="140" spans="1:4" x14ac:dyDescent="0.2">
      <c r="A140" s="3" t="s">
        <v>440</v>
      </c>
      <c r="B140" s="3" t="s">
        <v>9</v>
      </c>
      <c r="C140" s="3" t="s">
        <v>1142</v>
      </c>
      <c r="D140" s="3" t="s">
        <v>1158</v>
      </c>
    </row>
    <row r="141" spans="1:4" x14ac:dyDescent="0.2">
      <c r="A141" s="3" t="s">
        <v>441</v>
      </c>
      <c r="B141" s="3" t="s">
        <v>9</v>
      </c>
      <c r="C141" s="3" t="s">
        <v>1142</v>
      </c>
      <c r="D141" s="3" t="s">
        <v>1158</v>
      </c>
    </row>
    <row r="142" spans="1:4" x14ac:dyDescent="0.2">
      <c r="A142" s="3" t="s">
        <v>442</v>
      </c>
      <c r="B142" s="3" t="s">
        <v>9</v>
      </c>
      <c r="C142" s="3" t="s">
        <v>1142</v>
      </c>
      <c r="D142" s="3" t="s">
        <v>1158</v>
      </c>
    </row>
    <row r="143" spans="1:4" x14ac:dyDescent="0.2">
      <c r="A143" s="3" t="s">
        <v>443</v>
      </c>
      <c r="B143" s="3" t="s">
        <v>9</v>
      </c>
      <c r="C143" s="3" t="s">
        <v>1142</v>
      </c>
      <c r="D143" s="3" t="s">
        <v>1158</v>
      </c>
    </row>
    <row r="144" spans="1:4" x14ac:dyDescent="0.2">
      <c r="A144" s="3" t="s">
        <v>444</v>
      </c>
      <c r="B144" s="3" t="s">
        <v>9</v>
      </c>
      <c r="C144" s="3" t="s">
        <v>1142</v>
      </c>
      <c r="D144" s="3" t="s">
        <v>1158</v>
      </c>
    </row>
    <row r="145" spans="1:4" x14ac:dyDescent="0.2">
      <c r="A145" s="3" t="s">
        <v>445</v>
      </c>
      <c r="B145" s="3" t="s">
        <v>9</v>
      </c>
      <c r="C145" s="3" t="s">
        <v>1142</v>
      </c>
      <c r="D145" s="3" t="s">
        <v>1158</v>
      </c>
    </row>
    <row r="146" spans="1:4" x14ac:dyDescent="0.2">
      <c r="A146" s="3" t="s">
        <v>446</v>
      </c>
      <c r="B146" s="3" t="s">
        <v>9</v>
      </c>
      <c r="C146" s="3" t="s">
        <v>1142</v>
      </c>
      <c r="D146" s="3" t="s">
        <v>1158</v>
      </c>
    </row>
    <row r="147" spans="1:4" x14ac:dyDescent="0.2">
      <c r="A147" s="3" t="s">
        <v>447</v>
      </c>
      <c r="B147" s="3" t="s">
        <v>9</v>
      </c>
      <c r="C147" s="3" t="s">
        <v>1142</v>
      </c>
      <c r="D147" s="3" t="s">
        <v>1158</v>
      </c>
    </row>
    <row r="148" spans="1:4" x14ac:dyDescent="0.2">
      <c r="A148" s="3" t="s">
        <v>448</v>
      </c>
      <c r="B148" s="3" t="s">
        <v>9</v>
      </c>
      <c r="C148" s="3" t="s">
        <v>1142</v>
      </c>
      <c r="D148" s="3" t="s">
        <v>1158</v>
      </c>
    </row>
    <row r="149" spans="1:4" x14ac:dyDescent="0.2">
      <c r="A149" s="3" t="s">
        <v>449</v>
      </c>
      <c r="B149" s="3" t="s">
        <v>9</v>
      </c>
      <c r="C149" s="3" t="s">
        <v>1142</v>
      </c>
      <c r="D149" s="3" t="s">
        <v>1158</v>
      </c>
    </row>
    <row r="150" spans="1:4" x14ac:dyDescent="0.2">
      <c r="A150" s="3" t="s">
        <v>450</v>
      </c>
      <c r="B150" s="3" t="s">
        <v>9</v>
      </c>
      <c r="C150" s="3" t="s">
        <v>1142</v>
      </c>
      <c r="D150" s="3" t="s">
        <v>1158</v>
      </c>
    </row>
    <row r="151" spans="1:4" x14ac:dyDescent="0.2">
      <c r="A151" s="3" t="s">
        <v>451</v>
      </c>
      <c r="B151" s="3" t="s">
        <v>9</v>
      </c>
      <c r="C151" s="3" t="s">
        <v>1142</v>
      </c>
      <c r="D151" s="3" t="s">
        <v>1158</v>
      </c>
    </row>
    <row r="152" spans="1:4" x14ac:dyDescent="0.2">
      <c r="A152" s="3" t="s">
        <v>453</v>
      </c>
      <c r="B152" s="3" t="s">
        <v>9</v>
      </c>
      <c r="C152" s="3" t="s">
        <v>1142</v>
      </c>
      <c r="D152" s="3" t="s">
        <v>1158</v>
      </c>
    </row>
    <row r="153" spans="1:4" x14ac:dyDescent="0.2">
      <c r="A153" s="3" t="s">
        <v>454</v>
      </c>
      <c r="B153" s="3" t="s">
        <v>9</v>
      </c>
      <c r="C153" s="3" t="s">
        <v>1142</v>
      </c>
      <c r="D153" s="3" t="s">
        <v>1158</v>
      </c>
    </row>
    <row r="154" spans="1:4" x14ac:dyDescent="0.2">
      <c r="A154" s="3" t="s">
        <v>456</v>
      </c>
      <c r="B154" s="3" t="s">
        <v>9</v>
      </c>
      <c r="C154" s="3" t="s">
        <v>1142</v>
      </c>
      <c r="D154" s="3" t="s">
        <v>1158</v>
      </c>
    </row>
    <row r="155" spans="1:4" x14ac:dyDescent="0.2">
      <c r="A155" s="3" t="s">
        <v>457</v>
      </c>
      <c r="B155" s="3" t="s">
        <v>9</v>
      </c>
      <c r="C155" s="3" t="s">
        <v>1142</v>
      </c>
      <c r="D155" s="3" t="s">
        <v>1158</v>
      </c>
    </row>
    <row r="156" spans="1:4" x14ac:dyDescent="0.2">
      <c r="A156" s="3" t="s">
        <v>458</v>
      </c>
      <c r="B156" s="3" t="s">
        <v>9</v>
      </c>
      <c r="C156" s="3" t="s">
        <v>1142</v>
      </c>
      <c r="D156" s="3" t="s">
        <v>1158</v>
      </c>
    </row>
    <row r="157" spans="1:4" x14ac:dyDescent="0.2">
      <c r="A157" s="3" t="s">
        <v>459</v>
      </c>
      <c r="B157" s="3" t="s">
        <v>9</v>
      </c>
      <c r="C157" s="3" t="s">
        <v>1142</v>
      </c>
      <c r="D157" s="3" t="s">
        <v>1158</v>
      </c>
    </row>
    <row r="158" spans="1:4" x14ac:dyDescent="0.2">
      <c r="A158" s="3" t="s">
        <v>460</v>
      </c>
      <c r="B158" s="3" t="s">
        <v>9</v>
      </c>
      <c r="C158" s="3" t="s">
        <v>1142</v>
      </c>
      <c r="D158" s="3" t="s">
        <v>1158</v>
      </c>
    </row>
    <row r="159" spans="1:4" x14ac:dyDescent="0.2">
      <c r="A159" s="3" t="s">
        <v>461</v>
      </c>
      <c r="B159" s="3" t="s">
        <v>9</v>
      </c>
      <c r="C159" s="3" t="s">
        <v>1142</v>
      </c>
      <c r="D159" s="3" t="s">
        <v>1158</v>
      </c>
    </row>
    <row r="160" spans="1:4" x14ac:dyDescent="0.2">
      <c r="A160" s="3" t="s">
        <v>462</v>
      </c>
      <c r="B160" s="3" t="s">
        <v>9</v>
      </c>
      <c r="C160" s="3" t="s">
        <v>1142</v>
      </c>
      <c r="D160" s="3" t="s">
        <v>1158</v>
      </c>
    </row>
    <row r="161" spans="1:4" x14ac:dyDescent="0.2">
      <c r="A161" s="3" t="s">
        <v>463</v>
      </c>
      <c r="B161" s="3" t="s">
        <v>9</v>
      </c>
      <c r="C161" s="3" t="s">
        <v>1142</v>
      </c>
      <c r="D161" s="3" t="s">
        <v>1158</v>
      </c>
    </row>
    <row r="162" spans="1:4" x14ac:dyDescent="0.2">
      <c r="A162" s="3" t="s">
        <v>464</v>
      </c>
      <c r="B162" s="3" t="s">
        <v>9</v>
      </c>
      <c r="C162" s="3" t="s">
        <v>1142</v>
      </c>
      <c r="D162" s="3" t="s">
        <v>1158</v>
      </c>
    </row>
    <row r="163" spans="1:4" x14ac:dyDescent="0.2">
      <c r="A163" s="3" t="s">
        <v>465</v>
      </c>
      <c r="B163" s="3" t="s">
        <v>9</v>
      </c>
      <c r="C163" s="3" t="s">
        <v>1142</v>
      </c>
      <c r="D163" s="3" t="s">
        <v>1158</v>
      </c>
    </row>
    <row r="164" spans="1:4" x14ac:dyDescent="0.2">
      <c r="A164" s="3" t="s">
        <v>466</v>
      </c>
      <c r="B164" s="3" t="s">
        <v>9</v>
      </c>
      <c r="C164" s="3" t="s">
        <v>1142</v>
      </c>
      <c r="D164" s="3" t="s">
        <v>1158</v>
      </c>
    </row>
    <row r="165" spans="1:4" x14ac:dyDescent="0.2">
      <c r="A165" s="3" t="s">
        <v>467</v>
      </c>
      <c r="B165" s="3" t="s">
        <v>9</v>
      </c>
      <c r="C165" s="3" t="s">
        <v>1142</v>
      </c>
      <c r="D165" s="3" t="s">
        <v>1158</v>
      </c>
    </row>
    <row r="166" spans="1:4" x14ac:dyDescent="0.2">
      <c r="A166" s="3" t="s">
        <v>477</v>
      </c>
      <c r="B166" s="3" t="s">
        <v>9</v>
      </c>
      <c r="C166" s="3" t="s">
        <v>1142</v>
      </c>
      <c r="D166" s="3" t="s">
        <v>1158</v>
      </c>
    </row>
    <row r="167" spans="1:4" x14ac:dyDescent="0.2">
      <c r="A167" s="3" t="s">
        <v>478</v>
      </c>
      <c r="B167" s="3" t="s">
        <v>9</v>
      </c>
      <c r="C167" s="3" t="s">
        <v>1142</v>
      </c>
      <c r="D167" s="3" t="s">
        <v>1158</v>
      </c>
    </row>
    <row r="168" spans="1:4" x14ac:dyDescent="0.2">
      <c r="A168" s="3" t="s">
        <v>479</v>
      </c>
      <c r="B168" s="3" t="s">
        <v>9</v>
      </c>
      <c r="C168" s="3" t="s">
        <v>1142</v>
      </c>
      <c r="D168" s="3" t="s">
        <v>1158</v>
      </c>
    </row>
    <row r="169" spans="1:4" x14ac:dyDescent="0.2">
      <c r="A169" s="3" t="s">
        <v>488</v>
      </c>
      <c r="B169" s="3" t="s">
        <v>9</v>
      </c>
      <c r="C169" s="3" t="s">
        <v>1142</v>
      </c>
      <c r="D169" s="3" t="s">
        <v>1158</v>
      </c>
    </row>
    <row r="170" spans="1:4" x14ac:dyDescent="0.2">
      <c r="A170" s="3" t="s">
        <v>489</v>
      </c>
      <c r="B170" s="3" t="s">
        <v>9</v>
      </c>
      <c r="C170" s="3" t="s">
        <v>1142</v>
      </c>
      <c r="D170" s="3" t="s">
        <v>1158</v>
      </c>
    </row>
    <row r="171" spans="1:4" x14ac:dyDescent="0.2">
      <c r="A171" s="3" t="s">
        <v>495</v>
      </c>
      <c r="B171" s="3" t="s">
        <v>9</v>
      </c>
      <c r="C171" s="3" t="s">
        <v>1142</v>
      </c>
      <c r="D171" s="3" t="s">
        <v>1158</v>
      </c>
    </row>
    <row r="172" spans="1:4" x14ac:dyDescent="0.2">
      <c r="A172" s="3" t="s">
        <v>496</v>
      </c>
      <c r="B172" s="3" t="s">
        <v>9</v>
      </c>
      <c r="C172" s="3" t="s">
        <v>1142</v>
      </c>
      <c r="D172" s="3" t="s">
        <v>1158</v>
      </c>
    </row>
    <row r="173" spans="1:4" x14ac:dyDescent="0.2">
      <c r="A173" s="3" t="s">
        <v>497</v>
      </c>
      <c r="B173" s="3" t="s">
        <v>9</v>
      </c>
      <c r="C173" s="3" t="s">
        <v>1142</v>
      </c>
      <c r="D173" s="3" t="s">
        <v>1158</v>
      </c>
    </row>
    <row r="174" spans="1:4" x14ac:dyDescent="0.2">
      <c r="A174" s="3" t="s">
        <v>498</v>
      </c>
      <c r="B174" s="3" t="s">
        <v>9</v>
      </c>
      <c r="C174" s="3" t="s">
        <v>1142</v>
      </c>
      <c r="D174" s="3" t="s">
        <v>1158</v>
      </c>
    </row>
    <row r="175" spans="1:4" x14ac:dyDescent="0.2">
      <c r="A175" s="3" t="s">
        <v>499</v>
      </c>
      <c r="B175" s="3" t="s">
        <v>9</v>
      </c>
      <c r="C175" s="3" t="s">
        <v>1142</v>
      </c>
      <c r="D175" s="3" t="s">
        <v>1158</v>
      </c>
    </row>
    <row r="176" spans="1:4" x14ac:dyDescent="0.2">
      <c r="A176" s="3" t="s">
        <v>500</v>
      </c>
      <c r="B176" s="3" t="s">
        <v>9</v>
      </c>
      <c r="C176" s="3" t="s">
        <v>1142</v>
      </c>
      <c r="D176" s="3" t="s">
        <v>1158</v>
      </c>
    </row>
    <row r="177" spans="1:4" x14ac:dyDescent="0.2">
      <c r="A177" s="3" t="s">
        <v>501</v>
      </c>
      <c r="B177" s="3" t="s">
        <v>9</v>
      </c>
      <c r="C177" s="3" t="s">
        <v>1142</v>
      </c>
      <c r="D177" s="3" t="s">
        <v>1158</v>
      </c>
    </row>
    <row r="178" spans="1:4" x14ac:dyDescent="0.2">
      <c r="A178" s="3" t="s">
        <v>502</v>
      </c>
      <c r="B178" s="3" t="s">
        <v>9</v>
      </c>
      <c r="C178" s="3" t="s">
        <v>1142</v>
      </c>
      <c r="D178" s="3" t="s">
        <v>1158</v>
      </c>
    </row>
    <row r="179" spans="1:4" x14ac:dyDescent="0.2">
      <c r="A179" s="3" t="s">
        <v>507</v>
      </c>
      <c r="B179" s="3" t="s">
        <v>9</v>
      </c>
      <c r="C179" s="3" t="s">
        <v>1142</v>
      </c>
      <c r="D179" s="3" t="s">
        <v>1158</v>
      </c>
    </row>
    <row r="180" spans="1:4" x14ac:dyDescent="0.2">
      <c r="A180" s="3" t="s">
        <v>525</v>
      </c>
      <c r="B180" s="3" t="s">
        <v>9</v>
      </c>
      <c r="C180" s="3" t="s">
        <v>1142</v>
      </c>
      <c r="D180" s="3" t="s">
        <v>1158</v>
      </c>
    </row>
    <row r="181" spans="1:4" x14ac:dyDescent="0.2">
      <c r="A181" s="3" t="s">
        <v>543</v>
      </c>
      <c r="B181" s="3" t="s">
        <v>9</v>
      </c>
      <c r="C181" s="3" t="s">
        <v>1142</v>
      </c>
      <c r="D181" s="3" t="s">
        <v>1158</v>
      </c>
    </row>
    <row r="182" spans="1:4" x14ac:dyDescent="0.2">
      <c r="A182" s="3" t="s">
        <v>544</v>
      </c>
      <c r="B182" s="3" t="s">
        <v>9</v>
      </c>
      <c r="C182" s="3" t="s">
        <v>1142</v>
      </c>
      <c r="D182" s="3" t="s">
        <v>1158</v>
      </c>
    </row>
    <row r="183" spans="1:4" x14ac:dyDescent="0.2">
      <c r="A183" s="3" t="s">
        <v>564</v>
      </c>
      <c r="B183" s="3" t="s">
        <v>9</v>
      </c>
      <c r="C183" s="3" t="s">
        <v>1142</v>
      </c>
      <c r="D183" s="3" t="s">
        <v>1158</v>
      </c>
    </row>
    <row r="184" spans="1:4" x14ac:dyDescent="0.2">
      <c r="A184" s="3" t="s">
        <v>582</v>
      </c>
      <c r="B184" s="3" t="s">
        <v>9</v>
      </c>
      <c r="C184" s="3" t="s">
        <v>1142</v>
      </c>
      <c r="D184" s="3" t="s">
        <v>1158</v>
      </c>
    </row>
    <row r="185" spans="1:4" x14ac:dyDescent="0.2">
      <c r="A185" s="3" t="s">
        <v>583</v>
      </c>
      <c r="B185" s="3" t="s">
        <v>9</v>
      </c>
      <c r="C185" s="3" t="s">
        <v>1142</v>
      </c>
      <c r="D185" s="3" t="s">
        <v>1158</v>
      </c>
    </row>
    <row r="186" spans="1:4" x14ac:dyDescent="0.2">
      <c r="A186" s="3" t="s">
        <v>584</v>
      </c>
      <c r="B186" s="3" t="s">
        <v>9</v>
      </c>
      <c r="C186" s="3" t="s">
        <v>1142</v>
      </c>
      <c r="D186" s="3" t="s">
        <v>1158</v>
      </c>
    </row>
    <row r="187" spans="1:4" x14ac:dyDescent="0.2">
      <c r="A187" s="3" t="s">
        <v>585</v>
      </c>
      <c r="B187" s="3" t="s">
        <v>9</v>
      </c>
      <c r="C187" s="3" t="s">
        <v>1142</v>
      </c>
      <c r="D187" s="3" t="s">
        <v>1158</v>
      </c>
    </row>
    <row r="188" spans="1:4" x14ac:dyDescent="0.2">
      <c r="A188" s="3" t="s">
        <v>586</v>
      </c>
      <c r="B188" s="3" t="s">
        <v>9</v>
      </c>
      <c r="C188" s="3" t="s">
        <v>1142</v>
      </c>
      <c r="D188" s="3" t="s">
        <v>1158</v>
      </c>
    </row>
    <row r="189" spans="1:4" x14ac:dyDescent="0.2">
      <c r="A189" s="3" t="s">
        <v>587</v>
      </c>
      <c r="B189" s="3" t="s">
        <v>9</v>
      </c>
      <c r="C189" s="3" t="s">
        <v>1142</v>
      </c>
      <c r="D189" s="3" t="s">
        <v>1158</v>
      </c>
    </row>
    <row r="190" spans="1:4" x14ac:dyDescent="0.2">
      <c r="A190" s="3" t="s">
        <v>302</v>
      </c>
      <c r="B190" s="3" t="s">
        <v>184</v>
      </c>
      <c r="C190" s="3" t="s">
        <v>1142</v>
      </c>
      <c r="D190" s="3" t="s">
        <v>1171</v>
      </c>
    </row>
    <row r="191" spans="1:4" x14ac:dyDescent="0.2">
      <c r="A191" s="3" t="s">
        <v>303</v>
      </c>
      <c r="B191" s="3" t="s">
        <v>184</v>
      </c>
      <c r="C191" s="3" t="s">
        <v>1142</v>
      </c>
      <c r="D191" s="3" t="s">
        <v>1171</v>
      </c>
    </row>
    <row r="192" spans="1:4" x14ac:dyDescent="0.2">
      <c r="A192" s="3" t="s">
        <v>304</v>
      </c>
      <c r="B192" s="3" t="s">
        <v>184</v>
      </c>
      <c r="C192" s="3" t="s">
        <v>1142</v>
      </c>
      <c r="D192" s="3" t="s">
        <v>1171</v>
      </c>
    </row>
    <row r="193" spans="1:4" x14ac:dyDescent="0.2">
      <c r="A193" s="3" t="s">
        <v>305</v>
      </c>
      <c r="B193" s="3" t="s">
        <v>184</v>
      </c>
      <c r="C193" s="3" t="s">
        <v>1142</v>
      </c>
      <c r="D193" s="3" t="s">
        <v>1171</v>
      </c>
    </row>
    <row r="194" spans="1:4" x14ac:dyDescent="0.2">
      <c r="A194" s="3" t="s">
        <v>306</v>
      </c>
      <c r="B194" s="3" t="s">
        <v>184</v>
      </c>
      <c r="C194" s="3" t="s">
        <v>1142</v>
      </c>
      <c r="D194" s="3" t="s">
        <v>1171</v>
      </c>
    </row>
    <row r="195" spans="1:4" x14ac:dyDescent="0.2">
      <c r="A195" s="3" t="s">
        <v>307</v>
      </c>
      <c r="B195" s="3" t="s">
        <v>184</v>
      </c>
      <c r="C195" s="3" t="s">
        <v>1142</v>
      </c>
      <c r="D195" s="3" t="s">
        <v>1171</v>
      </c>
    </row>
    <row r="196" spans="1:4" x14ac:dyDescent="0.2">
      <c r="A196" s="3" t="s">
        <v>315</v>
      </c>
      <c r="B196" s="3" t="s">
        <v>184</v>
      </c>
      <c r="C196" s="3" t="s">
        <v>1142</v>
      </c>
      <c r="D196" s="3" t="s">
        <v>1171</v>
      </c>
    </row>
    <row r="197" spans="1:4" x14ac:dyDescent="0.2">
      <c r="A197" s="3" t="s">
        <v>358</v>
      </c>
      <c r="B197" s="3" t="s">
        <v>9</v>
      </c>
      <c r="C197" s="3" t="s">
        <v>95</v>
      </c>
      <c r="D197" s="3" t="s">
        <v>1146</v>
      </c>
    </row>
    <row r="198" spans="1:4" x14ac:dyDescent="0.2">
      <c r="A198" s="3" t="s">
        <v>359</v>
      </c>
      <c r="B198" s="3" t="s">
        <v>9</v>
      </c>
      <c r="C198" s="3" t="s">
        <v>95</v>
      </c>
      <c r="D198" s="3" t="s">
        <v>1146</v>
      </c>
    </row>
    <row r="199" spans="1:4" x14ac:dyDescent="0.2">
      <c r="A199" s="3" t="s">
        <v>360</v>
      </c>
      <c r="B199" s="3" t="s">
        <v>9</v>
      </c>
      <c r="C199" s="3" t="s">
        <v>95</v>
      </c>
      <c r="D199" s="3" t="s">
        <v>1146</v>
      </c>
    </row>
    <row r="200" spans="1:4" x14ac:dyDescent="0.2">
      <c r="A200" s="3" t="s">
        <v>213</v>
      </c>
      <c r="B200" s="3" t="s">
        <v>1147</v>
      </c>
      <c r="C200" s="3" t="s">
        <v>95</v>
      </c>
      <c r="D200" s="3" t="s">
        <v>1155</v>
      </c>
    </row>
    <row r="201" spans="1:4" x14ac:dyDescent="0.2">
      <c r="A201" s="3" t="s">
        <v>597</v>
      </c>
      <c r="B201" s="3" t="s">
        <v>1147</v>
      </c>
      <c r="C201" s="3" t="s">
        <v>95</v>
      </c>
      <c r="D201" s="3" t="s">
        <v>1155</v>
      </c>
    </row>
    <row r="202" spans="1:4" x14ac:dyDescent="0.2">
      <c r="A202" s="3" t="s">
        <v>384</v>
      </c>
      <c r="B202" s="3" t="s">
        <v>9</v>
      </c>
      <c r="C202" s="3" t="s">
        <v>10</v>
      </c>
      <c r="D202" s="3" t="s">
        <v>1156</v>
      </c>
    </row>
    <row r="203" spans="1:4" x14ac:dyDescent="0.2">
      <c r="A203" s="3" t="s">
        <v>385</v>
      </c>
      <c r="B203" s="3" t="s">
        <v>9</v>
      </c>
      <c r="C203" s="3" t="s">
        <v>10</v>
      </c>
      <c r="D203" s="3" t="s">
        <v>1156</v>
      </c>
    </row>
    <row r="204" spans="1:4" x14ac:dyDescent="0.2">
      <c r="A204" s="3" t="s">
        <v>386</v>
      </c>
      <c r="B204" s="3" t="s">
        <v>9</v>
      </c>
      <c r="C204" s="3" t="s">
        <v>10</v>
      </c>
      <c r="D204" s="3" t="s">
        <v>1156</v>
      </c>
    </row>
    <row r="205" spans="1:4" x14ac:dyDescent="0.2">
      <c r="A205" s="3" t="s">
        <v>387</v>
      </c>
      <c r="B205" s="3" t="s">
        <v>9</v>
      </c>
      <c r="C205" s="3" t="s">
        <v>10</v>
      </c>
      <c r="D205" s="3" t="s">
        <v>1156</v>
      </c>
    </row>
    <row r="206" spans="1:4" x14ac:dyDescent="0.2">
      <c r="A206" s="3" t="s">
        <v>388</v>
      </c>
      <c r="B206" s="3" t="s">
        <v>9</v>
      </c>
      <c r="C206" s="3" t="s">
        <v>10</v>
      </c>
      <c r="D206" s="3" t="s">
        <v>1156</v>
      </c>
    </row>
    <row r="207" spans="1:4" x14ac:dyDescent="0.2">
      <c r="A207" s="3" t="s">
        <v>389</v>
      </c>
      <c r="B207" s="3" t="s">
        <v>9</v>
      </c>
      <c r="C207" s="3" t="s">
        <v>95</v>
      </c>
      <c r="D207" s="3" t="s">
        <v>1157</v>
      </c>
    </row>
    <row r="208" spans="1:4" x14ac:dyDescent="0.2">
      <c r="A208" s="3" t="s">
        <v>390</v>
      </c>
      <c r="B208" s="3" t="s">
        <v>9</v>
      </c>
      <c r="C208" s="3" t="s">
        <v>95</v>
      </c>
      <c r="D208" s="3" t="s">
        <v>1157</v>
      </c>
    </row>
    <row r="209" spans="1:4" x14ac:dyDescent="0.2">
      <c r="A209" s="3" t="s">
        <v>430</v>
      </c>
      <c r="B209" s="3" t="s">
        <v>9</v>
      </c>
      <c r="C209" s="3" t="s">
        <v>1172</v>
      </c>
      <c r="D209" s="3" t="s">
        <v>1174</v>
      </c>
    </row>
    <row r="210" spans="1:4" x14ac:dyDescent="0.2">
      <c r="A210" s="3" t="s">
        <v>395</v>
      </c>
      <c r="B210" s="3" t="s">
        <v>9</v>
      </c>
      <c r="C210" s="3" t="s">
        <v>95</v>
      </c>
      <c r="D210" s="3" t="s">
        <v>1160</v>
      </c>
    </row>
    <row r="211" spans="1:4" x14ac:dyDescent="0.2">
      <c r="A211" s="3" t="s">
        <v>396</v>
      </c>
      <c r="B211" s="3" t="s">
        <v>9</v>
      </c>
      <c r="C211" s="3" t="s">
        <v>95</v>
      </c>
      <c r="D211" s="3" t="s">
        <v>1160</v>
      </c>
    </row>
    <row r="212" spans="1:4" x14ac:dyDescent="0.2">
      <c r="A212" s="3" t="s">
        <v>397</v>
      </c>
      <c r="B212" s="3" t="s">
        <v>9</v>
      </c>
      <c r="C212" s="3" t="s">
        <v>95</v>
      </c>
      <c r="D212" s="3" t="s">
        <v>1160</v>
      </c>
    </row>
    <row r="213" spans="1:4" x14ac:dyDescent="0.2">
      <c r="A213" s="3" t="s">
        <v>1368</v>
      </c>
      <c r="B213" s="3" t="s">
        <v>9</v>
      </c>
      <c r="C213" s="3" t="s">
        <v>117</v>
      </c>
      <c r="D213" s="3" t="s">
        <v>1159</v>
      </c>
    </row>
    <row r="214" spans="1:4" x14ac:dyDescent="0.2">
      <c r="A214" s="3" t="s">
        <v>392</v>
      </c>
      <c r="B214" s="3" t="s">
        <v>9</v>
      </c>
      <c r="C214" s="3" t="s">
        <v>117</v>
      </c>
      <c r="D214" s="3" t="s">
        <v>1159</v>
      </c>
    </row>
    <row r="215" spans="1:4" x14ac:dyDescent="0.2">
      <c r="A215" s="3" t="s">
        <v>393</v>
      </c>
      <c r="B215" s="3" t="s">
        <v>9</v>
      </c>
      <c r="C215" s="3" t="s">
        <v>117</v>
      </c>
      <c r="D215" s="3" t="s">
        <v>1159</v>
      </c>
    </row>
    <row r="216" spans="1:4" x14ac:dyDescent="0.2">
      <c r="A216" s="3" t="s">
        <v>394</v>
      </c>
      <c r="B216" s="3" t="s">
        <v>9</v>
      </c>
      <c r="C216" s="3" t="s">
        <v>117</v>
      </c>
      <c r="D216" s="3" t="s">
        <v>1159</v>
      </c>
    </row>
    <row r="217" spans="1:4" x14ac:dyDescent="0.2">
      <c r="A217" s="3" t="s">
        <v>452</v>
      </c>
      <c r="B217" s="3" t="s">
        <v>9</v>
      </c>
      <c r="C217" s="3" t="s">
        <v>117</v>
      </c>
      <c r="D217" s="3" t="s">
        <v>1159</v>
      </c>
    </row>
    <row r="218" spans="1:4" x14ac:dyDescent="0.2">
      <c r="A218" s="3" t="s">
        <v>641</v>
      </c>
      <c r="B218" s="3" t="s">
        <v>197</v>
      </c>
      <c r="C218" s="3" t="s">
        <v>198</v>
      </c>
      <c r="D218" s="3" t="s">
        <v>1162</v>
      </c>
    </row>
    <row r="219" spans="1:4" x14ac:dyDescent="0.2">
      <c r="A219" s="3" t="s">
        <v>642</v>
      </c>
      <c r="B219" s="3" t="s">
        <v>197</v>
      </c>
      <c r="C219" s="3" t="s">
        <v>198</v>
      </c>
      <c r="D219" s="3" t="s">
        <v>1162</v>
      </c>
    </row>
    <row r="220" spans="1:4" x14ac:dyDescent="0.2">
      <c r="A220" s="3" t="s">
        <v>643</v>
      </c>
      <c r="B220" s="3" t="s">
        <v>197</v>
      </c>
      <c r="C220" s="3" t="s">
        <v>198</v>
      </c>
      <c r="D220" s="3" t="s">
        <v>1162</v>
      </c>
    </row>
    <row r="221" spans="1:4" x14ac:dyDescent="0.2">
      <c r="A221" s="3" t="s">
        <v>644</v>
      </c>
      <c r="B221" s="3" t="s">
        <v>197</v>
      </c>
      <c r="C221" s="3" t="s">
        <v>198</v>
      </c>
      <c r="D221" s="3" t="s">
        <v>1162</v>
      </c>
    </row>
    <row r="222" spans="1:4" x14ac:dyDescent="0.2">
      <c r="A222" s="3" t="s">
        <v>645</v>
      </c>
      <c r="B222" s="3" t="s">
        <v>197</v>
      </c>
      <c r="C222" s="3" t="s">
        <v>198</v>
      </c>
      <c r="D222" s="3" t="s">
        <v>1162</v>
      </c>
    </row>
    <row r="223" spans="1:4" x14ac:dyDescent="0.2">
      <c r="A223" s="3" t="s">
        <v>646</v>
      </c>
      <c r="B223" s="3" t="s">
        <v>197</v>
      </c>
      <c r="C223" s="3" t="s">
        <v>198</v>
      </c>
      <c r="D223" s="3" t="s">
        <v>1162</v>
      </c>
    </row>
    <row r="224" spans="1:4" x14ac:dyDescent="0.2">
      <c r="A224" s="3" t="s">
        <v>647</v>
      </c>
      <c r="B224" s="3" t="s">
        <v>197</v>
      </c>
      <c r="C224" s="3" t="s">
        <v>198</v>
      </c>
      <c r="D224" s="3" t="s">
        <v>1162</v>
      </c>
    </row>
    <row r="225" spans="1:4" x14ac:dyDescent="0.2">
      <c r="A225" s="3" t="s">
        <v>648</v>
      </c>
      <c r="B225" s="3" t="s">
        <v>197</v>
      </c>
      <c r="C225" s="3" t="s">
        <v>198</v>
      </c>
      <c r="D225" s="3" t="s">
        <v>1162</v>
      </c>
    </row>
    <row r="226" spans="1:4" x14ac:dyDescent="0.2">
      <c r="A226" s="3" t="s">
        <v>649</v>
      </c>
      <c r="B226" s="3" t="s">
        <v>197</v>
      </c>
      <c r="C226" s="3" t="s">
        <v>198</v>
      </c>
      <c r="D226" s="3" t="s">
        <v>1162</v>
      </c>
    </row>
    <row r="227" spans="1:4" x14ac:dyDescent="0.2">
      <c r="A227" s="3" t="s">
        <v>650</v>
      </c>
      <c r="B227" s="3" t="s">
        <v>197</v>
      </c>
      <c r="C227" s="3" t="s">
        <v>198</v>
      </c>
      <c r="D227" s="3" t="s">
        <v>1162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1162</v>
      </c>
    </row>
    <row r="229" spans="1:4" x14ac:dyDescent="0.2">
      <c r="A229" s="3" t="s">
        <v>300</v>
      </c>
      <c r="B229" s="3" t="s">
        <v>184</v>
      </c>
      <c r="C229" s="3" t="s">
        <v>1164</v>
      </c>
      <c r="D229" s="3" t="s">
        <v>1165</v>
      </c>
    </row>
    <row r="230" spans="1:4" x14ac:dyDescent="0.2">
      <c r="A230" s="3" t="s">
        <v>301</v>
      </c>
      <c r="B230" s="3" t="s">
        <v>184</v>
      </c>
      <c r="C230" s="3" t="s">
        <v>1164</v>
      </c>
      <c r="D230" s="3" t="s">
        <v>1165</v>
      </c>
    </row>
    <row r="231" spans="1:4" x14ac:dyDescent="0.2">
      <c r="A231" s="3" t="s">
        <v>399</v>
      </c>
      <c r="B231" s="3" t="s">
        <v>9</v>
      </c>
      <c r="C231" s="3" t="s">
        <v>95</v>
      </c>
      <c r="D231" s="3" t="s">
        <v>1166</v>
      </c>
    </row>
    <row r="232" spans="1:4" x14ac:dyDescent="0.2">
      <c r="A232" s="3" t="s">
        <v>400</v>
      </c>
      <c r="B232" s="3" t="s">
        <v>9</v>
      </c>
      <c r="C232" s="3" t="s">
        <v>95</v>
      </c>
      <c r="D232" s="3" t="s">
        <v>1166</v>
      </c>
    </row>
    <row r="233" spans="1:4" x14ac:dyDescent="0.2">
      <c r="A233" s="3" t="s">
        <v>401</v>
      </c>
      <c r="B233" s="3" t="s">
        <v>9</v>
      </c>
      <c r="C233" s="3" t="s">
        <v>95</v>
      </c>
      <c r="D233" s="3" t="s">
        <v>1166</v>
      </c>
    </row>
    <row r="234" spans="1:4" x14ac:dyDescent="0.2">
      <c r="A234" s="3" t="s">
        <v>403</v>
      </c>
      <c r="B234" s="3" t="s">
        <v>9</v>
      </c>
      <c r="C234" s="3" t="s">
        <v>95</v>
      </c>
      <c r="D234" s="3" t="s">
        <v>1168</v>
      </c>
    </row>
    <row r="235" spans="1:4" x14ac:dyDescent="0.2">
      <c r="A235" s="3" t="s">
        <v>598</v>
      </c>
      <c r="B235" s="3" t="s">
        <v>1147</v>
      </c>
      <c r="C235" s="3" t="s">
        <v>95</v>
      </c>
      <c r="D235" s="3" t="s">
        <v>1167</v>
      </c>
    </row>
    <row r="236" spans="1:4" x14ac:dyDescent="0.2">
      <c r="A236" s="3" t="s">
        <v>599</v>
      </c>
      <c r="B236" s="3" t="s">
        <v>1147</v>
      </c>
      <c r="C236" s="3" t="s">
        <v>95</v>
      </c>
      <c r="D236" s="3" t="s">
        <v>1167</v>
      </c>
    </row>
    <row r="237" spans="1:4" x14ac:dyDescent="0.2">
      <c r="A237" s="3" t="s">
        <v>600</v>
      </c>
      <c r="B237" s="3" t="s">
        <v>1147</v>
      </c>
      <c r="C237" s="3" t="s">
        <v>95</v>
      </c>
      <c r="D237" s="3" t="s">
        <v>1167</v>
      </c>
    </row>
    <row r="238" spans="1:4" x14ac:dyDescent="0.2">
      <c r="A238" s="3" t="s">
        <v>601</v>
      </c>
      <c r="B238" s="3" t="s">
        <v>1147</v>
      </c>
      <c r="C238" s="3" t="s">
        <v>95</v>
      </c>
      <c r="D238" s="3" t="s">
        <v>1167</v>
      </c>
    </row>
    <row r="239" spans="1:4" x14ac:dyDescent="0.2">
      <c r="A239" s="3" t="s">
        <v>206</v>
      </c>
      <c r="B239" s="3" t="s">
        <v>1147</v>
      </c>
      <c r="C239" s="3" t="s">
        <v>95</v>
      </c>
      <c r="D239" s="3" t="s">
        <v>1167</v>
      </c>
    </row>
    <row r="240" spans="1:4" x14ac:dyDescent="0.2">
      <c r="A240" s="3" t="s">
        <v>605</v>
      </c>
      <c r="B240" s="3" t="s">
        <v>1147</v>
      </c>
      <c r="C240" s="3" t="s">
        <v>95</v>
      </c>
      <c r="D240" s="3" t="s">
        <v>1167</v>
      </c>
    </row>
    <row r="241" spans="1:4" x14ac:dyDescent="0.2">
      <c r="A241" s="3" t="s">
        <v>398</v>
      </c>
      <c r="B241" s="3" t="s">
        <v>9</v>
      </c>
      <c r="C241" s="3" t="s">
        <v>198</v>
      </c>
      <c r="D241" s="3" t="s">
        <v>1161</v>
      </c>
    </row>
    <row r="242" spans="1:4" x14ac:dyDescent="0.2">
      <c r="A242" s="3" t="s">
        <v>485</v>
      </c>
      <c r="B242" s="3" t="s">
        <v>9</v>
      </c>
      <c r="C242" s="3" t="s">
        <v>198</v>
      </c>
      <c r="D242" s="3" t="s">
        <v>1161</v>
      </c>
    </row>
    <row r="243" spans="1:4" x14ac:dyDescent="0.2">
      <c r="A243" s="3" t="s">
        <v>589</v>
      </c>
      <c r="B243" s="3" t="s">
        <v>9</v>
      </c>
      <c r="C243" s="3" t="s">
        <v>198</v>
      </c>
      <c r="D243" s="3" t="s">
        <v>1161</v>
      </c>
    </row>
    <row r="244" spans="1:4" x14ac:dyDescent="0.2">
      <c r="A244" s="3" t="s">
        <v>404</v>
      </c>
      <c r="B244" s="3" t="s">
        <v>9</v>
      </c>
      <c r="C244" s="3" t="s">
        <v>95</v>
      </c>
      <c r="D244" s="3" t="s">
        <v>1169</v>
      </c>
    </row>
    <row r="245" spans="1:4" x14ac:dyDescent="0.2">
      <c r="A245" s="3" t="s">
        <v>405</v>
      </c>
      <c r="B245" s="3" t="s">
        <v>9</v>
      </c>
      <c r="C245" s="3" t="s">
        <v>95</v>
      </c>
      <c r="D245" s="3" t="s">
        <v>1169</v>
      </c>
    </row>
    <row r="246" spans="1:4" x14ac:dyDescent="0.2">
      <c r="A246" s="3" t="s">
        <v>407</v>
      </c>
      <c r="B246" s="3" t="s">
        <v>9</v>
      </c>
      <c r="C246" s="3" t="s">
        <v>117</v>
      </c>
      <c r="D246" s="3" t="s">
        <v>1170</v>
      </c>
    </row>
    <row r="247" spans="1:4" x14ac:dyDescent="0.2">
      <c r="A247" s="3" t="s">
        <v>435</v>
      </c>
      <c r="B247" s="3" t="s">
        <v>9</v>
      </c>
      <c r="C247" s="3" t="s">
        <v>117</v>
      </c>
      <c r="D247" s="3" t="s">
        <v>1170</v>
      </c>
    </row>
    <row r="248" spans="1:4" x14ac:dyDescent="0.2">
      <c r="A248" s="3" t="s">
        <v>455</v>
      </c>
      <c r="B248" s="3" t="s">
        <v>9</v>
      </c>
      <c r="C248" s="3" t="s">
        <v>117</v>
      </c>
      <c r="D248" s="3" t="s">
        <v>1170</v>
      </c>
    </row>
    <row r="249" spans="1:4" x14ac:dyDescent="0.2">
      <c r="A249" s="3" t="s">
        <v>472</v>
      </c>
      <c r="B249" s="3" t="s">
        <v>9</v>
      </c>
      <c r="C249" s="3" t="s">
        <v>10</v>
      </c>
      <c r="D249" s="3" t="s">
        <v>1178</v>
      </c>
    </row>
    <row r="250" spans="1:4" x14ac:dyDescent="0.2">
      <c r="A250" s="3" t="s">
        <v>473</v>
      </c>
      <c r="B250" s="3" t="s">
        <v>9</v>
      </c>
      <c r="C250" s="3" t="s">
        <v>10</v>
      </c>
      <c r="D250" s="3" t="s">
        <v>1178</v>
      </c>
    </row>
    <row r="251" spans="1:4" x14ac:dyDescent="0.2">
      <c r="A251" s="3" t="s">
        <v>474</v>
      </c>
      <c r="B251" s="3" t="s">
        <v>9</v>
      </c>
      <c r="C251" s="3" t="s">
        <v>10</v>
      </c>
      <c r="D251" s="3" t="s">
        <v>1178</v>
      </c>
    </row>
    <row r="252" spans="1:4" x14ac:dyDescent="0.2">
      <c r="A252" s="3" t="s">
        <v>475</v>
      </c>
      <c r="B252" s="3" t="s">
        <v>9</v>
      </c>
      <c r="C252" s="3" t="s">
        <v>10</v>
      </c>
      <c r="D252" s="3" t="s">
        <v>1178</v>
      </c>
    </row>
    <row r="253" spans="1:4" x14ac:dyDescent="0.2">
      <c r="A253" s="3" t="s">
        <v>469</v>
      </c>
      <c r="B253" s="3" t="s">
        <v>9</v>
      </c>
      <c r="C253" s="3" t="s">
        <v>1176</v>
      </c>
      <c r="D253" s="3" t="s">
        <v>1177</v>
      </c>
    </row>
    <row r="254" spans="1:4" x14ac:dyDescent="0.2">
      <c r="A254" s="3" t="s">
        <v>470</v>
      </c>
      <c r="B254" s="3" t="s">
        <v>9</v>
      </c>
      <c r="C254" s="3" t="s">
        <v>1176</v>
      </c>
      <c r="D254" s="3" t="s">
        <v>1177</v>
      </c>
    </row>
    <row r="255" spans="1:4" x14ac:dyDescent="0.2">
      <c r="A255" s="3" t="s">
        <v>471</v>
      </c>
      <c r="B255" s="3" t="s">
        <v>9</v>
      </c>
      <c r="C255" s="3" t="s">
        <v>1176</v>
      </c>
      <c r="D255" s="3" t="s">
        <v>1177</v>
      </c>
    </row>
    <row r="256" spans="1:4" x14ac:dyDescent="0.2">
      <c r="A256" s="3" t="s">
        <v>476</v>
      </c>
      <c r="B256" s="3" t="s">
        <v>9</v>
      </c>
      <c r="C256" s="3" t="s">
        <v>95</v>
      </c>
      <c r="D256" s="3" t="s">
        <v>1179</v>
      </c>
    </row>
    <row r="257" spans="1:4" x14ac:dyDescent="0.2">
      <c r="A257" s="3" t="s">
        <v>373</v>
      </c>
      <c r="B257" s="3" t="s">
        <v>9</v>
      </c>
      <c r="C257" s="3" t="s">
        <v>117</v>
      </c>
      <c r="D257" s="3" t="s">
        <v>1152</v>
      </c>
    </row>
    <row r="258" spans="1:4" x14ac:dyDescent="0.2">
      <c r="A258" s="3" t="s">
        <v>374</v>
      </c>
      <c r="B258" s="3" t="s">
        <v>9</v>
      </c>
      <c r="C258" s="3" t="s">
        <v>117</v>
      </c>
      <c r="D258" s="3" t="s">
        <v>1152</v>
      </c>
    </row>
    <row r="259" spans="1:4" x14ac:dyDescent="0.2">
      <c r="A259" s="3" t="s">
        <v>486</v>
      </c>
      <c r="B259" s="3" t="s">
        <v>9</v>
      </c>
      <c r="C259" s="3" t="s">
        <v>117</v>
      </c>
      <c r="D259" s="3" t="s">
        <v>1152</v>
      </c>
    </row>
    <row r="260" spans="1:4" x14ac:dyDescent="0.2">
      <c r="A260" s="3" t="s">
        <v>487</v>
      </c>
      <c r="B260" s="3" t="s">
        <v>9</v>
      </c>
      <c r="C260" s="3" t="s">
        <v>117</v>
      </c>
      <c r="D260" s="3" t="s">
        <v>1152</v>
      </c>
    </row>
    <row r="261" spans="1:4" x14ac:dyDescent="0.2">
      <c r="A261" s="3" t="s">
        <v>536</v>
      </c>
      <c r="B261" s="3" t="s">
        <v>9</v>
      </c>
      <c r="C261" s="3" t="s">
        <v>117</v>
      </c>
      <c r="D261" s="3" t="s">
        <v>1152</v>
      </c>
    </row>
    <row r="262" spans="1:4" x14ac:dyDescent="0.2">
      <c r="A262" s="3" t="s">
        <v>297</v>
      </c>
      <c r="B262" s="3" t="s">
        <v>9</v>
      </c>
      <c r="C262" s="3" t="s">
        <v>117</v>
      </c>
      <c r="D262" s="3" t="s">
        <v>1180</v>
      </c>
    </row>
    <row r="263" spans="1:4" x14ac:dyDescent="0.2">
      <c r="A263" s="3" t="s">
        <v>480</v>
      </c>
      <c r="B263" s="3" t="s">
        <v>9</v>
      </c>
      <c r="C263" s="3" t="s">
        <v>117</v>
      </c>
      <c r="D263" s="3" t="s">
        <v>1180</v>
      </c>
    </row>
    <row r="264" spans="1:4" x14ac:dyDescent="0.2">
      <c r="A264" s="3" t="s">
        <v>481</v>
      </c>
      <c r="B264" s="3" t="s">
        <v>9</v>
      </c>
      <c r="C264" s="3" t="s">
        <v>117</v>
      </c>
      <c r="D264" s="3" t="s">
        <v>1180</v>
      </c>
    </row>
    <row r="265" spans="1:4" x14ac:dyDescent="0.2">
      <c r="A265" s="3" t="s">
        <v>482</v>
      </c>
      <c r="B265" s="3" t="s">
        <v>9</v>
      </c>
      <c r="C265" s="3" t="s">
        <v>117</v>
      </c>
      <c r="D265" s="3" t="s">
        <v>1180</v>
      </c>
    </row>
    <row r="266" spans="1:4" x14ac:dyDescent="0.2">
      <c r="A266" s="3" t="s">
        <v>483</v>
      </c>
      <c r="B266" s="3" t="s">
        <v>9</v>
      </c>
      <c r="C266" s="3" t="s">
        <v>117</v>
      </c>
      <c r="D266" s="3" t="s">
        <v>1180</v>
      </c>
    </row>
    <row r="267" spans="1:4" x14ac:dyDescent="0.2">
      <c r="A267" s="3" t="s">
        <v>484</v>
      </c>
      <c r="B267" s="3" t="s">
        <v>9</v>
      </c>
      <c r="C267" s="3" t="s">
        <v>117</v>
      </c>
      <c r="D267" s="3" t="s">
        <v>1180</v>
      </c>
    </row>
    <row r="268" spans="1:4" x14ac:dyDescent="0.2">
      <c r="A268" s="3" t="s">
        <v>298</v>
      </c>
      <c r="B268" s="3" t="s">
        <v>9</v>
      </c>
      <c r="C268" s="3" t="s">
        <v>117</v>
      </c>
      <c r="D268" s="3" t="s">
        <v>1206</v>
      </c>
    </row>
    <row r="269" spans="1:4" x14ac:dyDescent="0.2">
      <c r="A269" s="3" t="s">
        <v>571</v>
      </c>
      <c r="B269" s="3" t="s">
        <v>9</v>
      </c>
      <c r="C269" s="3" t="s">
        <v>117</v>
      </c>
      <c r="D269" s="3" t="s">
        <v>1206</v>
      </c>
    </row>
    <row r="270" spans="1:4" x14ac:dyDescent="0.2">
      <c r="A270" s="3" t="s">
        <v>572</v>
      </c>
      <c r="B270" s="3" t="s">
        <v>9</v>
      </c>
      <c r="C270" s="3" t="s">
        <v>117</v>
      </c>
      <c r="D270" s="3" t="s">
        <v>1206</v>
      </c>
    </row>
    <row r="271" spans="1:4" x14ac:dyDescent="0.2">
      <c r="A271" s="3" t="s">
        <v>573</v>
      </c>
      <c r="B271" s="3" t="s">
        <v>9</v>
      </c>
      <c r="C271" s="3" t="s">
        <v>117</v>
      </c>
      <c r="D271" s="3" t="s">
        <v>1206</v>
      </c>
    </row>
    <row r="272" spans="1:4" x14ac:dyDescent="0.2">
      <c r="A272" s="3" t="s">
        <v>574</v>
      </c>
      <c r="B272" s="3" t="s">
        <v>9</v>
      </c>
      <c r="C272" s="3" t="s">
        <v>117</v>
      </c>
      <c r="D272" s="3" t="s">
        <v>1206</v>
      </c>
    </row>
    <row r="273" spans="1:4" x14ac:dyDescent="0.2">
      <c r="A273" s="3" t="s">
        <v>493</v>
      </c>
      <c r="B273" s="3" t="s">
        <v>9</v>
      </c>
      <c r="C273" s="3" t="s">
        <v>95</v>
      </c>
      <c r="D273" s="3" t="s">
        <v>1181</v>
      </c>
    </row>
    <row r="274" spans="1:4" x14ac:dyDescent="0.2">
      <c r="A274" s="3" t="s">
        <v>494</v>
      </c>
      <c r="B274" s="3" t="s">
        <v>9</v>
      </c>
      <c r="C274" s="3" t="s">
        <v>95</v>
      </c>
      <c r="D274" s="3" t="s">
        <v>1181</v>
      </c>
    </row>
    <row r="275" spans="1:4" x14ac:dyDescent="0.2">
      <c r="A275" s="3" t="s">
        <v>345</v>
      </c>
      <c r="B275" s="3" t="s">
        <v>9</v>
      </c>
      <c r="C275" s="3" t="s">
        <v>95</v>
      </c>
      <c r="D275" s="3" t="s">
        <v>1137</v>
      </c>
    </row>
    <row r="276" spans="1:4" x14ac:dyDescent="0.2">
      <c r="A276" s="3" t="s">
        <v>490</v>
      </c>
      <c r="B276" s="3" t="s">
        <v>9</v>
      </c>
      <c r="C276" s="3" t="s">
        <v>95</v>
      </c>
      <c r="D276" s="3" t="s">
        <v>1137</v>
      </c>
    </row>
    <row r="277" spans="1:4" x14ac:dyDescent="0.2">
      <c r="A277" s="3" t="s">
        <v>491</v>
      </c>
      <c r="B277" s="3" t="s">
        <v>9</v>
      </c>
      <c r="C277" s="3" t="s">
        <v>95</v>
      </c>
      <c r="D277" s="3" t="s">
        <v>1137</v>
      </c>
    </row>
    <row r="278" spans="1:4" x14ac:dyDescent="0.2">
      <c r="A278" s="3" t="s">
        <v>492</v>
      </c>
      <c r="B278" s="3" t="s">
        <v>9</v>
      </c>
      <c r="C278" s="3" t="s">
        <v>95</v>
      </c>
      <c r="D278" s="3" t="s">
        <v>1137</v>
      </c>
    </row>
    <row r="279" spans="1:4" x14ac:dyDescent="0.2">
      <c r="A279" s="3" t="s">
        <v>503</v>
      </c>
      <c r="B279" s="3" t="s">
        <v>9</v>
      </c>
      <c r="C279" s="3" t="s">
        <v>95</v>
      </c>
      <c r="D279" s="3" t="s">
        <v>1137</v>
      </c>
    </row>
    <row r="280" spans="1:4" x14ac:dyDescent="0.2">
      <c r="A280" s="3" t="s">
        <v>505</v>
      </c>
      <c r="B280" s="3" t="s">
        <v>9</v>
      </c>
      <c r="C280" s="3" t="s">
        <v>1183</v>
      </c>
      <c r="D280" s="3" t="s">
        <v>1183</v>
      </c>
    </row>
    <row r="281" spans="1:4" x14ac:dyDescent="0.2">
      <c r="A281" s="3" t="s">
        <v>506</v>
      </c>
      <c r="B281" s="3" t="s">
        <v>9</v>
      </c>
      <c r="C281" s="3" t="s">
        <v>1183</v>
      </c>
      <c r="D281" s="3" t="s">
        <v>1183</v>
      </c>
    </row>
    <row r="282" spans="1:4" x14ac:dyDescent="0.2">
      <c r="A282" s="3" t="s">
        <v>223</v>
      </c>
      <c r="B282" s="3" t="s">
        <v>184</v>
      </c>
      <c r="C282" s="3" t="s">
        <v>1164</v>
      </c>
      <c r="D282" s="3" t="s">
        <v>1175</v>
      </c>
    </row>
    <row r="283" spans="1:4" x14ac:dyDescent="0.2">
      <c r="A283" s="3" t="s">
        <v>309</v>
      </c>
      <c r="B283" s="3" t="s">
        <v>184</v>
      </c>
      <c r="C283" s="3" t="s">
        <v>1164</v>
      </c>
      <c r="D283" s="3" t="s">
        <v>1175</v>
      </c>
    </row>
    <row r="284" spans="1:4" x14ac:dyDescent="0.2">
      <c r="A284" s="3" t="s">
        <v>310</v>
      </c>
      <c r="B284" s="3" t="s">
        <v>184</v>
      </c>
      <c r="C284" s="3" t="s">
        <v>1164</v>
      </c>
      <c r="D284" s="3" t="s">
        <v>1175</v>
      </c>
    </row>
    <row r="285" spans="1:4" x14ac:dyDescent="0.2">
      <c r="A285" s="3" t="s">
        <v>311</v>
      </c>
      <c r="B285" s="3" t="s">
        <v>184</v>
      </c>
      <c r="C285" s="3" t="s">
        <v>1164</v>
      </c>
      <c r="D285" s="3" t="s">
        <v>1175</v>
      </c>
    </row>
    <row r="286" spans="1:4" x14ac:dyDescent="0.2">
      <c r="A286" s="3" t="s">
        <v>224</v>
      </c>
      <c r="B286" s="3" t="s">
        <v>184</v>
      </c>
      <c r="C286" s="3" t="s">
        <v>1164</v>
      </c>
      <c r="D286" s="3" t="s">
        <v>1175</v>
      </c>
    </row>
    <row r="287" spans="1:4" x14ac:dyDescent="0.2">
      <c r="A287" s="3" t="s">
        <v>312</v>
      </c>
      <c r="B287" s="3" t="s">
        <v>184</v>
      </c>
      <c r="C287" s="3" t="s">
        <v>1164</v>
      </c>
      <c r="D287" s="3" t="s">
        <v>1175</v>
      </c>
    </row>
    <row r="288" spans="1:4" x14ac:dyDescent="0.2">
      <c r="A288" s="3" t="s">
        <v>313</v>
      </c>
      <c r="B288" s="3" t="s">
        <v>184</v>
      </c>
      <c r="C288" s="3" t="s">
        <v>1164</v>
      </c>
      <c r="D288" s="3" t="s">
        <v>1175</v>
      </c>
    </row>
    <row r="289" spans="1:4" x14ac:dyDescent="0.2">
      <c r="A289" s="3" t="s">
        <v>314</v>
      </c>
      <c r="B289" s="3" t="s">
        <v>184</v>
      </c>
      <c r="C289" s="3" t="s">
        <v>1164</v>
      </c>
      <c r="D289" s="3" t="s">
        <v>1175</v>
      </c>
    </row>
    <row r="290" spans="1:4" x14ac:dyDescent="0.2">
      <c r="A290" s="3" t="s">
        <v>504</v>
      </c>
      <c r="B290" s="3" t="s">
        <v>9</v>
      </c>
      <c r="C290" s="3" t="s">
        <v>95</v>
      </c>
      <c r="D290" s="3" t="s">
        <v>1182</v>
      </c>
    </row>
    <row r="291" spans="1:4" x14ac:dyDescent="0.2">
      <c r="A291" s="3" t="s">
        <v>512</v>
      </c>
      <c r="B291" s="3" t="s">
        <v>9</v>
      </c>
      <c r="C291" s="3" t="s">
        <v>95</v>
      </c>
      <c r="D291" s="3" t="s">
        <v>1185</v>
      </c>
    </row>
    <row r="292" spans="1:4" x14ac:dyDescent="0.2">
      <c r="A292" s="3" t="s">
        <v>513</v>
      </c>
      <c r="B292" s="3" t="s">
        <v>9</v>
      </c>
      <c r="C292" s="3" t="s">
        <v>95</v>
      </c>
      <c r="D292" s="3" t="s">
        <v>1185</v>
      </c>
    </row>
    <row r="293" spans="1:4" x14ac:dyDescent="0.2">
      <c r="A293" s="3" t="s">
        <v>516</v>
      </c>
      <c r="B293" s="3" t="s">
        <v>9</v>
      </c>
      <c r="C293" s="3" t="s">
        <v>95</v>
      </c>
      <c r="D293" s="3" t="s">
        <v>1187</v>
      </c>
    </row>
    <row r="294" spans="1:4" x14ac:dyDescent="0.2">
      <c r="A294" s="3" t="s">
        <v>517</v>
      </c>
      <c r="B294" s="3" t="s">
        <v>9</v>
      </c>
      <c r="C294" s="3" t="s">
        <v>95</v>
      </c>
      <c r="D294" s="3" t="s">
        <v>1187</v>
      </c>
    </row>
    <row r="295" spans="1:4" x14ac:dyDescent="0.2">
      <c r="A295" s="3" t="s">
        <v>518</v>
      </c>
      <c r="B295" s="3" t="s">
        <v>9</v>
      </c>
      <c r="C295" s="3" t="s">
        <v>95</v>
      </c>
      <c r="D295" s="3" t="s">
        <v>1188</v>
      </c>
    </row>
    <row r="296" spans="1:4" x14ac:dyDescent="0.2">
      <c r="A296" s="3" t="s">
        <v>514</v>
      </c>
      <c r="B296" s="3" t="s">
        <v>9</v>
      </c>
      <c r="C296" s="3" t="s">
        <v>95</v>
      </c>
      <c r="D296" s="3" t="s">
        <v>1186</v>
      </c>
    </row>
    <row r="297" spans="1:4" x14ac:dyDescent="0.2">
      <c r="A297" s="3" t="s">
        <v>515</v>
      </c>
      <c r="B297" s="3" t="s">
        <v>9</v>
      </c>
      <c r="C297" s="3" t="s">
        <v>95</v>
      </c>
      <c r="D297" s="3" t="s">
        <v>1186</v>
      </c>
    </row>
    <row r="298" spans="1:4" x14ac:dyDescent="0.2">
      <c r="A298" s="3" t="s">
        <v>519</v>
      </c>
      <c r="B298" s="3" t="s">
        <v>9</v>
      </c>
      <c r="C298" s="3" t="s">
        <v>95</v>
      </c>
      <c r="D298" s="3" t="s">
        <v>1189</v>
      </c>
    </row>
    <row r="299" spans="1:4" x14ac:dyDescent="0.2">
      <c r="A299" s="3" t="s">
        <v>520</v>
      </c>
      <c r="B299" s="3" t="s">
        <v>9</v>
      </c>
      <c r="C299" s="3" t="s">
        <v>95</v>
      </c>
      <c r="D299" s="3" t="s">
        <v>1189</v>
      </c>
    </row>
    <row r="300" spans="1:4" x14ac:dyDescent="0.2">
      <c r="A300" s="3" t="s">
        <v>521</v>
      </c>
      <c r="B300" s="3" t="s">
        <v>9</v>
      </c>
      <c r="C300" s="3" t="s">
        <v>95</v>
      </c>
      <c r="D300" s="3" t="s">
        <v>1189</v>
      </c>
    </row>
    <row r="301" spans="1:4" x14ac:dyDescent="0.2">
      <c r="A301" s="3" t="s">
        <v>522</v>
      </c>
      <c r="B301" s="3" t="s">
        <v>9</v>
      </c>
      <c r="C301" s="3" t="s">
        <v>95</v>
      </c>
      <c r="D301" s="3" t="s">
        <v>1189</v>
      </c>
    </row>
    <row r="302" spans="1:4" x14ac:dyDescent="0.2">
      <c r="A302" s="3" t="s">
        <v>523</v>
      </c>
      <c r="B302" s="3" t="s">
        <v>9</v>
      </c>
      <c r="C302" s="3" t="s">
        <v>95</v>
      </c>
      <c r="D302" s="3" t="s">
        <v>1189</v>
      </c>
    </row>
    <row r="303" spans="1:4" x14ac:dyDescent="0.2">
      <c r="A303" s="3" t="s">
        <v>321</v>
      </c>
      <c r="B303" s="3" t="s">
        <v>9</v>
      </c>
      <c r="C303" s="3" t="s">
        <v>95</v>
      </c>
      <c r="D303" s="3" t="s">
        <v>1190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1190</v>
      </c>
    </row>
    <row r="305" spans="1:4" x14ac:dyDescent="0.2">
      <c r="A305" s="3" t="s">
        <v>524</v>
      </c>
      <c r="B305" s="3" t="s">
        <v>9</v>
      </c>
      <c r="C305" s="3" t="s">
        <v>95</v>
      </c>
      <c r="D305" s="3" t="s">
        <v>1190</v>
      </c>
    </row>
    <row r="306" spans="1:4" x14ac:dyDescent="0.2">
      <c r="A306" s="3" t="s">
        <v>529</v>
      </c>
      <c r="B306" s="3" t="s">
        <v>9</v>
      </c>
      <c r="C306" s="3" t="s">
        <v>95</v>
      </c>
      <c r="D306" s="3" t="s">
        <v>1131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1131</v>
      </c>
    </row>
    <row r="308" spans="1:4" x14ac:dyDescent="0.2">
      <c r="A308" s="3" t="s">
        <v>530</v>
      </c>
      <c r="B308" s="3" t="s">
        <v>9</v>
      </c>
      <c r="C308" s="3" t="s">
        <v>95</v>
      </c>
      <c r="D308" s="3" t="s">
        <v>1131</v>
      </c>
    </row>
    <row r="309" spans="1:4" x14ac:dyDescent="0.2">
      <c r="A309" s="3" t="s">
        <v>531</v>
      </c>
      <c r="B309" s="3" t="s">
        <v>9</v>
      </c>
      <c r="C309" s="3" t="s">
        <v>95</v>
      </c>
      <c r="D309" s="3" t="s">
        <v>1131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1131</v>
      </c>
    </row>
    <row r="311" spans="1:4" x14ac:dyDescent="0.2">
      <c r="A311" s="3" t="s">
        <v>1373</v>
      </c>
      <c r="B311" s="3" t="s">
        <v>9</v>
      </c>
      <c r="C311" s="3" t="s">
        <v>95</v>
      </c>
      <c r="D311" s="3" t="s">
        <v>1131</v>
      </c>
    </row>
    <row r="312" spans="1:4" x14ac:dyDescent="0.2">
      <c r="A312" s="3" t="s">
        <v>526</v>
      </c>
      <c r="B312" s="3" t="s">
        <v>9</v>
      </c>
      <c r="C312" s="3" t="s">
        <v>1191</v>
      </c>
      <c r="D312" s="3" t="s">
        <v>1192</v>
      </c>
    </row>
    <row r="313" spans="1:4" x14ac:dyDescent="0.2">
      <c r="A313" s="3" t="s">
        <v>527</v>
      </c>
      <c r="B313" s="3" t="s">
        <v>9</v>
      </c>
      <c r="C313" s="3" t="s">
        <v>1191</v>
      </c>
      <c r="D313" s="3" t="s">
        <v>1192</v>
      </c>
    </row>
    <row r="314" spans="1:4" x14ac:dyDescent="0.2">
      <c r="A314" s="3" t="s">
        <v>528</v>
      </c>
      <c r="B314" s="3" t="s">
        <v>9</v>
      </c>
      <c r="C314" s="3" t="s">
        <v>1191</v>
      </c>
      <c r="D314" s="3" t="s">
        <v>1192</v>
      </c>
    </row>
    <row r="315" spans="1:4" x14ac:dyDescent="0.2">
      <c r="A315" s="3" t="s">
        <v>532</v>
      </c>
      <c r="B315" s="3" t="s">
        <v>9</v>
      </c>
      <c r="C315" s="3" t="s">
        <v>1191</v>
      </c>
      <c r="D315" s="3" t="s">
        <v>1192</v>
      </c>
    </row>
    <row r="316" spans="1:4" x14ac:dyDescent="0.2">
      <c r="A316" s="3" t="s">
        <v>231</v>
      </c>
      <c r="B316" s="3" t="s">
        <v>9</v>
      </c>
      <c r="C316" s="3" t="s">
        <v>1191</v>
      </c>
      <c r="D316" s="3" t="s">
        <v>1192</v>
      </c>
    </row>
    <row r="317" spans="1:4" x14ac:dyDescent="0.2">
      <c r="A317" s="3" t="s">
        <v>533</v>
      </c>
      <c r="B317" s="3" t="s">
        <v>9</v>
      </c>
      <c r="C317" s="3" t="s">
        <v>1191</v>
      </c>
      <c r="D317" s="3" t="s">
        <v>1192</v>
      </c>
    </row>
    <row r="318" spans="1:4" x14ac:dyDescent="0.2">
      <c r="A318" s="3" t="s">
        <v>291</v>
      </c>
      <c r="B318" s="3" t="s">
        <v>9</v>
      </c>
      <c r="C318" s="3" t="s">
        <v>1191</v>
      </c>
      <c r="D318" s="3" t="s">
        <v>1192</v>
      </c>
    </row>
    <row r="319" spans="1:4" x14ac:dyDescent="0.2">
      <c r="A319" s="3" t="s">
        <v>534</v>
      </c>
      <c r="B319" s="3" t="s">
        <v>9</v>
      </c>
      <c r="C319" s="3" t="s">
        <v>1191</v>
      </c>
      <c r="D319" s="3" t="s">
        <v>1192</v>
      </c>
    </row>
    <row r="320" spans="1:4" x14ac:dyDescent="0.2">
      <c r="A320" s="3" t="s">
        <v>535</v>
      </c>
      <c r="B320" s="3" t="s">
        <v>9</v>
      </c>
      <c r="C320" s="3" t="s">
        <v>1191</v>
      </c>
      <c r="D320" s="3" t="s">
        <v>1192</v>
      </c>
    </row>
    <row r="321" spans="1:4" x14ac:dyDescent="0.2">
      <c r="A321" s="3" t="s">
        <v>1374</v>
      </c>
      <c r="B321" s="3" t="s">
        <v>9</v>
      </c>
      <c r="C321" s="3" t="s">
        <v>95</v>
      </c>
      <c r="D321" s="3" t="s">
        <v>1193</v>
      </c>
    </row>
    <row r="322" spans="1:4" x14ac:dyDescent="0.2">
      <c r="A322" s="3" t="s">
        <v>1375</v>
      </c>
      <c r="B322" s="3" t="s">
        <v>9</v>
      </c>
      <c r="C322" s="3" t="s">
        <v>95</v>
      </c>
      <c r="D322" s="3" t="s">
        <v>1193</v>
      </c>
    </row>
    <row r="323" spans="1:4" x14ac:dyDescent="0.2">
      <c r="A323" s="3" t="s">
        <v>676</v>
      </c>
      <c r="B323" s="3" t="s">
        <v>1128</v>
      </c>
      <c r="C323" s="3" t="s">
        <v>1142</v>
      </c>
      <c r="D323" s="3" t="s">
        <v>1163</v>
      </c>
    </row>
    <row r="324" spans="1:4" x14ac:dyDescent="0.2">
      <c r="A324" s="3" t="s">
        <v>677</v>
      </c>
      <c r="B324" s="3" t="s">
        <v>1128</v>
      </c>
      <c r="C324" s="3" t="s">
        <v>1142</v>
      </c>
      <c r="D324" s="3" t="s">
        <v>1163</v>
      </c>
    </row>
    <row r="325" spans="1:4" x14ac:dyDescent="0.2">
      <c r="A325" s="3" t="s">
        <v>680</v>
      </c>
      <c r="B325" s="3" t="s">
        <v>1128</v>
      </c>
      <c r="C325" s="3" t="s">
        <v>1142</v>
      </c>
      <c r="D325" s="3" t="s">
        <v>1163</v>
      </c>
    </row>
    <row r="326" spans="1:4" x14ac:dyDescent="0.2">
      <c r="A326" s="3" t="s">
        <v>681</v>
      </c>
      <c r="B326" s="3" t="s">
        <v>1128</v>
      </c>
      <c r="C326" s="3" t="s">
        <v>1142</v>
      </c>
      <c r="D326" s="3" t="s">
        <v>1163</v>
      </c>
    </row>
    <row r="327" spans="1:4" x14ac:dyDescent="0.2">
      <c r="A327" s="3" t="s">
        <v>678</v>
      </c>
      <c r="B327" s="3" t="s">
        <v>1128</v>
      </c>
      <c r="C327" s="3" t="s">
        <v>1142</v>
      </c>
      <c r="D327" s="3" t="s">
        <v>1163</v>
      </c>
    </row>
    <row r="328" spans="1:4" x14ac:dyDescent="0.2">
      <c r="A328" s="3" t="s">
        <v>679</v>
      </c>
      <c r="B328" s="3" t="s">
        <v>1128</v>
      </c>
      <c r="C328" s="3" t="s">
        <v>1142</v>
      </c>
      <c r="D328" s="3" t="s">
        <v>1163</v>
      </c>
    </row>
    <row r="329" spans="1:4" x14ac:dyDescent="0.2">
      <c r="A329" s="3" t="s">
        <v>537</v>
      </c>
      <c r="B329" s="3" t="s">
        <v>9</v>
      </c>
      <c r="C329" s="3" t="s">
        <v>1176</v>
      </c>
      <c r="D329" s="3" t="s">
        <v>1194</v>
      </c>
    </row>
    <row r="330" spans="1:4" x14ac:dyDescent="0.2">
      <c r="A330" s="3" t="s">
        <v>539</v>
      </c>
      <c r="B330" s="3" t="s">
        <v>9</v>
      </c>
      <c r="C330" s="3" t="s">
        <v>1135</v>
      </c>
      <c r="D330" s="3" t="s">
        <v>1196</v>
      </c>
    </row>
    <row r="331" spans="1:4" x14ac:dyDescent="0.2">
      <c r="A331" s="3" t="s">
        <v>540</v>
      </c>
      <c r="B331" s="3" t="s">
        <v>9</v>
      </c>
      <c r="C331" s="3" t="s">
        <v>1135</v>
      </c>
      <c r="D331" s="3" t="s">
        <v>1196</v>
      </c>
    </row>
    <row r="332" spans="1:4" x14ac:dyDescent="0.2">
      <c r="A332" s="3" t="s">
        <v>541</v>
      </c>
      <c r="B332" s="3" t="s">
        <v>9</v>
      </c>
      <c r="C332" s="3" t="s">
        <v>1135</v>
      </c>
      <c r="D332" s="3" t="s">
        <v>1196</v>
      </c>
    </row>
    <row r="333" spans="1:4" x14ac:dyDescent="0.2">
      <c r="A333" s="3" t="s">
        <v>542</v>
      </c>
      <c r="B333" s="3" t="s">
        <v>9</v>
      </c>
      <c r="C333" s="3" t="s">
        <v>1135</v>
      </c>
      <c r="D333" s="3" t="s">
        <v>1196</v>
      </c>
    </row>
    <row r="334" spans="1:4" x14ac:dyDescent="0.2">
      <c r="A334" s="3" t="s">
        <v>545</v>
      </c>
      <c r="B334" s="3" t="s">
        <v>9</v>
      </c>
      <c r="C334" s="3" t="s">
        <v>1135</v>
      </c>
      <c r="D334" s="3" t="s">
        <v>1196</v>
      </c>
    </row>
    <row r="335" spans="1:4" x14ac:dyDescent="0.2">
      <c r="A335" s="3" t="s">
        <v>546</v>
      </c>
      <c r="B335" s="3" t="s">
        <v>9</v>
      </c>
      <c r="C335" s="3" t="s">
        <v>1135</v>
      </c>
      <c r="D335" s="3" t="s">
        <v>1196</v>
      </c>
    </row>
    <row r="336" spans="1:4" x14ac:dyDescent="0.2">
      <c r="A336" s="3" t="s">
        <v>547</v>
      </c>
      <c r="B336" s="3" t="s">
        <v>9</v>
      </c>
      <c r="C336" s="3" t="s">
        <v>1135</v>
      </c>
      <c r="D336" s="3" t="s">
        <v>1196</v>
      </c>
    </row>
    <row r="337" spans="1:4" x14ac:dyDescent="0.2">
      <c r="A337" s="3" t="s">
        <v>548</v>
      </c>
      <c r="B337" s="3" t="s">
        <v>9</v>
      </c>
      <c r="C337" s="3" t="s">
        <v>1135</v>
      </c>
      <c r="D337" s="3" t="s">
        <v>1196</v>
      </c>
    </row>
    <row r="338" spans="1:4" x14ac:dyDescent="0.2">
      <c r="A338" s="3" t="s">
        <v>603</v>
      </c>
      <c r="B338" s="3" t="s">
        <v>1147</v>
      </c>
      <c r="C338" s="3" t="s">
        <v>95</v>
      </c>
      <c r="D338" s="3" t="s">
        <v>1203</v>
      </c>
    </row>
    <row r="339" spans="1:4" x14ac:dyDescent="0.2">
      <c r="A339" s="3" t="s">
        <v>604</v>
      </c>
      <c r="B339" s="3" t="s">
        <v>1147</v>
      </c>
      <c r="C339" s="3" t="s">
        <v>95</v>
      </c>
      <c r="D339" s="3" t="s">
        <v>1203</v>
      </c>
    </row>
    <row r="340" spans="1:4" x14ac:dyDescent="0.2">
      <c r="A340" s="3" t="s">
        <v>566</v>
      </c>
      <c r="B340" s="3" t="s">
        <v>9</v>
      </c>
      <c r="C340" s="3" t="s">
        <v>95</v>
      </c>
      <c r="D340" s="3" t="s">
        <v>1204</v>
      </c>
    </row>
    <row r="341" spans="1:4" x14ac:dyDescent="0.2">
      <c r="A341" s="3" t="s">
        <v>565</v>
      </c>
      <c r="B341" s="3" t="s">
        <v>9</v>
      </c>
      <c r="C341" s="3" t="s">
        <v>117</v>
      </c>
      <c r="D341" s="3" t="s">
        <v>1202</v>
      </c>
    </row>
    <row r="342" spans="1:4" x14ac:dyDescent="0.2">
      <c r="A342" s="3" t="s">
        <v>561</v>
      </c>
      <c r="B342" s="3" t="s">
        <v>9</v>
      </c>
      <c r="C342" s="3" t="s">
        <v>198</v>
      </c>
      <c r="D342" s="3" t="s">
        <v>1200</v>
      </c>
    </row>
    <row r="343" spans="1:4" x14ac:dyDescent="0.2">
      <c r="A343" s="3" t="s">
        <v>562</v>
      </c>
      <c r="B343" s="3" t="s">
        <v>9</v>
      </c>
      <c r="C343" s="3" t="s">
        <v>198</v>
      </c>
      <c r="D343" s="3" t="s">
        <v>1200</v>
      </c>
    </row>
    <row r="344" spans="1:4" x14ac:dyDescent="0.2">
      <c r="A344" s="3" t="s">
        <v>563</v>
      </c>
      <c r="B344" s="3" t="s">
        <v>9</v>
      </c>
      <c r="C344" s="3" t="s">
        <v>95</v>
      </c>
      <c r="D344" s="3" t="s">
        <v>1201</v>
      </c>
    </row>
    <row r="345" spans="1:4" x14ac:dyDescent="0.2">
      <c r="A345" s="3" t="s">
        <v>553</v>
      </c>
      <c r="B345" s="3" t="s">
        <v>9</v>
      </c>
      <c r="C345" s="3" t="s">
        <v>117</v>
      </c>
      <c r="D345" s="3" t="s">
        <v>1199</v>
      </c>
    </row>
    <row r="346" spans="1:4" x14ac:dyDescent="0.2">
      <c r="A346" s="3" t="s">
        <v>554</v>
      </c>
      <c r="B346" s="3" t="s">
        <v>9</v>
      </c>
      <c r="C346" s="3" t="s">
        <v>117</v>
      </c>
      <c r="D346" s="3" t="s">
        <v>1199</v>
      </c>
    </row>
    <row r="347" spans="1:4" x14ac:dyDescent="0.2">
      <c r="A347" s="3" t="s">
        <v>555</v>
      </c>
      <c r="B347" s="3" t="s">
        <v>9</v>
      </c>
      <c r="C347" s="3" t="s">
        <v>117</v>
      </c>
      <c r="D347" s="3" t="s">
        <v>1199</v>
      </c>
    </row>
    <row r="348" spans="1:4" x14ac:dyDescent="0.2">
      <c r="A348" s="3" t="s">
        <v>556</v>
      </c>
      <c r="B348" s="3" t="s">
        <v>9</v>
      </c>
      <c r="C348" s="3" t="s">
        <v>117</v>
      </c>
      <c r="D348" s="3" t="s">
        <v>1199</v>
      </c>
    </row>
    <row r="349" spans="1:4" x14ac:dyDescent="0.2">
      <c r="A349" s="3" t="s">
        <v>557</v>
      </c>
      <c r="B349" s="3" t="s">
        <v>9</v>
      </c>
      <c r="C349" s="3" t="s">
        <v>117</v>
      </c>
      <c r="D349" s="3" t="s">
        <v>1199</v>
      </c>
    </row>
    <row r="350" spans="1:4" x14ac:dyDescent="0.2">
      <c r="A350" s="3" t="s">
        <v>558</v>
      </c>
      <c r="B350" s="3" t="s">
        <v>9</v>
      </c>
      <c r="C350" s="3" t="s">
        <v>117</v>
      </c>
      <c r="D350" s="3" t="s">
        <v>1199</v>
      </c>
    </row>
    <row r="351" spans="1:4" x14ac:dyDescent="0.2">
      <c r="A351" s="3" t="s">
        <v>559</v>
      </c>
      <c r="B351" s="3" t="s">
        <v>9</v>
      </c>
      <c r="C351" s="3" t="s">
        <v>117</v>
      </c>
      <c r="D351" s="3" t="s">
        <v>1199</v>
      </c>
    </row>
    <row r="352" spans="1:4" x14ac:dyDescent="0.2">
      <c r="A352" s="3" t="s">
        <v>560</v>
      </c>
      <c r="B352" s="3" t="s">
        <v>9</v>
      </c>
      <c r="C352" s="3" t="s">
        <v>117</v>
      </c>
      <c r="D352" s="3" t="s">
        <v>1199</v>
      </c>
    </row>
    <row r="353" spans="1:4" x14ac:dyDescent="0.2">
      <c r="A353" s="3" t="s">
        <v>668</v>
      </c>
      <c r="B353" s="3" t="s">
        <v>9</v>
      </c>
      <c r="C353" s="3" t="s">
        <v>117</v>
      </c>
      <c r="D353" s="3" t="s">
        <v>1199</v>
      </c>
    </row>
    <row r="354" spans="1:4" x14ac:dyDescent="0.2">
      <c r="A354" s="3" t="s">
        <v>549</v>
      </c>
      <c r="B354" s="3" t="s">
        <v>9</v>
      </c>
      <c r="C354" s="3" t="s">
        <v>95</v>
      </c>
      <c r="D354" s="3" t="s">
        <v>1198</v>
      </c>
    </row>
    <row r="355" spans="1:4" x14ac:dyDescent="0.2">
      <c r="A355" s="3" t="s">
        <v>550</v>
      </c>
      <c r="B355" s="3" t="s">
        <v>9</v>
      </c>
      <c r="C355" s="3" t="s">
        <v>95</v>
      </c>
      <c r="D355" s="3" t="s">
        <v>1198</v>
      </c>
    </row>
    <row r="356" spans="1:4" x14ac:dyDescent="0.2">
      <c r="A356" s="3" t="s">
        <v>551</v>
      </c>
      <c r="B356" s="3" t="s">
        <v>9</v>
      </c>
      <c r="C356" s="3" t="s">
        <v>95</v>
      </c>
      <c r="D356" s="3" t="s">
        <v>1198</v>
      </c>
    </row>
    <row r="357" spans="1:4" x14ac:dyDescent="0.2">
      <c r="A357" s="3" t="s">
        <v>552</v>
      </c>
      <c r="B357" s="3" t="s">
        <v>9</v>
      </c>
      <c r="C357" s="3" t="s">
        <v>95</v>
      </c>
      <c r="D357" s="3" t="s">
        <v>1198</v>
      </c>
    </row>
    <row r="358" spans="1:4" x14ac:dyDescent="0.2">
      <c r="A358" s="3" t="s">
        <v>567</v>
      </c>
      <c r="B358" s="3" t="s">
        <v>9</v>
      </c>
      <c r="C358" s="3" t="s">
        <v>95</v>
      </c>
      <c r="D358" s="3" t="s">
        <v>1205</v>
      </c>
    </row>
    <row r="359" spans="1:4" x14ac:dyDescent="0.2">
      <c r="A359" s="3" t="s">
        <v>568</v>
      </c>
      <c r="B359" s="3" t="s">
        <v>9</v>
      </c>
      <c r="C359" s="3" t="s">
        <v>95</v>
      </c>
      <c r="D359" s="3" t="s">
        <v>1205</v>
      </c>
    </row>
    <row r="360" spans="1:4" x14ac:dyDescent="0.2">
      <c r="A360" s="3" t="s">
        <v>569</v>
      </c>
      <c r="B360" s="3" t="s">
        <v>9</v>
      </c>
      <c r="C360" s="3" t="s">
        <v>95</v>
      </c>
      <c r="D360" s="3" t="s">
        <v>1205</v>
      </c>
    </row>
    <row r="361" spans="1:4" x14ac:dyDescent="0.2">
      <c r="A361" s="3" t="s">
        <v>570</v>
      </c>
      <c r="B361" s="3" t="s">
        <v>9</v>
      </c>
      <c r="C361" s="3" t="s">
        <v>95</v>
      </c>
      <c r="D361" s="3" t="s">
        <v>1205</v>
      </c>
    </row>
    <row r="362" spans="1:4" x14ac:dyDescent="0.2">
      <c r="A362" s="3" t="s">
        <v>575</v>
      </c>
      <c r="B362" s="3" t="s">
        <v>9</v>
      </c>
      <c r="C362" s="3" t="s">
        <v>95</v>
      </c>
      <c r="D362" s="3" t="s">
        <v>1207</v>
      </c>
    </row>
    <row r="363" spans="1:4" x14ac:dyDescent="0.2">
      <c r="A363" s="3" t="s">
        <v>576</v>
      </c>
      <c r="B363" s="3" t="s">
        <v>9</v>
      </c>
      <c r="C363" s="3" t="s">
        <v>95</v>
      </c>
      <c r="D363" s="3" t="s">
        <v>1207</v>
      </c>
    </row>
    <row r="364" spans="1:4" x14ac:dyDescent="0.2">
      <c r="A364" s="3" t="s">
        <v>577</v>
      </c>
      <c r="B364" s="3" t="s">
        <v>9</v>
      </c>
      <c r="C364" s="3" t="s">
        <v>95</v>
      </c>
      <c r="D364" s="3" t="s">
        <v>1207</v>
      </c>
    </row>
    <row r="365" spans="1:4" x14ac:dyDescent="0.2">
      <c r="A365" s="3" t="s">
        <v>578</v>
      </c>
      <c r="B365" s="3" t="s">
        <v>9</v>
      </c>
      <c r="C365" s="3" t="s">
        <v>95</v>
      </c>
      <c r="D365" s="3" t="s">
        <v>1207</v>
      </c>
    </row>
    <row r="366" spans="1:4" x14ac:dyDescent="0.2">
      <c r="A366" s="3" t="s">
        <v>579</v>
      </c>
      <c r="B366" s="3" t="s">
        <v>9</v>
      </c>
      <c r="C366" s="3" t="s">
        <v>95</v>
      </c>
      <c r="D366" s="3" t="s">
        <v>1207</v>
      </c>
    </row>
    <row r="367" spans="1:4" x14ac:dyDescent="0.2">
      <c r="A367" s="3" t="s">
        <v>580</v>
      </c>
      <c r="B367" s="3" t="s">
        <v>9</v>
      </c>
      <c r="C367" s="3" t="s">
        <v>1176</v>
      </c>
      <c r="D367" s="3" t="s">
        <v>1208</v>
      </c>
    </row>
    <row r="368" spans="1:4" x14ac:dyDescent="0.2">
      <c r="A368" s="3" t="s">
        <v>508</v>
      </c>
      <c r="B368" s="3" t="s">
        <v>9</v>
      </c>
      <c r="C368" s="3" t="s">
        <v>95</v>
      </c>
      <c r="D368" s="3" t="s">
        <v>1184</v>
      </c>
    </row>
    <row r="369" spans="1:4" x14ac:dyDescent="0.2">
      <c r="A369" s="3" t="s">
        <v>509</v>
      </c>
      <c r="B369" s="3" t="s">
        <v>9</v>
      </c>
      <c r="C369" s="3" t="s">
        <v>95</v>
      </c>
      <c r="D369" s="3" t="s">
        <v>1184</v>
      </c>
    </row>
    <row r="370" spans="1:4" x14ac:dyDescent="0.2">
      <c r="A370" s="3" t="s">
        <v>510</v>
      </c>
      <c r="B370" s="3" t="s">
        <v>9</v>
      </c>
      <c r="C370" s="3" t="s">
        <v>95</v>
      </c>
      <c r="D370" s="3" t="s">
        <v>1184</v>
      </c>
    </row>
    <row r="371" spans="1:4" x14ac:dyDescent="0.2">
      <c r="A371" s="3" t="s">
        <v>316</v>
      </c>
      <c r="B371" s="3" t="s">
        <v>184</v>
      </c>
      <c r="C371" s="3" t="s">
        <v>1191</v>
      </c>
      <c r="D371" s="3" t="s">
        <v>1212</v>
      </c>
    </row>
    <row r="372" spans="1:4" x14ac:dyDescent="0.2">
      <c r="A372" s="3" t="s">
        <v>317</v>
      </c>
      <c r="B372" s="3" t="s">
        <v>184</v>
      </c>
      <c r="C372" s="3" t="s">
        <v>1191</v>
      </c>
      <c r="D372" s="3" t="s">
        <v>1212</v>
      </c>
    </row>
    <row r="373" spans="1:4" x14ac:dyDescent="0.2">
      <c r="A373" s="3" t="s">
        <v>318</v>
      </c>
      <c r="B373" s="3" t="s">
        <v>184</v>
      </c>
      <c r="C373" s="3" t="s">
        <v>1191</v>
      </c>
      <c r="D373" s="3" t="s">
        <v>1212</v>
      </c>
    </row>
    <row r="374" spans="1:4" x14ac:dyDescent="0.2">
      <c r="A374" s="3" t="s">
        <v>651</v>
      </c>
      <c r="B374" s="3" t="s">
        <v>1378</v>
      </c>
      <c r="C374" s="3" t="s">
        <v>1191</v>
      </c>
      <c r="D374" s="3" t="s">
        <v>1209</v>
      </c>
    </row>
    <row r="375" spans="1:4" x14ac:dyDescent="0.2">
      <c r="A375" s="3" t="s">
        <v>652</v>
      </c>
      <c r="B375" s="3" t="s">
        <v>1378</v>
      </c>
      <c r="C375" s="3" t="s">
        <v>1191</v>
      </c>
      <c r="D375" s="3" t="s">
        <v>1209</v>
      </c>
    </row>
    <row r="376" spans="1:4" x14ac:dyDescent="0.2">
      <c r="A376" s="3" t="s">
        <v>653</v>
      </c>
      <c r="B376" s="3" t="s">
        <v>1378</v>
      </c>
      <c r="C376" s="3" t="s">
        <v>1191</v>
      </c>
      <c r="D376" s="3" t="s">
        <v>1209</v>
      </c>
    </row>
    <row r="377" spans="1:4" x14ac:dyDescent="0.2">
      <c r="A377" s="3" t="s">
        <v>654</v>
      </c>
      <c r="B377" s="3" t="s">
        <v>1378</v>
      </c>
      <c r="C377" s="3" t="s">
        <v>1191</v>
      </c>
      <c r="D377" s="3" t="s">
        <v>1209</v>
      </c>
    </row>
    <row r="378" spans="1:4" x14ac:dyDescent="0.2">
      <c r="A378" s="3" t="s">
        <v>656</v>
      </c>
      <c r="B378" s="3" t="s">
        <v>1378</v>
      </c>
      <c r="C378" s="3" t="s">
        <v>1191</v>
      </c>
      <c r="D378" s="3" t="s">
        <v>1209</v>
      </c>
    </row>
    <row r="379" spans="1:4" x14ac:dyDescent="0.2">
      <c r="A379" s="3" t="s">
        <v>657</v>
      </c>
      <c r="B379" s="3" t="s">
        <v>1378</v>
      </c>
      <c r="C379" s="3" t="s">
        <v>1191</v>
      </c>
      <c r="D379" s="3" t="s">
        <v>1209</v>
      </c>
    </row>
    <row r="380" spans="1:4" x14ac:dyDescent="0.2">
      <c r="A380" s="3" t="s">
        <v>658</v>
      </c>
      <c r="B380" s="3" t="s">
        <v>1378</v>
      </c>
      <c r="C380" s="3" t="s">
        <v>1191</v>
      </c>
      <c r="D380" s="3" t="s">
        <v>1209</v>
      </c>
    </row>
    <row r="381" spans="1:4" x14ac:dyDescent="0.2">
      <c r="A381" s="3" t="s">
        <v>659</v>
      </c>
      <c r="B381" s="3" t="s">
        <v>1378</v>
      </c>
      <c r="C381" s="3" t="s">
        <v>1191</v>
      </c>
      <c r="D381" s="3" t="s">
        <v>1209</v>
      </c>
    </row>
    <row r="382" spans="1:4" x14ac:dyDescent="0.2">
      <c r="A382" s="3" t="s">
        <v>660</v>
      </c>
      <c r="B382" s="3" t="s">
        <v>1378</v>
      </c>
      <c r="C382" s="3" t="s">
        <v>1191</v>
      </c>
      <c r="D382" s="3" t="s">
        <v>1209</v>
      </c>
    </row>
    <row r="383" spans="1:4" x14ac:dyDescent="0.2">
      <c r="A383" s="3" t="s">
        <v>661</v>
      </c>
      <c r="B383" s="3" t="s">
        <v>1378</v>
      </c>
      <c r="C383" s="3" t="s">
        <v>1191</v>
      </c>
      <c r="D383" s="3" t="s">
        <v>1209</v>
      </c>
    </row>
    <row r="384" spans="1:4" x14ac:dyDescent="0.2">
      <c r="A384" s="3" t="s">
        <v>662</v>
      </c>
      <c r="B384" s="3" t="s">
        <v>1378</v>
      </c>
      <c r="C384" s="3" t="s">
        <v>1191</v>
      </c>
      <c r="D384" s="3" t="s">
        <v>1209</v>
      </c>
    </row>
    <row r="385" spans="1:4" x14ac:dyDescent="0.2">
      <c r="A385" s="3" t="s">
        <v>663</v>
      </c>
      <c r="B385" s="3" t="s">
        <v>1378</v>
      </c>
      <c r="C385" s="3" t="s">
        <v>1191</v>
      </c>
      <c r="D385" s="3" t="s">
        <v>1209</v>
      </c>
    </row>
    <row r="386" spans="1:4" x14ac:dyDescent="0.2">
      <c r="A386" s="3" t="s">
        <v>664</v>
      </c>
      <c r="B386" s="3" t="s">
        <v>1378</v>
      </c>
      <c r="C386" s="3" t="s">
        <v>1191</v>
      </c>
      <c r="D386" s="3" t="s">
        <v>1209</v>
      </c>
    </row>
    <row r="387" spans="1:4" x14ac:dyDescent="0.2">
      <c r="A387" s="3" t="s">
        <v>1126</v>
      </c>
      <c r="B387" s="3" t="s">
        <v>1378</v>
      </c>
      <c r="C387" s="3" t="s">
        <v>1191</v>
      </c>
      <c r="D387" s="3" t="s">
        <v>1209</v>
      </c>
    </row>
    <row r="388" spans="1:4" x14ac:dyDescent="0.2">
      <c r="A388" s="3" t="s">
        <v>665</v>
      </c>
      <c r="B388" s="3" t="s">
        <v>1378</v>
      </c>
      <c r="C388" s="3" t="s">
        <v>1191</v>
      </c>
      <c r="D388" s="3" t="s">
        <v>1209</v>
      </c>
    </row>
    <row r="389" spans="1:4" x14ac:dyDescent="0.2">
      <c r="A389" s="3" t="s">
        <v>666</v>
      </c>
      <c r="B389" s="3" t="s">
        <v>1378</v>
      </c>
      <c r="C389" s="3" t="s">
        <v>1191</v>
      </c>
      <c r="D389" s="3" t="s">
        <v>1209</v>
      </c>
    </row>
    <row r="390" spans="1:4" x14ac:dyDescent="0.2">
      <c r="A390" s="3" t="s">
        <v>667</v>
      </c>
      <c r="B390" s="3" t="s">
        <v>1378</v>
      </c>
      <c r="C390" s="3" t="s">
        <v>1191</v>
      </c>
      <c r="D390" s="3" t="s">
        <v>1209</v>
      </c>
    </row>
    <row r="391" spans="1:4" x14ac:dyDescent="0.2">
      <c r="A391" s="3" t="s">
        <v>669</v>
      </c>
      <c r="B391" s="3" t="s">
        <v>1378</v>
      </c>
      <c r="C391" s="3" t="s">
        <v>1191</v>
      </c>
      <c r="D391" s="3" t="s">
        <v>1209</v>
      </c>
    </row>
    <row r="392" spans="1:4" x14ac:dyDescent="0.2">
      <c r="A392" s="3" t="s">
        <v>670</v>
      </c>
      <c r="B392" s="3" t="s">
        <v>1378</v>
      </c>
      <c r="C392" s="3" t="s">
        <v>1191</v>
      </c>
      <c r="D392" s="3" t="s">
        <v>1209</v>
      </c>
    </row>
    <row r="393" spans="1:4" x14ac:dyDescent="0.2">
      <c r="A393" s="3" t="s">
        <v>671</v>
      </c>
      <c r="B393" s="3" t="s">
        <v>1378</v>
      </c>
      <c r="C393" s="3" t="s">
        <v>1191</v>
      </c>
      <c r="D393" s="3" t="s">
        <v>1209</v>
      </c>
    </row>
    <row r="394" spans="1:4" x14ac:dyDescent="0.2">
      <c r="A394" s="10" t="s">
        <v>672</v>
      </c>
      <c r="B394" s="3" t="s">
        <v>1378</v>
      </c>
      <c r="C394" s="3" t="s">
        <v>1191</v>
      </c>
      <c r="D394" s="3" t="s">
        <v>1209</v>
      </c>
    </row>
    <row r="395" spans="1:4" x14ac:dyDescent="0.2">
      <c r="A395" s="3" t="s">
        <v>673</v>
      </c>
      <c r="B395" s="3" t="s">
        <v>1378</v>
      </c>
      <c r="C395" s="3" t="s">
        <v>1191</v>
      </c>
      <c r="D395" s="3" t="s">
        <v>1209</v>
      </c>
    </row>
    <row r="396" spans="1:4" x14ac:dyDescent="0.2">
      <c r="A396" s="3" t="s">
        <v>674</v>
      </c>
      <c r="B396" s="3" t="s">
        <v>1378</v>
      </c>
      <c r="C396" s="3" t="s">
        <v>1191</v>
      </c>
      <c r="D396" s="3" t="s">
        <v>1209</v>
      </c>
    </row>
    <row r="397" spans="1:4" x14ac:dyDescent="0.2">
      <c r="A397" s="3" t="s">
        <v>675</v>
      </c>
      <c r="B397" s="3" t="s">
        <v>1378</v>
      </c>
      <c r="C397" s="3" t="s">
        <v>1191</v>
      </c>
      <c r="D397" s="3" t="s">
        <v>1209</v>
      </c>
    </row>
    <row r="398" spans="1:4" x14ac:dyDescent="0.2">
      <c r="A398" s="3" t="s">
        <v>1125</v>
      </c>
      <c r="B398" s="3" t="s">
        <v>1378</v>
      </c>
      <c r="C398" s="3" t="s">
        <v>1191</v>
      </c>
      <c r="D398" s="3" t="s">
        <v>1209</v>
      </c>
    </row>
    <row r="399" spans="1:4" x14ac:dyDescent="0.2">
      <c r="A399" s="3" t="s">
        <v>1124</v>
      </c>
      <c r="B399" s="3" t="s">
        <v>1378</v>
      </c>
      <c r="C399" s="3" t="s">
        <v>1191</v>
      </c>
      <c r="D399" s="3" t="s">
        <v>1209</v>
      </c>
    </row>
    <row r="400" spans="1:4" x14ac:dyDescent="0.2">
      <c r="A400" s="3" t="s">
        <v>588</v>
      </c>
      <c r="B400" s="3" t="s">
        <v>9</v>
      </c>
      <c r="C400" s="3" t="s">
        <v>95</v>
      </c>
      <c r="D400" s="3" t="s">
        <v>1211</v>
      </c>
    </row>
    <row r="401" spans="1:4" x14ac:dyDescent="0.2">
      <c r="A401" s="3" t="s">
        <v>581</v>
      </c>
      <c r="B401" s="3" t="s">
        <v>9</v>
      </c>
      <c r="C401" s="3" t="s">
        <v>10</v>
      </c>
      <c r="D401" s="3" t="s">
        <v>1210</v>
      </c>
    </row>
    <row r="402" spans="1:4" x14ac:dyDescent="0.2">
      <c r="A402" s="3" t="s">
        <v>1122</v>
      </c>
      <c r="B402" s="3" t="s">
        <v>9</v>
      </c>
      <c r="C402" s="3" t="s">
        <v>126</v>
      </c>
      <c r="D402" s="3" t="s">
        <v>1214</v>
      </c>
    </row>
    <row r="403" spans="1:4" x14ac:dyDescent="0.2">
      <c r="A403" s="3" t="s">
        <v>590</v>
      </c>
      <c r="B403" s="3" t="s">
        <v>9</v>
      </c>
      <c r="C403" s="3" t="s">
        <v>95</v>
      </c>
      <c r="D403" s="3" t="s">
        <v>1213</v>
      </c>
    </row>
    <row r="404" spans="1:4" x14ac:dyDescent="0.2">
      <c r="A404" s="3" t="s">
        <v>538</v>
      </c>
      <c r="B404" s="3" t="s">
        <v>9</v>
      </c>
      <c r="C404" s="3" t="s">
        <v>95</v>
      </c>
      <c r="D404" s="3" t="s">
        <v>1195</v>
      </c>
    </row>
    <row r="405" spans="1:4" x14ac:dyDescent="0.2">
      <c r="A405" s="3" t="s">
        <v>591</v>
      </c>
      <c r="B405" s="3" t="s">
        <v>9</v>
      </c>
      <c r="C405" s="3" t="s">
        <v>95</v>
      </c>
      <c r="D405" s="3" t="s">
        <v>1195</v>
      </c>
    </row>
    <row r="406" spans="1:4" x14ac:dyDescent="0.2">
      <c r="A406" s="3" t="s">
        <v>592</v>
      </c>
      <c r="B406" s="3" t="s">
        <v>9</v>
      </c>
      <c r="C406" s="3" t="s">
        <v>95</v>
      </c>
      <c r="D406" s="3" t="s">
        <v>1195</v>
      </c>
    </row>
    <row r="407" spans="1:4" x14ac:dyDescent="0.2">
      <c r="A407" s="3" t="s">
        <v>593</v>
      </c>
      <c r="B407" s="3" t="s">
        <v>9</v>
      </c>
      <c r="C407" s="3" t="s">
        <v>95</v>
      </c>
      <c r="D407" s="3" t="s">
        <v>1195</v>
      </c>
    </row>
    <row r="408" spans="1:4" x14ac:dyDescent="0.2">
      <c r="A408" s="3" t="s">
        <v>602</v>
      </c>
      <c r="B408" s="3" t="s">
        <v>1147</v>
      </c>
      <c r="C408" s="3" t="s">
        <v>95</v>
      </c>
      <c r="D408" s="3" t="s">
        <v>1197</v>
      </c>
    </row>
    <row r="409" spans="1:4" x14ac:dyDescent="0.2">
      <c r="A409" s="3" t="s">
        <v>1123</v>
      </c>
      <c r="B409" s="3" t="s">
        <v>1147</v>
      </c>
      <c r="C409" s="3" t="s">
        <v>95</v>
      </c>
      <c r="D409" s="3" t="s">
        <v>1197</v>
      </c>
    </row>
    <row r="410" spans="1:4" x14ac:dyDescent="0.2">
      <c r="A410" s="10" t="s">
        <v>606</v>
      </c>
      <c r="B410" s="3" t="s">
        <v>1147</v>
      </c>
      <c r="C410" s="3" t="s">
        <v>95</v>
      </c>
      <c r="D410" s="3" t="s">
        <v>1197</v>
      </c>
    </row>
    <row r="411" spans="1:4" x14ac:dyDescent="0.2">
      <c r="A411" s="3" t="s">
        <v>607</v>
      </c>
      <c r="B411" s="3" t="s">
        <v>1147</v>
      </c>
      <c r="C411" s="3" t="s">
        <v>95</v>
      </c>
      <c r="D411" s="3" t="s">
        <v>1197</v>
      </c>
    </row>
    <row r="412" spans="1:4" x14ac:dyDescent="0.2">
      <c r="A412" s="60" t="s">
        <v>1080</v>
      </c>
      <c r="B412" s="3" t="s">
        <v>1141</v>
      </c>
      <c r="C412" s="3" t="s">
        <v>1142</v>
      </c>
      <c r="D412" s="3" t="s">
        <v>1143</v>
      </c>
    </row>
    <row r="413" spans="1:4" x14ac:dyDescent="0.2">
      <c r="A413" s="10" t="s">
        <v>1081</v>
      </c>
      <c r="B413" s="3" t="s">
        <v>1141</v>
      </c>
      <c r="C413" s="3" t="s">
        <v>1142</v>
      </c>
      <c r="D413" s="3" t="s">
        <v>1143</v>
      </c>
    </row>
    <row r="414" spans="1:4" x14ac:dyDescent="0.2">
      <c r="A414" s="1" t="s">
        <v>1082</v>
      </c>
      <c r="B414" s="3" t="s">
        <v>1141</v>
      </c>
      <c r="C414" s="3" t="s">
        <v>1142</v>
      </c>
      <c r="D414" s="3" t="s">
        <v>1143</v>
      </c>
    </row>
    <row r="415" spans="1:4" x14ac:dyDescent="0.2">
      <c r="A415" s="1" t="s">
        <v>1083</v>
      </c>
      <c r="B415" s="3" t="s">
        <v>1141</v>
      </c>
      <c r="C415" s="3" t="s">
        <v>1142</v>
      </c>
      <c r="D415" s="3" t="s">
        <v>1143</v>
      </c>
    </row>
    <row r="416" spans="1:4" x14ac:dyDescent="0.2">
      <c r="A416" s="1" t="s">
        <v>1084</v>
      </c>
      <c r="B416" s="3" t="s">
        <v>1141</v>
      </c>
      <c r="C416" s="3" t="s">
        <v>1142</v>
      </c>
      <c r="D416" s="3" t="s">
        <v>1143</v>
      </c>
    </row>
    <row r="417" spans="1:4" x14ac:dyDescent="0.2">
      <c r="A417" s="1" t="s">
        <v>1085</v>
      </c>
      <c r="B417" s="3" t="s">
        <v>1141</v>
      </c>
      <c r="C417" s="3" t="s">
        <v>1142</v>
      </c>
      <c r="D417" s="3" t="s">
        <v>1143</v>
      </c>
    </row>
    <row r="418" spans="1:4" x14ac:dyDescent="0.2">
      <c r="A418" s="1" t="s">
        <v>1086</v>
      </c>
      <c r="B418" s="3" t="s">
        <v>1141</v>
      </c>
      <c r="C418" s="3" t="s">
        <v>1142</v>
      </c>
      <c r="D418" s="3" t="s">
        <v>1143</v>
      </c>
    </row>
    <row r="419" spans="1:4" x14ac:dyDescent="0.2">
      <c r="A419" s="1" t="s">
        <v>1087</v>
      </c>
      <c r="B419" s="3" t="s">
        <v>1141</v>
      </c>
      <c r="C419" s="3" t="s">
        <v>1142</v>
      </c>
      <c r="D419" s="3" t="s">
        <v>1143</v>
      </c>
    </row>
    <row r="420" spans="1:4" x14ac:dyDescent="0.2">
      <c r="A420" s="10" t="s">
        <v>1088</v>
      </c>
      <c r="B420" s="3" t="s">
        <v>1141</v>
      </c>
      <c r="C420" s="3" t="s">
        <v>1142</v>
      </c>
      <c r="D420" s="3" t="s">
        <v>1143</v>
      </c>
    </row>
    <row r="421" spans="1:4" x14ac:dyDescent="0.2">
      <c r="A421" s="10" t="s">
        <v>1089</v>
      </c>
      <c r="B421" s="3" t="s">
        <v>1141</v>
      </c>
      <c r="C421" s="3" t="s">
        <v>1142</v>
      </c>
      <c r="D421" s="3" t="s">
        <v>1143</v>
      </c>
    </row>
    <row r="422" spans="1:4" x14ac:dyDescent="0.2">
      <c r="A422" s="1" t="s">
        <v>1090</v>
      </c>
      <c r="B422" s="3" t="s">
        <v>1141</v>
      </c>
      <c r="C422" s="3" t="s">
        <v>1142</v>
      </c>
      <c r="D422" s="3" t="s">
        <v>1143</v>
      </c>
    </row>
    <row r="423" spans="1:4" x14ac:dyDescent="0.2">
      <c r="A423" s="1" t="s">
        <v>1091</v>
      </c>
      <c r="B423" s="3" t="s">
        <v>1141</v>
      </c>
      <c r="C423" s="3" t="s">
        <v>1142</v>
      </c>
      <c r="D423" s="3" t="s">
        <v>1143</v>
      </c>
    </row>
    <row r="424" spans="1:4" x14ac:dyDescent="0.2">
      <c r="A424" s="1" t="s">
        <v>1092</v>
      </c>
      <c r="B424" s="3" t="s">
        <v>1141</v>
      </c>
      <c r="C424" s="3" t="s">
        <v>1142</v>
      </c>
      <c r="D424" s="3" t="s">
        <v>1143</v>
      </c>
    </row>
    <row r="425" spans="1:4" x14ac:dyDescent="0.2">
      <c r="A425" s="1" t="s">
        <v>1093</v>
      </c>
      <c r="B425" s="3" t="s">
        <v>1141</v>
      </c>
      <c r="C425" s="3" t="s">
        <v>1142</v>
      </c>
      <c r="D425" s="3" t="s">
        <v>1143</v>
      </c>
    </row>
    <row r="426" spans="1:4" x14ac:dyDescent="0.2">
      <c r="A426" s="1" t="s">
        <v>1094</v>
      </c>
      <c r="B426" s="3" t="s">
        <v>1141</v>
      </c>
      <c r="C426" s="3" t="s">
        <v>1142</v>
      </c>
      <c r="D426" s="3" t="s">
        <v>1143</v>
      </c>
    </row>
    <row r="427" spans="1:4" x14ac:dyDescent="0.2">
      <c r="A427" s="1" t="s">
        <v>1095</v>
      </c>
      <c r="B427" s="3" t="s">
        <v>1141</v>
      </c>
      <c r="C427" s="3" t="s">
        <v>1142</v>
      </c>
      <c r="D427" s="3" t="s">
        <v>1143</v>
      </c>
    </row>
    <row r="428" spans="1:4" x14ac:dyDescent="0.2">
      <c r="A428" s="1" t="s">
        <v>1096</v>
      </c>
      <c r="B428" s="3" t="s">
        <v>1141</v>
      </c>
      <c r="C428" s="3" t="s">
        <v>1142</v>
      </c>
      <c r="D428" s="3" t="s">
        <v>1143</v>
      </c>
    </row>
    <row r="429" spans="1:4" x14ac:dyDescent="0.2">
      <c r="A429" s="1" t="s">
        <v>1097</v>
      </c>
      <c r="B429" s="3" t="s">
        <v>1141</v>
      </c>
      <c r="C429" s="3" t="s">
        <v>1142</v>
      </c>
      <c r="D429" s="3" t="s">
        <v>1143</v>
      </c>
    </row>
    <row r="430" spans="1:4" x14ac:dyDescent="0.2">
      <c r="A430" s="1" t="s">
        <v>1098</v>
      </c>
      <c r="B430" s="3" t="s">
        <v>1141</v>
      </c>
      <c r="C430" s="3" t="s">
        <v>1142</v>
      </c>
      <c r="D430" s="3" t="s">
        <v>1143</v>
      </c>
    </row>
    <row r="431" spans="1:4" x14ac:dyDescent="0.2">
      <c r="A431" s="1" t="s">
        <v>1099</v>
      </c>
      <c r="B431" s="3" t="s">
        <v>1141</v>
      </c>
      <c r="C431" s="3" t="s">
        <v>1142</v>
      </c>
      <c r="D431" s="3" t="s">
        <v>1143</v>
      </c>
    </row>
    <row r="432" spans="1:4" x14ac:dyDescent="0.2">
      <c r="A432" s="1" t="s">
        <v>1100</v>
      </c>
      <c r="B432" s="3" t="s">
        <v>1141</v>
      </c>
      <c r="C432" s="3" t="s">
        <v>1142</v>
      </c>
      <c r="D432" s="3" t="s">
        <v>1143</v>
      </c>
    </row>
    <row r="433" spans="1:4" x14ac:dyDescent="0.2">
      <c r="A433" s="1" t="s">
        <v>1101</v>
      </c>
      <c r="B433" s="3" t="s">
        <v>1141</v>
      </c>
      <c r="C433" s="3" t="s">
        <v>1142</v>
      </c>
      <c r="D433" s="3" t="s">
        <v>1143</v>
      </c>
    </row>
    <row r="434" spans="1:4" x14ac:dyDescent="0.2">
      <c r="A434" s="1" t="s">
        <v>1102</v>
      </c>
      <c r="B434" s="3" t="s">
        <v>1141</v>
      </c>
      <c r="C434" s="3" t="s">
        <v>1142</v>
      </c>
      <c r="D434" s="3" t="s">
        <v>1143</v>
      </c>
    </row>
    <row r="435" spans="1:4" x14ac:dyDescent="0.2">
      <c r="A435" s="1" t="s">
        <v>1103</v>
      </c>
      <c r="B435" s="3" t="s">
        <v>1141</v>
      </c>
      <c r="C435" s="3" t="s">
        <v>1142</v>
      </c>
      <c r="D435" s="3" t="s">
        <v>1143</v>
      </c>
    </row>
    <row r="436" spans="1:4" x14ac:dyDescent="0.2">
      <c r="A436" s="1" t="s">
        <v>1104</v>
      </c>
      <c r="B436" s="3" t="s">
        <v>1141</v>
      </c>
      <c r="C436" s="3" t="s">
        <v>1142</v>
      </c>
      <c r="D436" s="3" t="s">
        <v>1143</v>
      </c>
    </row>
    <row r="437" spans="1:4" x14ac:dyDescent="0.2">
      <c r="A437" s="1" t="s">
        <v>1105</v>
      </c>
      <c r="B437" s="3" t="s">
        <v>1141</v>
      </c>
      <c r="C437" s="3" t="s">
        <v>1142</v>
      </c>
      <c r="D437" s="3" t="s">
        <v>1143</v>
      </c>
    </row>
    <row r="438" spans="1:4" x14ac:dyDescent="0.2">
      <c r="A438" s="10" t="s">
        <v>655</v>
      </c>
      <c r="B438" s="3" t="s">
        <v>1378</v>
      </c>
      <c r="C438" s="3" t="s">
        <v>1191</v>
      </c>
      <c r="D438" s="3" t="s">
        <v>1209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R67" activePane="bottomRight" state="frozenSplit"/>
      <selection pane="topRight" activeCell="C1" sqref="C1"/>
      <selection pane="bottomLeft" activeCell="A2" sqref="A2"/>
      <selection pane="bottomRight" activeCell="T12" sqref="T12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1344</v>
      </c>
      <c r="B1" s="50" t="s">
        <v>205</v>
      </c>
      <c r="C1" s="50" t="s">
        <v>204</v>
      </c>
      <c r="D1" s="48" t="s">
        <v>292</v>
      </c>
      <c r="E1" s="48" t="s">
        <v>0</v>
      </c>
      <c r="F1" s="48" t="s">
        <v>1127</v>
      </c>
      <c r="G1" s="51" t="s">
        <v>1215</v>
      </c>
      <c r="H1" s="50" t="s">
        <v>1</v>
      </c>
      <c r="I1" s="49" t="s">
        <v>1304</v>
      </c>
      <c r="J1" s="52" t="s">
        <v>1216</v>
      </c>
      <c r="K1" s="14" t="s">
        <v>1220</v>
      </c>
      <c r="L1" s="13" t="s">
        <v>1224</v>
      </c>
      <c r="M1" s="13" t="s">
        <v>2</v>
      </c>
      <c r="N1" s="13" t="s">
        <v>1307</v>
      </c>
      <c r="O1" s="14" t="s">
        <v>1220</v>
      </c>
      <c r="P1" s="61" t="s">
        <v>1306</v>
      </c>
      <c r="Q1" s="46" t="s">
        <v>1225</v>
      </c>
      <c r="R1" s="18" t="s">
        <v>2</v>
      </c>
      <c r="S1" s="18" t="s">
        <v>1226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293</v>
      </c>
      <c r="AD1" s="13" t="s">
        <v>1308</v>
      </c>
      <c r="AE1" s="13" t="s">
        <v>1309</v>
      </c>
      <c r="AF1" s="13" t="s">
        <v>1310</v>
      </c>
      <c r="AG1" s="13" t="s">
        <v>1311</v>
      </c>
      <c r="AH1" s="13" t="s">
        <v>1312</v>
      </c>
      <c r="AK1" s="14" t="s">
        <v>1366</v>
      </c>
      <c r="AL1" s="13" t="s">
        <v>1365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294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1223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261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1223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294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271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275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272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294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1221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281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1221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294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1221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286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1221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294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1223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1249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1223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251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1223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294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1223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261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1223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294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1223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271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1223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275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1223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272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1223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294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1223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253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1223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294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1223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270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1223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259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1223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294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1223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262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1223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294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1223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252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1223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294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1223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1230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1223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1233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1223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273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1223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294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1223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267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1223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257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1223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277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1223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268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1223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269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1223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294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1223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263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1223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294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1223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264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1223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294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1223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NTR1_rat_4BOU_TM2</v>
      </c>
      <c r="B45" s="45" t="s">
        <v>234</v>
      </c>
      <c r="C45" s="45" t="s">
        <v>239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1223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244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1223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245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1223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294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1223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294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1223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246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1223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246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1223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291</v>
      </c>
      <c r="C52" s="45" t="s">
        <v>294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1223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291</v>
      </c>
      <c r="C53" s="45" t="s">
        <v>290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1223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1374</v>
      </c>
      <c r="C54" s="45" t="s">
        <v>294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1223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1374</v>
      </c>
      <c r="C55" s="45" t="s">
        <v>282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1223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1374</v>
      </c>
      <c r="C56" s="45" t="s">
        <v>283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1223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1375</v>
      </c>
      <c r="C57" s="45" t="s">
        <v>294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1223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1375</v>
      </c>
      <c r="C58" s="45" t="s">
        <v>284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1223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294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1223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288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1223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294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1223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271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1223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275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1223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272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1223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1368</v>
      </c>
      <c r="C65" s="45" t="s">
        <v>294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1223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1368</v>
      </c>
      <c r="C66" s="45" t="s">
        <v>241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1223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294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1223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274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1223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294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1223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285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1223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294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1223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1249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1223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251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1223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294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1223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261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1223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294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1223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271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1223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275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1223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272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1223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294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1223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253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1223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294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1223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270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1223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259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1223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294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1223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262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1223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294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1223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252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1223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294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1223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1230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1223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1233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1223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273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1223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294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1223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267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1223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257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1223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277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1223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268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1223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269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1223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294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1223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260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1223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294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1223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265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1223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294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1223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288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1223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1237</v>
      </c>
      <c r="C105" s="45" t="s">
        <v>294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1223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1237</v>
      </c>
      <c r="C106" s="45" t="s">
        <v>254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1223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294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1223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263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1223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1368</v>
      </c>
      <c r="C109" s="45" t="s">
        <v>294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1223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1368</v>
      </c>
      <c r="C110" s="45" t="s">
        <v>241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1223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1227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294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1223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240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1223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294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1223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264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1223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294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1223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281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1223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294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1223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NTR1_rat_4BOU_TM7</v>
      </c>
      <c r="B118" s="45" t="s">
        <v>234</v>
      </c>
      <c r="C118" s="45" t="s">
        <v>239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1223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1223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294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1223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279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1223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255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1223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294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1223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280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1223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294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1223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256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1223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276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1223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1373</v>
      </c>
      <c r="C128" s="45" t="s">
        <v>294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1223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1373</v>
      </c>
      <c r="C129" s="45" t="s">
        <v>258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1223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244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1223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245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1223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294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1223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294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1223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246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1223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246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1223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291</v>
      </c>
      <c r="C136" s="45" t="s">
        <v>294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1223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291</v>
      </c>
      <c r="C137" s="45" t="s">
        <v>290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1223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1374</v>
      </c>
      <c r="C138" s="45" t="s">
        <v>294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1223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1374</v>
      </c>
      <c r="C139" s="45" t="s">
        <v>282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1223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1374</v>
      </c>
      <c r="C140" s="45" t="s">
        <v>283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1223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1375</v>
      </c>
      <c r="C141" s="45" t="s">
        <v>294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1223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1375</v>
      </c>
      <c r="C142" s="45" t="s">
        <v>284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1223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294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1223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274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1223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294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1223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242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1223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294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1223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285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1223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294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1223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286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1223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294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1223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287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1223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294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1223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289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1223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294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1223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248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1223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249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1223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250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1223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294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1223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264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1223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294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1223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1249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1223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251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1223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294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1223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261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1223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294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1223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253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1223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294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1223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270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1223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259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1223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294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1223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262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1223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294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1223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252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1223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294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1223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1230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1223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1233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1223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273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1223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294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1223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267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1223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257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1223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277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1223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268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1223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269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1223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294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1223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260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1223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294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1223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265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1223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1237</v>
      </c>
      <c r="C189" s="45" t="s">
        <v>294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1223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1237</v>
      </c>
      <c r="C190" s="45" t="s">
        <v>254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1223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294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1223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263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1223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1368</v>
      </c>
      <c r="C193" s="45" t="s">
        <v>294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1223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1368</v>
      </c>
      <c r="C194" s="45" t="s">
        <v>241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1223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294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1223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264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1223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294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1223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279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1223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255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1223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294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1223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280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1223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294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1223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256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1223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276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1223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1373</v>
      </c>
      <c r="C205" s="45" t="s">
        <v>294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1223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1373</v>
      </c>
      <c r="C206" s="45" t="s">
        <v>258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1223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244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1223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245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1223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294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1223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294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1223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246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1223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246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1223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291</v>
      </c>
      <c r="C213" s="45" t="s">
        <v>294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1223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239</v>
      </c>
      <c r="O213" s="4" t="str">
        <f t="shared" si="20"/>
        <v>K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ILIIFFCYFNIVMSVSNHEKEMAAMAK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291</v>
      </c>
      <c r="C214" s="45" t="s">
        <v>290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1223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239</v>
      </c>
      <c r="O214" s="4" t="str">
        <f t="shared" si="20"/>
        <v>K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ILIIFFCYFNIVMSVSNHEKEMAAMAK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1374</v>
      </c>
      <c r="C215" s="45" t="s">
        <v>294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1223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248</v>
      </c>
      <c r="O215" s="4" t="str">
        <f t="shared" si="20"/>
        <v>P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1374</v>
      </c>
      <c r="C216" s="45" t="s">
        <v>282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1223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248</v>
      </c>
      <c r="O216" s="4" t="str">
        <f t="shared" si="20"/>
        <v>P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1374</v>
      </c>
      <c r="C217" s="45" t="s">
        <v>283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1223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248</v>
      </c>
      <c r="O217" s="4" t="str">
        <f t="shared" si="20"/>
        <v>P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1375</v>
      </c>
      <c r="C218" s="45" t="s">
        <v>294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1223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256</v>
      </c>
      <c r="O218" s="4" t="str">
        <f t="shared" si="20"/>
        <v>P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1375</v>
      </c>
      <c r="C219" s="45" t="s">
        <v>284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1223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256</v>
      </c>
      <c r="O219" s="4" t="str">
        <f t="shared" si="20"/>
        <v>P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294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1223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274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1223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294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1223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278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1223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247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1223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294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1223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287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1223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294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1223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260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1223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294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1223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261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1223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294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1223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265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1223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1237</v>
      </c>
      <c r="C233" s="45" t="s">
        <v>294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1223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1237</v>
      </c>
      <c r="C234" s="45" t="s">
        <v>254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1223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294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1223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263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1223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294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1223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NTR1_rat_4BOU_TM4</v>
      </c>
      <c r="B238" s="45" t="s">
        <v>234</v>
      </c>
      <c r="C238" s="45" t="s">
        <v>239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1223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1223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1374</v>
      </c>
      <c r="C240" s="45" t="s">
        <v>294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1223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1374</v>
      </c>
      <c r="C241" s="45" t="s">
        <v>282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1223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1374</v>
      </c>
      <c r="C242" s="45" t="s">
        <v>283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1223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1375</v>
      </c>
      <c r="C243" s="45" t="s">
        <v>294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1223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1375</v>
      </c>
      <c r="C244" s="45" t="s">
        <v>284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1223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294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1223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274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1223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294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1223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285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1223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294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1223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287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1223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291</v>
      </c>
      <c r="C251" s="45" t="s">
        <v>294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1223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291</v>
      </c>
      <c r="C252" s="45" t="s">
        <v>290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1223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294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1223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242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1223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294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1223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1249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1223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251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1223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294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1223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271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1223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275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1223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272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1223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294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1223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253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1223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294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1223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270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1223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1227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259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1223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294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1223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262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1223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294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1223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252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1223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294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1223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1221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1230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1223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1233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1223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273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1223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294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1223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267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1223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257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1223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277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1223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268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1223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269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1223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294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1223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260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1223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294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1223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265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1223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294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1223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288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1223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1237</v>
      </c>
      <c r="C287" s="45" t="s">
        <v>294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1223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1237</v>
      </c>
      <c r="C288" s="45" t="s">
        <v>254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1223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294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1223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263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1223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1227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1368</v>
      </c>
      <c r="C291" s="45" t="s">
        <v>294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1223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1368</v>
      </c>
      <c r="C292" s="45" t="s">
        <v>241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1223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294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1223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240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1223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1223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1227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294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1223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289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1223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294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1223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248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1223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249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1223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250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1223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294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1223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264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1223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294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1223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281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1223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294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1223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NTR1_rat_4BOU_TM1</v>
      </c>
      <c r="B307" s="45" t="s">
        <v>234</v>
      </c>
      <c r="C307" s="45" t="s">
        <v>239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1223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1223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294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1223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279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1223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255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1223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294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1223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280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1223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294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1223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256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1223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276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1223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1373</v>
      </c>
      <c r="C317" s="45" t="s">
        <v>294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1223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1373</v>
      </c>
      <c r="C318" s="45" t="s">
        <v>258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1223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244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1223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245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1223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294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1223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294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1223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246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1223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246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1223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291</v>
      </c>
      <c r="C325" s="45" t="s">
        <v>294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1223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291</v>
      </c>
      <c r="C326" s="45" t="s">
        <v>290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1223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1374</v>
      </c>
      <c r="C327" s="45" t="s">
        <v>294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1223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1374</v>
      </c>
      <c r="C328" s="45" t="s">
        <v>282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1223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1374</v>
      </c>
      <c r="C329" s="45" t="s">
        <v>283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1223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1375</v>
      </c>
      <c r="C330" s="45" t="s">
        <v>294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1223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1375</v>
      </c>
      <c r="C331" s="45" t="s">
        <v>284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1223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294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1223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274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1223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294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1223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242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1223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294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1223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285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1223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294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1223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286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1223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294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1223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278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1223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247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1223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294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1223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287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1223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294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1221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1249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1221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251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1221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294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1221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261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1221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294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1221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271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1221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275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1221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272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1221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294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1221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253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1221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294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1221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270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1221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259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1221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294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1221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262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1221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294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1221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252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1221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294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1221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1230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1221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1233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1221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273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1221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294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1221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267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1221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257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1221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277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1221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268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1221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269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1221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294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1221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260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1221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294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1221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265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1221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294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1221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288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1221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1237</v>
      </c>
      <c r="C379" s="45" t="s">
        <v>294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1221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1237</v>
      </c>
      <c r="C380" s="45" t="s">
        <v>254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1221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294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1221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263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1221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1368</v>
      </c>
      <c r="C383" s="45" t="s">
        <v>294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1221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1368</v>
      </c>
      <c r="C384" s="45" t="s">
        <v>241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1221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294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1221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240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1221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1221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294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1221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289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1221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294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1221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248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1221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249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1221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250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1221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294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1221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264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1221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294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1221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281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1221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294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1221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NTR1_rat_4BOU_ICL1</v>
      </c>
      <c r="B399" s="45" t="s">
        <v>234</v>
      </c>
      <c r="C399" s="45" t="s">
        <v>239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1221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1367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1221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1367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294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1221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279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1221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255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1221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294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1221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280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1221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294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1221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256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1221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276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1221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1373</v>
      </c>
      <c r="C409" s="45" t="s">
        <v>294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1221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1373</v>
      </c>
      <c r="C410" s="45" t="s">
        <v>258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1221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244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1221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245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1221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294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1221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294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1221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246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1221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246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1221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291</v>
      </c>
      <c r="C417" s="45" t="s">
        <v>294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1221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291</v>
      </c>
      <c r="C418" s="45" t="s">
        <v>290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1221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1374</v>
      </c>
      <c r="C419" s="45" t="s">
        <v>294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1221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1374</v>
      </c>
      <c r="C420" s="45" t="s">
        <v>282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1221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1374</v>
      </c>
      <c r="C421" s="45" t="s">
        <v>283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1221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1375</v>
      </c>
      <c r="C422" s="45" t="s">
        <v>294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1221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1375</v>
      </c>
      <c r="C423" s="45" t="s">
        <v>284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1221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294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274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294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242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294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1221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285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1221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294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1221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286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1221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294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1223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278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1223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247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1223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294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1221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287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1221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294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1223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260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1223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294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1223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265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1223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294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1223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288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1223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1237</v>
      </c>
      <c r="C443" s="45" t="s">
        <v>294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1223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1237</v>
      </c>
      <c r="C444" s="45" t="s">
        <v>254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1223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1368</v>
      </c>
      <c r="C445" s="45" t="s">
        <v>294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1223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1368</v>
      </c>
      <c r="C446" s="45" t="s">
        <v>241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1223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294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1223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240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1223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1223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294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1223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289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1223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294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1223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248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1223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249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1223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250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1223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294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1223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281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1223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1223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294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1223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279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1223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255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1223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294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1223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280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1223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294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1223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256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1223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276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1223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1373</v>
      </c>
      <c r="C467" s="45" t="s">
        <v>294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1223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1373</v>
      </c>
      <c r="C468" s="45" t="s">
        <v>258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1223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294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1223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274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1223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294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1223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242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1223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294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1223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285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1223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294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1223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286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1223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294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1223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278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1223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247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1223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294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1223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287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1223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294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1249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251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294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261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294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253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294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270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259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294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262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294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252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294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1230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1233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273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294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267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257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277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268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269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294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260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294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265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294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1223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288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1223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1237</v>
      </c>
      <c r="C512" s="45" t="s">
        <v>294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1237</v>
      </c>
      <c r="C513" s="45" t="s">
        <v>254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294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263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1368</v>
      </c>
      <c r="C516" s="45" t="s">
        <v>294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1368</v>
      </c>
      <c r="C517" s="45" t="s">
        <v>241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294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240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294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289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294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248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249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250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294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264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294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NTR1_rat_4BOU_ECL1</v>
      </c>
      <c r="B530" s="45" t="s">
        <v>234</v>
      </c>
      <c r="C530" s="45" t="s">
        <v>239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294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279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255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294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280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294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256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276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1373</v>
      </c>
      <c r="C540" s="45" t="s">
        <v>294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1373</v>
      </c>
      <c r="C541" s="45" t="s">
        <v>258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244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245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294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294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246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246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291</v>
      </c>
      <c r="C548" s="45" t="s">
        <v>294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291</v>
      </c>
      <c r="C549" s="45" t="s">
        <v>290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1374</v>
      </c>
      <c r="C550" s="45" t="s">
        <v>294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1374</v>
      </c>
      <c r="C551" s="45" t="s">
        <v>282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1374</v>
      </c>
      <c r="C552" s="45" t="s">
        <v>283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1375</v>
      </c>
      <c r="C553" s="45" t="s">
        <v>294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1375</v>
      </c>
      <c r="C554" s="45" t="s">
        <v>284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294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274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294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242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294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285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294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278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247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294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287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294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1223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1249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1223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251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1223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294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1223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261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1223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294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1223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271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1223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275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1223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272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1223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294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1223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253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1223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294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1223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270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1223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259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1223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294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1223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262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1223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294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1223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252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1223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294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1223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1230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1223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1233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1223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273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1223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294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1223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267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1223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257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1223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277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1223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268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1223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269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1223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294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1223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260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1223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294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1223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265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1223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294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1223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288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1223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1237</v>
      </c>
      <c r="C600" s="45" t="s">
        <v>294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1223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1237</v>
      </c>
      <c r="C601" s="45" t="s">
        <v>254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1223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294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1223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263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1223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1368</v>
      </c>
      <c r="C604" s="45" t="s">
        <v>294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1223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1368</v>
      </c>
      <c r="C605" s="45" t="s">
        <v>241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1223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294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1223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240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1223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1223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294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1223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289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1223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294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1223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248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1223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249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1223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250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1223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294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1223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264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1223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294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1223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281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1223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294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1223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NTR1_rat_4BOU_TM3</v>
      </c>
      <c r="B620" s="45" t="s">
        <v>234</v>
      </c>
      <c r="C620" s="45" t="s">
        <v>239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1223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1223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294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1223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279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1223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255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1223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294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1223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280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1223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294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1223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256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1223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276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1223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1373</v>
      </c>
      <c r="C630" s="45" t="s">
        <v>294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1223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1373</v>
      </c>
      <c r="C631" s="45" t="s">
        <v>258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1223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244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1223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245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1223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294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1223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294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1223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246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1223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246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1223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291</v>
      </c>
      <c r="C638" s="45" t="s">
        <v>294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1223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291</v>
      </c>
      <c r="C639" s="45" t="s">
        <v>290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1223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1374</v>
      </c>
      <c r="C640" s="45" t="s">
        <v>294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1223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1374</v>
      </c>
      <c r="C641" s="45" t="s">
        <v>282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1223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1374</v>
      </c>
      <c r="C642" s="45" t="s">
        <v>283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1223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1375</v>
      </c>
      <c r="C643" s="45" t="s">
        <v>294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1223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1375</v>
      </c>
      <c r="C644" s="45" t="s">
        <v>284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1223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294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1223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274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1223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294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1223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242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1223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294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1223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285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1223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294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1223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286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1223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294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1223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278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1223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247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1223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294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1223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287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1223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294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1223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1249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1223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251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1223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294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1223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261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1223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1228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294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1223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271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1223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275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1223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272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1223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294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1223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253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1223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294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1223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270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1223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259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1223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294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1223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262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1223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294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1223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252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1223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294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1223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1230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1223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1233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1223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273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1223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294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1223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267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1223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257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1223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277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1223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268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1223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269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1223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294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1223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260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1223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294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1223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265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1223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294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288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1237</v>
      </c>
      <c r="C692" s="45" t="s">
        <v>294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1223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1237</v>
      </c>
      <c r="C693" s="45" t="s">
        <v>254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1223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294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1223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263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1223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1368</v>
      </c>
      <c r="C696" s="45" t="s">
        <v>294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1223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1368</v>
      </c>
      <c r="C697" s="45" t="s">
        <v>241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1223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294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240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294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289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294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248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249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250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294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1223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264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1223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294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281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294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1223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NTR1_rat_4BOU_ICL2</v>
      </c>
      <c r="B712" s="45" t="s">
        <v>234</v>
      </c>
      <c r="C712" s="45" t="s">
        <v>239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1223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1223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294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1223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279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1223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255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1223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294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1223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280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1223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294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1223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256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1223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276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1223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1373</v>
      </c>
      <c r="C722" s="45" t="s">
        <v>294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1223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1373</v>
      </c>
      <c r="C723" s="45" t="s">
        <v>258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1223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1367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244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1223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245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1223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294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1223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294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1223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246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1223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246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1223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291</v>
      </c>
      <c r="C730" s="45" t="s">
        <v>294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1223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291</v>
      </c>
      <c r="C731" s="45" t="s">
        <v>243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1223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1374</v>
      </c>
      <c r="C732" s="45" t="s">
        <v>294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1374</v>
      </c>
      <c r="C733" s="45" t="s">
        <v>282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1374</v>
      </c>
      <c r="C734" s="45" t="s">
        <v>283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1375</v>
      </c>
      <c r="C735" s="45" t="s">
        <v>294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1375</v>
      </c>
      <c r="C736" s="45" t="s">
        <v>284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1227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294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1223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274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1223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1227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294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1223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242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1223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1227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294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1223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285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1223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1227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294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286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294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278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247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294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287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294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1223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1249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1223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251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1223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294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1223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271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1223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275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1223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272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1223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294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1223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253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1223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294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1223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270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1223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259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1223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294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1223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262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1223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294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1223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252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1223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294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1223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1230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1223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1233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1223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273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1223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294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1223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267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1223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257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1223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277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1223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268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1223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269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1223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1368</v>
      </c>
      <c r="C776" s="45" t="s">
        <v>294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1223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1368</v>
      </c>
      <c r="C777" s="45" t="s">
        <v>241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1223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294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1223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240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1223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1223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294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1223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289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1223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294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1223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248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1223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249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1223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250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1223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294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1223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281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1223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294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1223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279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1223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255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1223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294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1223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280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1223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294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1223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256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1223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276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1223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1373</v>
      </c>
      <c r="C797" s="45" t="s">
        <v>294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1223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1373</v>
      </c>
      <c r="C798" s="45" t="s">
        <v>258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1223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244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1223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245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1223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294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1223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294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1223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246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1223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246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1223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294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1223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286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1223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294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1223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278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1223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247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1223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294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1249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1227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251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1227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294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261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1227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294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271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275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272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294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253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294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270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259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294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262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294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252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294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1305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1230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1305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1233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1305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273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1305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294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1305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267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1305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257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1305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277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1305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1227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268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1305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269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1305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294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260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1227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294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265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294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288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1237</v>
      </c>
      <c r="C844" s="45" t="s">
        <v>294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1237</v>
      </c>
      <c r="C845" s="45" t="s">
        <v>254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294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263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1368</v>
      </c>
      <c r="C848" s="45" t="s">
        <v>294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1368</v>
      </c>
      <c r="C849" s="45" t="s">
        <v>241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294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240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1227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294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289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294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248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249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1227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250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1227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294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264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1227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294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281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294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NTR1_rat_4BOU_ECL2</v>
      </c>
      <c r="B864" s="45" t="s">
        <v>234</v>
      </c>
      <c r="C864" s="45" t="s">
        <v>239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294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279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255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294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280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294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256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276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1373</v>
      </c>
      <c r="C874" s="45" t="s">
        <v>294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1373</v>
      </c>
      <c r="C875" s="45" t="s">
        <v>258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244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245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294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294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246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246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291</v>
      </c>
      <c r="C882" s="45" t="s">
        <v>294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291</v>
      </c>
      <c r="C883" s="45" t="s">
        <v>290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1374</v>
      </c>
      <c r="C884" s="45" t="s">
        <v>294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1374</v>
      </c>
      <c r="C885" s="45" t="s">
        <v>282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1374</v>
      </c>
      <c r="C886" s="45" t="s">
        <v>283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1375</v>
      </c>
      <c r="C887" s="45" t="s">
        <v>294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1375</v>
      </c>
      <c r="C888" s="45" t="s">
        <v>284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1227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294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274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294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242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294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285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294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286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294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278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247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294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287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294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1223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288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1223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294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1223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240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1223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1223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294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1223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289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1223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294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1223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248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1223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249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1223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250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1223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294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1223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281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1223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294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1223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NTR1_rat_4BOU_TM5</v>
      </c>
      <c r="B916" s="45" t="s">
        <v>234</v>
      </c>
      <c r="C916" s="45" t="s">
        <v>239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1223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1223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294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1223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242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1223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294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1223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285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1223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294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1223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286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1223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294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1223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1249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1223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251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1223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294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1223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261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1223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294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1223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271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1223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275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1223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272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1223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294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1223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253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1223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294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1223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270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1223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259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1223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294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1223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262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1223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294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1223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252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1223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294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1223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1230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1223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1233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1223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273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1223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294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1223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267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1223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257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1223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277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1223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1227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268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1223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1227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269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1223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294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1223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260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1223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294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1223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265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1223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294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1223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288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1223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1237</v>
      </c>
      <c r="C958" s="45" t="s">
        <v>294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1223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1237</v>
      </c>
      <c r="C959" s="45" t="s">
        <v>254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1223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294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1223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263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1223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294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1223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240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1223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1223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294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1223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289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1223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294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1223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248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1223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249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1223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250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1223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294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1223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264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1223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294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1223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281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1223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294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1223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NTR1_rat_4BOU_TM6</v>
      </c>
      <c r="B976" s="45" t="s">
        <v>234</v>
      </c>
      <c r="C976" s="45" t="s">
        <v>239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1223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1223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294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1223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279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1223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255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1223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294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1223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280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1223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294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1223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256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1223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276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1223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1373</v>
      </c>
      <c r="C986" s="45" t="s">
        <v>294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1223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1373</v>
      </c>
      <c r="C987" s="45" t="s">
        <v>258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1223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244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1223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245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1223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294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1223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294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1223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246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1223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246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1223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291</v>
      </c>
      <c r="C994" s="45" t="s">
        <v>294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1223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K</v>
      </c>
      <c r="L994" s="45">
        <f>VLOOKUP(B994,'NonXtal_SegEnds_Prot#'!A:AL,30,FALSE)</f>
        <v>244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KELRKAQAGANAEMRLAKISIVIVSQFLLSWS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291</v>
      </c>
      <c r="C995" s="45" t="s">
        <v>290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1223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K</v>
      </c>
      <c r="L995" s="45">
        <f>VLOOKUP(B995,'NonXtal_SegEnds_Prot#'!A:AL,30,FALSE)</f>
        <v>244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KELRKAQAGANAEMRLAKISIVIVSQFLLSWS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1374</v>
      </c>
      <c r="C996" s="45" t="s">
        <v>294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1223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1374</v>
      </c>
      <c r="C997" s="45" t="s">
        <v>282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1223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1374</v>
      </c>
      <c r="C998" s="45" t="s">
        <v>283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1223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1375</v>
      </c>
      <c r="C999" s="45" t="s">
        <v>294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1223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1375</v>
      </c>
      <c r="C1000" s="45" t="s">
        <v>284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1223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294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1223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242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1223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294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1223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286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1223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294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1223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278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1223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247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1223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294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1223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287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1223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1223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294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1223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278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1223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247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1223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294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1223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1249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1223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251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1223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294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1223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261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1223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294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1223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271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1223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275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1223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272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1223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294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1223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253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1223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294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1223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270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1223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259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1223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294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1223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262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1223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294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1223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252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1223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294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1223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1230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1223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1233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1223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273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1223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294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1223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267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1223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257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1223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277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1223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268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1223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269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1223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294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1223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260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1223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294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1223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265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1223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294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1223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288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1223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1367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1237</v>
      </c>
      <c r="C1048" s="45" t="s">
        <v>294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1223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1237</v>
      </c>
      <c r="C1049" s="45" t="s">
        <v>254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1223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294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1223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263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1223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1368</v>
      </c>
      <c r="C1052" s="45" t="s">
        <v>294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1223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1368</v>
      </c>
      <c r="C1053" s="45" t="s">
        <v>241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1223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1367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294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1223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240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1223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1223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294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1223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289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1223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294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1223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248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1223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249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1223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250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1223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294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1223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264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1223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294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1223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281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1223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294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1223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NTR1_rat_4BOU_H8</v>
      </c>
      <c r="B1068" s="45" t="s">
        <v>234</v>
      </c>
      <c r="C1068" s="45" t="s">
        <v>239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1223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1223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294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1223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279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1223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255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1223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294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1223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280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1223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294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1223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256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1223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276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1223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1373</v>
      </c>
      <c r="C1078" s="45" t="s">
        <v>294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1223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1373</v>
      </c>
      <c r="C1079" s="45" t="s">
        <v>258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1223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1227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244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1223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245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1223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294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1223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294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1223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246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1223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246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1223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291</v>
      </c>
      <c r="C1086" s="45" t="s">
        <v>294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1223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291</v>
      </c>
      <c r="C1087" s="45" t="s">
        <v>290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1223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1374</v>
      </c>
      <c r="C1088" s="45" t="s">
        <v>294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1223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1374</v>
      </c>
      <c r="C1089" s="45" t="s">
        <v>282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1223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1374</v>
      </c>
      <c r="C1090" s="45" t="s">
        <v>283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1223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1375</v>
      </c>
      <c r="C1091" s="45" t="s">
        <v>294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1223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1375</v>
      </c>
      <c r="C1092" s="45" t="s">
        <v>284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1223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294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1223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274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1223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1367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294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1223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242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1223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1367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294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1223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285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1223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1367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294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1223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286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1223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294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1223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278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1223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247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1223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294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1223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287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1223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1345</v>
      </c>
      <c r="C1" s="37" t="s">
        <v>205</v>
      </c>
      <c r="D1" s="37" t="s">
        <v>204</v>
      </c>
      <c r="E1" s="37" t="s">
        <v>1316</v>
      </c>
      <c r="F1" s="37" t="s">
        <v>1314</v>
      </c>
      <c r="G1" s="37" t="s">
        <v>1331</v>
      </c>
      <c r="H1" s="37" t="s">
        <v>1315</v>
      </c>
      <c r="I1" s="43" t="s">
        <v>1362</v>
      </c>
      <c r="J1" s="44" t="s">
        <v>1354</v>
      </c>
      <c r="K1" s="41" t="s">
        <v>1352</v>
      </c>
      <c r="L1" s="41" t="s">
        <v>1351</v>
      </c>
      <c r="M1" s="41" t="s">
        <v>1353</v>
      </c>
      <c r="N1" s="41" t="s">
        <v>1355</v>
      </c>
      <c r="O1" s="41" t="s">
        <v>1323</v>
      </c>
      <c r="P1" s="37" t="s">
        <v>1220</v>
      </c>
      <c r="Q1" s="37" t="s">
        <v>1318</v>
      </c>
      <c r="R1" s="37" t="s">
        <v>1346</v>
      </c>
      <c r="S1" s="38" t="s">
        <v>1342</v>
      </c>
      <c r="T1" s="39" t="s">
        <v>1341</v>
      </c>
      <c r="U1" s="37" t="s">
        <v>1350</v>
      </c>
      <c r="V1" s="38" t="s">
        <v>1348</v>
      </c>
      <c r="W1" s="56" t="s">
        <v>1349</v>
      </c>
      <c r="X1" s="37" t="s">
        <v>1325</v>
      </c>
    </row>
    <row r="2" spans="1:24" ht="17" thickTop="1" x14ac:dyDescent="0.2">
      <c r="A2" s="12" t="s">
        <v>1356</v>
      </c>
      <c r="B2" s="12" t="str">
        <f t="shared" ref="B2:B10" si="0">CONCATENATE(C2,"_",D2)</f>
        <v>US28_hcmva_4XT1</v>
      </c>
      <c r="C2" s="2" t="s">
        <v>230</v>
      </c>
      <c r="D2" s="12" t="s">
        <v>1339</v>
      </c>
      <c r="E2" s="12" t="s">
        <v>1321</v>
      </c>
      <c r="F2" s="12" t="s">
        <v>1327</v>
      </c>
      <c r="G2" s="12" t="s">
        <v>1340</v>
      </c>
      <c r="H2" s="12" t="s">
        <v>1330</v>
      </c>
      <c r="I2" s="34" t="s">
        <v>1359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1343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1338</v>
      </c>
    </row>
    <row r="3" spans="1:24" x14ac:dyDescent="0.2">
      <c r="B3" s="3" t="str">
        <f t="shared" si="0"/>
        <v>FFAR1_human_4PHU</v>
      </c>
      <c r="C3" s="2" t="s">
        <v>1368</v>
      </c>
      <c r="D3" s="32" t="s">
        <v>241</v>
      </c>
      <c r="E3" s="3" t="s">
        <v>1320</v>
      </c>
      <c r="F3" s="3" t="s">
        <v>129</v>
      </c>
      <c r="G3" s="3" t="s">
        <v>1369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1358</v>
      </c>
      <c r="B4" s="12" t="str">
        <f t="shared" si="0"/>
        <v>OPRM_mouse_5C1M</v>
      </c>
      <c r="C4" s="12" t="s">
        <v>232</v>
      </c>
      <c r="D4" s="3" t="s">
        <v>276</v>
      </c>
      <c r="E4" s="12" t="s">
        <v>1321</v>
      </c>
      <c r="F4" s="12" t="s">
        <v>1327</v>
      </c>
      <c r="G4" s="12" t="s">
        <v>1340</v>
      </c>
      <c r="H4" s="12" t="s">
        <v>1330</v>
      </c>
      <c r="I4" s="34" t="s">
        <v>1359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1343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1338</v>
      </c>
    </row>
    <row r="5" spans="1:24" x14ac:dyDescent="0.2">
      <c r="A5" s="12" t="s">
        <v>1357</v>
      </c>
      <c r="B5" s="12" t="str">
        <f t="shared" si="0"/>
        <v>OPSD_bovin_3DQB</v>
      </c>
      <c r="C5" s="12" t="s">
        <v>231</v>
      </c>
      <c r="D5" s="30" t="s">
        <v>245</v>
      </c>
      <c r="E5" s="12" t="s">
        <v>1321</v>
      </c>
      <c r="F5" s="30" t="s">
        <v>148</v>
      </c>
      <c r="G5" s="12" t="s">
        <v>1340</v>
      </c>
      <c r="H5" s="12" t="s">
        <v>1330</v>
      </c>
      <c r="I5" s="34" t="s">
        <v>1359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1333</v>
      </c>
      <c r="P5" s="31" t="s">
        <v>1219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1241</v>
      </c>
      <c r="E6" s="12" t="s">
        <v>1320</v>
      </c>
      <c r="F6" s="30"/>
      <c r="I6" s="59" t="s">
        <v>1359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271</v>
      </c>
      <c r="E7" s="3" t="s">
        <v>1321</v>
      </c>
      <c r="F7" s="3" t="s">
        <v>1317</v>
      </c>
      <c r="G7" s="12" t="s">
        <v>1340</v>
      </c>
      <c r="H7" s="3" t="s">
        <v>1330</v>
      </c>
      <c r="I7" s="35" t="s">
        <v>1360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1333</v>
      </c>
      <c r="P7" s="33" t="s">
        <v>1218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1326</v>
      </c>
    </row>
    <row r="8" spans="1:24" x14ac:dyDescent="0.2">
      <c r="B8" s="12" t="str">
        <f t="shared" si="0"/>
        <v>OPSD_todpa_2Z73</v>
      </c>
      <c r="C8" s="2" t="s">
        <v>291</v>
      </c>
      <c r="D8" s="30" t="s">
        <v>290</v>
      </c>
      <c r="E8" s="12" t="s">
        <v>1320</v>
      </c>
      <c r="F8" s="3" t="s">
        <v>129</v>
      </c>
      <c r="G8" s="3" t="s">
        <v>1363</v>
      </c>
      <c r="I8" s="34" t="s">
        <v>1359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1332</v>
      </c>
      <c r="P8" s="33"/>
      <c r="Q8" s="35"/>
      <c r="R8" s="12" t="str">
        <f>VLOOKUP(CONCATENATE(B8,"_TM5"),Orig!A:P,15,FALSE)</f>
        <v>K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244</v>
      </c>
      <c r="V8" s="16">
        <f>VLOOKUP(CONCATENATE(B8,"_TM6"),Orig!A:P,12,FALSE)-VLOOKUP(CONCATENATE(B8,"_TM6"),Orig!A:P,13,FALSE)+50</f>
        <v>18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294</v>
      </c>
      <c r="E9" s="3" t="s">
        <v>1321</v>
      </c>
      <c r="F9" s="3" t="s">
        <v>94</v>
      </c>
      <c r="G9" s="3" t="s">
        <v>1364</v>
      </c>
      <c r="H9" s="3" t="s">
        <v>1330</v>
      </c>
      <c r="I9" s="35" t="s">
        <v>1360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1332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1233</v>
      </c>
      <c r="E10" s="12" t="s">
        <v>1320</v>
      </c>
      <c r="F10" s="3" t="s">
        <v>129</v>
      </c>
      <c r="G10" s="3" t="s">
        <v>1340</v>
      </c>
      <c r="I10" s="34" t="s">
        <v>1361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1332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1335</v>
      </c>
      <c r="E11" s="12" t="s">
        <v>1320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1335</v>
      </c>
      <c r="E12" s="12" t="s">
        <v>1320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294</v>
      </c>
      <c r="E13" s="12" t="s">
        <v>1320</v>
      </c>
      <c r="F13" s="12" t="s">
        <v>129</v>
      </c>
      <c r="G13" s="3" t="s">
        <v>1370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257</v>
      </c>
      <c r="E14" s="12" t="s">
        <v>1321</v>
      </c>
      <c r="F14" s="12" t="s">
        <v>1327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1334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1328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268</v>
      </c>
      <c r="E15" s="12" t="s">
        <v>1321</v>
      </c>
      <c r="F15" s="12" t="s">
        <v>1327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1334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1328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269</v>
      </c>
      <c r="E16" s="12" t="s">
        <v>1321</v>
      </c>
      <c r="F16" s="12" t="s">
        <v>1327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1334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1328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1335</v>
      </c>
      <c r="E17" s="12" t="s">
        <v>1320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1329</v>
      </c>
      <c r="E18" s="12" t="s">
        <v>1321</v>
      </c>
      <c r="F18" s="12" t="s">
        <v>1327</v>
      </c>
      <c r="H18" s="12" t="s">
        <v>1330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1328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1253</v>
      </c>
      <c r="E19" s="12" t="s">
        <v>1321</v>
      </c>
      <c r="F19" s="12" t="s">
        <v>1327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1328</v>
      </c>
    </row>
    <row r="20" spans="2:24" x14ac:dyDescent="0.2">
      <c r="B20" s="12" t="str">
        <f t="shared" si="5"/>
        <v>OPRM_human_most</v>
      </c>
      <c r="C20" s="12" t="s">
        <v>1313</v>
      </c>
      <c r="D20" s="12" t="s">
        <v>1335</v>
      </c>
      <c r="E20" s="12" t="s">
        <v>1320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1217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1322</v>
      </c>
      <c r="E21" s="12" t="s">
        <v>1320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1222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1324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1347</v>
      </c>
      <c r="E22" s="12" t="s">
        <v>1320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1333</v>
      </c>
      <c r="P22" s="31" t="s">
        <v>1219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1337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1336</v>
      </c>
      <c r="E23" s="12" t="s">
        <v>1320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1333</v>
      </c>
      <c r="P23" s="31" t="s">
        <v>1219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1337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1235</v>
      </c>
      <c r="E24" s="12" t="s">
        <v>1321</v>
      </c>
      <c r="F24" s="12" t="s">
        <v>1317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1333</v>
      </c>
      <c r="P24" s="31" t="s">
        <v>1218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1326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275</v>
      </c>
      <c r="E25" s="12" t="s">
        <v>1320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1218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1319</v>
      </c>
      <c r="E26" s="12" t="s">
        <v>1320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1218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1267</v>
      </c>
      <c r="C1" s="11" t="s">
        <v>1268</v>
      </c>
      <c r="D1" s="11" t="s">
        <v>1284</v>
      </c>
      <c r="E1" s="11" t="s">
        <v>1285</v>
      </c>
      <c r="F1" s="11" t="s">
        <v>1269</v>
      </c>
      <c r="G1" s="11" t="s">
        <v>1270</v>
      </c>
      <c r="H1" s="11" t="s">
        <v>1286</v>
      </c>
      <c r="I1" s="11" t="s">
        <v>1287</v>
      </c>
      <c r="J1" s="11" t="s">
        <v>1271</v>
      </c>
      <c r="K1" s="11" t="s">
        <v>1272</v>
      </c>
      <c r="L1" s="11" t="s">
        <v>1299</v>
      </c>
      <c r="M1" s="11" t="s">
        <v>1300</v>
      </c>
      <c r="N1" s="11" t="s">
        <v>1273</v>
      </c>
      <c r="O1" s="11" t="s">
        <v>1274</v>
      </c>
      <c r="P1" s="11" t="s">
        <v>1302</v>
      </c>
      <c r="Q1" s="11" t="s">
        <v>1303</v>
      </c>
      <c r="R1" s="11" t="s">
        <v>1275</v>
      </c>
      <c r="S1" s="11" t="s">
        <v>1276</v>
      </c>
      <c r="T1" s="11" t="s">
        <v>1277</v>
      </c>
      <c r="U1" s="11" t="s">
        <v>1278</v>
      </c>
      <c r="V1" s="11" t="s">
        <v>1279</v>
      </c>
      <c r="W1" s="11" t="s">
        <v>1280</v>
      </c>
      <c r="X1" s="11" t="s">
        <v>1281</v>
      </c>
      <c r="Y1" s="11" t="s">
        <v>1282</v>
      </c>
    </row>
    <row r="2" spans="1:25" x14ac:dyDescent="0.2">
      <c r="A2" s="1" t="s">
        <v>1557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2016-09-12T09:01:18Z</dcterms:modified>
  <cp:category/>
  <cp:contentStatus/>
</cp:coreProperties>
</file>