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80" yWindow="460" windowWidth="3262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'SegEnds_Xtal_Prot#'!$A$1:$CT$281</definedName>
    <definedName name="GPCRdb_alignment" localSheetId="8">Seqs!$A$413:$B$414</definedName>
    <definedName name="human_GPCR_fasta.fas" localSheetId="8">Seqs!$A$8:$B$411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'SegEnds_Xtal_Prot#'!$A$1:$CT$281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2" i="9"/>
  <c r="AL58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3" i="4"/>
  <c r="U49" i="2"/>
  <c r="U303" i="4"/>
  <c r="AD303" i="5"/>
  <c r="T49" i="2"/>
  <c r="T303" i="4"/>
  <c r="AC303" i="5"/>
  <c r="E8" i="13"/>
  <c r="C8" i="13"/>
  <c r="B8" i="13"/>
  <c r="A7" i="13"/>
  <c r="H7" i="13"/>
  <c r="G7" i="13"/>
  <c r="F7" i="13"/>
  <c r="B308" i="4"/>
  <c r="U47" i="2"/>
  <c r="U308" i="4"/>
  <c r="AD308" i="5"/>
  <c r="T47" i="2"/>
  <c r="T308" i="4"/>
  <c r="AC308" i="5"/>
  <c r="E7" i="13"/>
  <c r="C7" i="13"/>
  <c r="B7" i="13"/>
  <c r="A6" i="13"/>
  <c r="H6" i="13"/>
  <c r="G6" i="13"/>
  <c r="F6" i="13"/>
  <c r="B306" i="4"/>
  <c r="U48" i="2"/>
  <c r="U306" i="4"/>
  <c r="AD306" i="5"/>
  <c r="T48" i="2"/>
  <c r="T306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42" i="4"/>
  <c r="C59" i="2"/>
  <c r="C242" i="4"/>
  <c r="B216" i="4"/>
  <c r="C216" i="4"/>
  <c r="C298" i="5"/>
  <c r="D23" i="2"/>
  <c r="D59" i="2"/>
  <c r="D242" i="4"/>
  <c r="D216" i="4"/>
  <c r="E298" i="5"/>
  <c r="H298" i="5"/>
  <c r="I298" i="5"/>
  <c r="K298" i="5"/>
  <c r="I23" i="2"/>
  <c r="I59" i="2"/>
  <c r="I242" i="4"/>
  <c r="I216" i="4"/>
  <c r="L298" i="5"/>
  <c r="J23" i="2"/>
  <c r="J59" i="2"/>
  <c r="J242" i="4"/>
  <c r="J216" i="4"/>
  <c r="N298" i="5"/>
  <c r="O298" i="5"/>
  <c r="L23" i="2"/>
  <c r="L59" i="2"/>
  <c r="L242" i="4"/>
  <c r="L216" i="4"/>
  <c r="Q298" i="5"/>
  <c r="M23" i="2"/>
  <c r="M59" i="2"/>
  <c r="M242" i="4"/>
  <c r="M216" i="4"/>
  <c r="R298" i="5"/>
  <c r="N23" i="2"/>
  <c r="N59" i="2"/>
  <c r="N242" i="4"/>
  <c r="N216" i="4"/>
  <c r="T298" i="5"/>
  <c r="O23" i="2"/>
  <c r="O59" i="2"/>
  <c r="O242" i="4"/>
  <c r="O216" i="4"/>
  <c r="U298" i="5"/>
  <c r="P23" i="2"/>
  <c r="P59" i="2"/>
  <c r="P242" i="4"/>
  <c r="P216" i="4"/>
  <c r="W298" i="5"/>
  <c r="Q23" i="2"/>
  <c r="Q59" i="2"/>
  <c r="Q242" i="4"/>
  <c r="Q216" i="4"/>
  <c r="X298" i="5"/>
  <c r="Z298" i="5"/>
  <c r="S23" i="2"/>
  <c r="S59" i="2"/>
  <c r="S242" i="4"/>
  <c r="S216" i="4"/>
  <c r="AA298" i="5"/>
  <c r="AI242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A6" i="3"/>
  <c r="G6" i="3"/>
  <c r="A7" i="3"/>
  <c r="G7" i="3"/>
  <c r="A8" i="3"/>
  <c r="G8" i="3"/>
  <c r="A9" i="3"/>
  <c r="G9" i="3"/>
  <c r="A10" i="3"/>
  <c r="G10" i="3"/>
  <c r="A11" i="3"/>
  <c r="G11" i="3"/>
  <c r="A12" i="3"/>
  <c r="G12" i="3"/>
  <c r="A13" i="3"/>
  <c r="G13" i="3"/>
  <c r="A14" i="3"/>
  <c r="G14" i="3"/>
  <c r="A15" i="3"/>
  <c r="G15" i="3"/>
  <c r="A16" i="3"/>
  <c r="G16" i="3"/>
  <c r="A17" i="3"/>
  <c r="G17" i="3"/>
  <c r="A18" i="3"/>
  <c r="G18" i="3"/>
  <c r="A19" i="3"/>
  <c r="G19" i="3"/>
  <c r="A20" i="3"/>
  <c r="G20" i="3"/>
  <c r="A21" i="3"/>
  <c r="G21" i="3"/>
  <c r="A22" i="3"/>
  <c r="G22" i="3"/>
  <c r="A23" i="3"/>
  <c r="G23" i="3"/>
  <c r="G24" i="3"/>
  <c r="A25" i="3"/>
  <c r="G25" i="3"/>
  <c r="A26" i="3"/>
  <c r="G26" i="3"/>
  <c r="A27" i="3"/>
  <c r="G27" i="3"/>
  <c r="A28" i="3"/>
  <c r="G28" i="3"/>
  <c r="A29" i="3"/>
  <c r="G29" i="3"/>
  <c r="A30" i="3"/>
  <c r="G30" i="3"/>
  <c r="A31" i="3"/>
  <c r="G31" i="3"/>
  <c r="A32" i="3"/>
  <c r="G32" i="3"/>
  <c r="A33" i="3"/>
  <c r="G33" i="3"/>
  <c r="A34" i="3"/>
  <c r="G34" i="3"/>
  <c r="A35" i="3"/>
  <c r="G35" i="3"/>
  <c r="A36" i="3"/>
  <c r="G36" i="3"/>
  <c r="A37" i="3"/>
  <c r="G37" i="3"/>
  <c r="T242" i="4" a="1"/>
  <c r="T242" i="4"/>
  <c r="AI216" i="4"/>
  <c r="T216" i="4" a="1"/>
  <c r="T216" i="4"/>
  <c r="AC298" i="5"/>
  <c r="AD298" i="5"/>
  <c r="AF298" i="5"/>
  <c r="AG298" i="5"/>
  <c r="X23" i="2"/>
  <c r="X59" i="2"/>
  <c r="X242" i="4"/>
  <c r="X216" i="4"/>
  <c r="AI298" i="5"/>
  <c r="Y23" i="2"/>
  <c r="Y59" i="2"/>
  <c r="Y242" i="4"/>
  <c r="Y216" i="4"/>
  <c r="AJ298" i="5"/>
  <c r="Z23" i="2"/>
  <c r="Z59" i="2"/>
  <c r="Z242" i="4"/>
  <c r="Z216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16" i="4"/>
  <c r="F23" i="2"/>
  <c r="F59" i="2"/>
  <c r="F216" i="4"/>
  <c r="R23" i="2"/>
  <c r="R59" i="2"/>
  <c r="R216" i="4"/>
  <c r="AA216" i="4"/>
  <c r="AB216" i="4"/>
  <c r="AC216" i="4"/>
  <c r="AD216" i="4"/>
  <c r="AE216" i="4"/>
  <c r="AF216" i="4"/>
  <c r="AG216" i="4"/>
  <c r="AH216" i="4"/>
  <c r="AJ216" i="4"/>
  <c r="AK216" i="4"/>
  <c r="AL216" i="4"/>
  <c r="G59" i="2"/>
  <c r="H59" i="2"/>
  <c r="K59" i="2"/>
  <c r="T59" i="2"/>
  <c r="U59" i="2"/>
  <c r="V59" i="2"/>
  <c r="W59" i="2"/>
  <c r="AA59" i="2"/>
  <c r="AB59" i="2"/>
  <c r="E58" i="2"/>
  <c r="B281" i="4"/>
  <c r="E281" i="4"/>
  <c r="F230" i="5"/>
  <c r="D58" i="2"/>
  <c r="D281" i="4"/>
  <c r="E230" i="5"/>
  <c r="AC59" i="2"/>
  <c r="I230" i="5"/>
  <c r="F58" i="2"/>
  <c r="F281" i="4"/>
  <c r="H230" i="5"/>
  <c r="AD59" i="2"/>
  <c r="AE59" i="2"/>
  <c r="H58" i="2"/>
  <c r="H281" i="4"/>
  <c r="K230" i="5"/>
  <c r="AF59" i="2"/>
  <c r="AG59" i="2"/>
  <c r="AH59" i="2"/>
  <c r="AI59" i="2"/>
  <c r="AJ59" i="2"/>
  <c r="AK59" i="2"/>
  <c r="M58" i="2"/>
  <c r="M281" i="4"/>
  <c r="R230" i="5"/>
  <c r="L58" i="2"/>
  <c r="L281" i="4"/>
  <c r="Q230" i="5"/>
  <c r="AL59" i="2"/>
  <c r="AM59" i="2"/>
  <c r="E411" i="9"/>
  <c r="F411" i="9"/>
  <c r="G411" i="9"/>
  <c r="H411" i="9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C124" i="7"/>
  <c r="D124" i="7"/>
  <c r="E124" i="7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B25" i="4"/>
  <c r="AB273" i="4"/>
  <c r="AB119" i="4"/>
  <c r="AB127" i="4"/>
  <c r="AB130" i="4"/>
  <c r="AB134" i="4"/>
  <c r="AB26" i="4"/>
  <c r="AB28" i="4"/>
  <c r="AB29" i="4"/>
  <c r="AB291" i="4"/>
  <c r="AB260" i="4"/>
  <c r="AB124" i="4"/>
  <c r="AB288" i="4"/>
  <c r="AB48" i="4"/>
  <c r="AB49" i="4"/>
  <c r="AB50" i="4"/>
  <c r="AB51" i="4"/>
  <c r="AB52" i="4"/>
  <c r="AB54" i="4"/>
  <c r="AB248" i="4"/>
  <c r="AB79" i="4"/>
  <c r="AB81" i="4"/>
  <c r="AB82" i="4"/>
  <c r="AB84" i="4"/>
  <c r="AB85" i="4"/>
  <c r="AB86" i="4"/>
  <c r="AB90" i="4"/>
  <c r="AB91" i="4"/>
  <c r="AB92" i="4"/>
  <c r="AB93" i="4"/>
  <c r="AB94" i="4"/>
  <c r="AB95" i="4"/>
  <c r="AB96" i="4"/>
  <c r="AB258" i="4"/>
  <c r="AB118" i="4"/>
  <c r="AB242" i="4"/>
  <c r="AB245" i="4"/>
  <c r="AB78" i="4"/>
  <c r="AB80" i="4"/>
  <c r="AB83" i="4"/>
  <c r="AB249" i="4"/>
  <c r="AB250" i="4"/>
  <c r="AB251" i="4"/>
  <c r="AB252" i="4"/>
  <c r="AB9" i="4"/>
  <c r="AB110" i="4"/>
  <c r="AB114" i="4"/>
  <c r="AB122" i="4"/>
  <c r="AB17" i="4"/>
  <c r="AB148" i="4"/>
  <c r="AB152" i="4"/>
  <c r="AB153" i="4"/>
  <c r="AB154" i="4"/>
  <c r="AB155" i="4"/>
  <c r="AB156" i="4"/>
  <c r="AB157" i="4"/>
  <c r="AB159" i="4"/>
  <c r="AB279" i="4"/>
  <c r="AB22" i="4"/>
  <c r="AB174" i="4"/>
  <c r="AB175" i="4"/>
  <c r="AB186" i="4"/>
  <c r="AB187" i="4"/>
  <c r="AB188" i="4"/>
  <c r="AB189" i="4"/>
  <c r="AB190" i="4"/>
  <c r="AB191" i="4"/>
  <c r="AB208" i="4"/>
  <c r="AB296" i="4"/>
  <c r="AB215" i="4"/>
  <c r="AB217" i="4"/>
  <c r="AB221" i="4"/>
  <c r="AB222" i="4"/>
  <c r="AB223" i="4"/>
  <c r="AB224" i="4"/>
  <c r="AB225" i="4"/>
  <c r="AB226" i="4"/>
  <c r="AB227" i="4"/>
  <c r="AB228" i="4"/>
  <c r="AB229" i="4"/>
  <c r="AB230" i="4"/>
  <c r="AB231" i="4"/>
  <c r="AB241" i="4"/>
  <c r="AB37" i="4"/>
  <c r="AB38" i="4"/>
  <c r="AB39" i="4"/>
  <c r="AB40" i="4"/>
  <c r="AB41" i="4"/>
  <c r="AB246" i="4"/>
  <c r="AB46" i="4"/>
  <c r="AB53" i="4"/>
  <c r="AB55" i="4"/>
  <c r="AB56" i="4"/>
  <c r="AB57" i="4"/>
  <c r="AB58" i="4"/>
  <c r="AB59" i="4"/>
  <c r="AB60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247" i="4"/>
  <c r="AB74" i="4"/>
  <c r="AB75" i="4"/>
  <c r="AB76" i="4"/>
  <c r="AB5" i="4"/>
  <c r="AB6" i="4"/>
  <c r="AB7" i="4"/>
  <c r="AB77" i="4"/>
  <c r="AB88" i="4"/>
  <c r="AB89" i="4"/>
  <c r="AB8" i="4"/>
  <c r="AB97" i="4"/>
  <c r="AB101" i="4"/>
  <c r="AB102" i="4"/>
  <c r="AB253" i="4"/>
  <c r="AB274" i="4"/>
  <c r="AB254" i="4"/>
  <c r="AB10" i="4"/>
  <c r="AB11" i="4"/>
  <c r="AB12" i="4"/>
  <c r="AB275" i="4"/>
  <c r="AB104" i="4"/>
  <c r="AB290" i="4"/>
  <c r="AB105" i="4"/>
  <c r="AB106" i="4"/>
  <c r="AB295" i="4"/>
  <c r="AB107" i="4"/>
  <c r="AB255" i="4"/>
  <c r="AB108" i="4"/>
  <c r="AB276" i="4"/>
  <c r="AB277" i="4"/>
  <c r="AB111" i="4"/>
  <c r="AB112" i="4"/>
  <c r="AB116" i="4"/>
  <c r="AB117" i="4"/>
  <c r="AB16" i="4"/>
  <c r="AB120" i="4"/>
  <c r="AB121" i="4"/>
  <c r="AB123" i="4"/>
  <c r="AB261" i="4"/>
  <c r="AB262" i="4"/>
  <c r="AB125" i="4"/>
  <c r="AB263" i="4"/>
  <c r="AB128" i="4"/>
  <c r="AB18" i="4"/>
  <c r="AB129" i="4"/>
  <c r="AB131" i="4"/>
  <c r="AB132" i="4"/>
  <c r="AB264" i="4"/>
  <c r="AB133" i="4"/>
  <c r="AB265" i="4"/>
  <c r="AB135" i="4"/>
  <c r="AB266" i="4"/>
  <c r="AB137" i="4"/>
  <c r="AB138" i="4"/>
  <c r="AB19" i="4"/>
  <c r="AB141" i="4"/>
  <c r="AB142" i="4"/>
  <c r="AB143" i="4"/>
  <c r="AB144" i="4"/>
  <c r="AB145" i="4"/>
  <c r="AB146" i="4"/>
  <c r="AB147" i="4"/>
  <c r="AB149" i="4"/>
  <c r="AB4" i="4"/>
  <c r="AB285" i="4"/>
  <c r="AB21" i="4"/>
  <c r="AB23" i="4"/>
  <c r="AB24" i="4"/>
  <c r="AB27" i="4"/>
  <c r="AB164" i="4"/>
  <c r="AB165" i="4"/>
  <c r="AB166" i="4"/>
  <c r="AB167" i="4"/>
  <c r="AB168" i="4"/>
  <c r="AB169" i="4"/>
  <c r="AB170" i="4"/>
  <c r="AB171" i="4"/>
  <c r="AB176" i="4"/>
  <c r="AB177" i="4"/>
  <c r="AB30" i="4"/>
  <c r="AB178" i="4"/>
  <c r="AB179" i="4"/>
  <c r="AB180" i="4"/>
  <c r="AB181" i="4"/>
  <c r="AB268" i="4"/>
  <c r="AB182" i="4"/>
  <c r="AB183" i="4"/>
  <c r="AB184" i="4"/>
  <c r="AB185" i="4"/>
  <c r="AB192" i="4"/>
  <c r="AB193" i="4"/>
  <c r="AB194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70" i="4"/>
  <c r="AB31" i="4"/>
  <c r="AB32" i="4"/>
  <c r="AB33" i="4"/>
  <c r="AB209" i="4"/>
  <c r="AB210" i="4"/>
  <c r="AB34" i="4"/>
  <c r="AB35" i="4"/>
  <c r="AB36" i="4"/>
  <c r="AB280" i="4"/>
  <c r="AB214" i="4"/>
  <c r="AB281" i="4"/>
  <c r="AB218" i="4"/>
  <c r="AB272" i="4"/>
  <c r="AB282" i="4"/>
  <c r="AB232" i="4"/>
  <c r="AB233" i="4"/>
  <c r="AB234" i="4"/>
  <c r="AB235" i="4"/>
  <c r="AB236" i="4"/>
  <c r="AB237" i="4"/>
  <c r="AB238" i="4"/>
  <c r="AB239" i="4"/>
  <c r="AB243" i="4"/>
  <c r="AB244" i="4"/>
  <c r="AB283" i="4"/>
  <c r="AB42" i="4"/>
  <c r="AB43" i="4"/>
  <c r="AB44" i="4"/>
  <c r="AB45" i="4"/>
  <c r="AB47" i="4"/>
  <c r="AB98" i="4"/>
  <c r="AB99" i="4"/>
  <c r="AB256" i="4"/>
  <c r="AB257" i="4"/>
  <c r="AB113" i="4"/>
  <c r="AB278" i="4"/>
  <c r="AB139" i="4"/>
  <c r="AB20" i="4"/>
  <c r="AB172" i="4"/>
  <c r="AB173" i="4"/>
  <c r="AB195" i="4"/>
  <c r="AB213" i="4"/>
  <c r="AB292" i="4"/>
  <c r="AB14" i="4"/>
  <c r="AB284" i="4"/>
  <c r="AB2" i="4"/>
  <c r="AB286" i="4"/>
  <c r="AB287" i="4"/>
  <c r="AB269" i="4"/>
  <c r="AB211" i="4"/>
  <c r="AB212" i="4"/>
  <c r="AB115" i="4"/>
  <c r="AB3" i="4"/>
  <c r="AB13" i="4"/>
  <c r="AB126" i="4"/>
  <c r="AB136" i="4"/>
  <c r="AB298" i="4"/>
  <c r="AB293" i="4"/>
  <c r="AB294" i="4"/>
  <c r="AB289" i="4"/>
  <c r="AB100" i="4"/>
  <c r="AB15" i="4"/>
  <c r="AB161" i="4"/>
  <c r="AB271" i="4"/>
  <c r="AB61" i="4"/>
  <c r="AB160" i="4"/>
  <c r="AB162" i="4"/>
  <c r="AB163" i="4"/>
  <c r="AB297" i="4"/>
  <c r="AB103" i="4"/>
  <c r="AB150" i="4"/>
  <c r="AB151" i="4"/>
  <c r="AB267" i="4"/>
  <c r="AB158" i="4"/>
  <c r="AB219" i="4"/>
  <c r="AB220" i="4"/>
  <c r="AB240" i="4"/>
  <c r="AB109" i="4"/>
  <c r="AB140" i="4"/>
  <c r="AB259" i="4"/>
  <c r="AB302" i="4"/>
  <c r="AB301" i="4"/>
  <c r="AB299" i="4"/>
  <c r="AB300" i="4"/>
  <c r="AB304" i="4"/>
  <c r="AB309" i="4"/>
  <c r="AB312" i="4"/>
  <c r="AB313" i="4"/>
  <c r="AB314" i="4"/>
  <c r="AB305" i="4"/>
  <c r="AB303" i="4"/>
  <c r="AB306" i="4"/>
  <c r="AB307" i="4"/>
  <c r="AB308" i="4"/>
  <c r="AB311" i="4"/>
  <c r="AB310" i="4"/>
  <c r="AB333" i="4"/>
  <c r="AB334" i="4"/>
  <c r="AB340" i="4"/>
  <c r="AB319" i="4"/>
  <c r="AB320" i="4"/>
  <c r="AB321" i="4"/>
  <c r="AB322" i="4"/>
  <c r="AB323" i="4"/>
  <c r="AB325" i="4"/>
  <c r="AB326" i="4"/>
  <c r="AB327" i="4"/>
  <c r="AB328" i="4"/>
  <c r="AB339" i="4"/>
  <c r="AB330" i="4"/>
  <c r="AB331" i="4"/>
  <c r="AB332" i="4"/>
  <c r="AB315" i="4"/>
  <c r="AB316" i="4"/>
  <c r="AB317" i="4"/>
  <c r="AB347" i="4"/>
  <c r="AB335" i="4"/>
  <c r="AB346" i="4"/>
  <c r="AB336" i="4"/>
  <c r="AB337" i="4"/>
  <c r="AB329" i="4"/>
  <c r="AB318" i="4"/>
  <c r="AB324" i="4"/>
  <c r="AB343" i="4"/>
  <c r="AB341" i="4"/>
  <c r="AB342" i="4"/>
  <c r="AB344" i="4"/>
  <c r="AB345" i="4"/>
  <c r="AB338" i="4"/>
  <c r="AB348" i="4"/>
  <c r="AB352" i="4"/>
  <c r="AB353" i="4"/>
  <c r="AB366" i="4"/>
  <c r="AB367" i="4"/>
  <c r="AB368" i="4"/>
  <c r="AB365" i="4"/>
  <c r="AB354" i="4"/>
  <c r="AB355" i="4"/>
  <c r="AB356" i="4"/>
  <c r="AB357" i="4"/>
  <c r="AB358" i="4"/>
  <c r="AB359" i="4"/>
  <c r="AB360" i="4"/>
  <c r="AB361" i="4"/>
  <c r="AB369" i="4"/>
  <c r="AB362" i="4"/>
  <c r="AB363" i="4"/>
  <c r="AB364" i="4"/>
  <c r="AB351" i="4"/>
  <c r="AB349" i="4"/>
  <c r="AB350" i="4"/>
  <c r="AB375" i="4"/>
  <c r="AB371" i="4"/>
  <c r="AB379" i="4"/>
  <c r="AB370" i="4"/>
  <c r="AB372" i="4"/>
  <c r="AB374" i="4"/>
  <c r="AB377" i="4"/>
  <c r="AB381" i="4"/>
  <c r="AB380" i="4"/>
  <c r="AB373" i="4"/>
  <c r="AB376" i="4"/>
  <c r="AB378" i="4"/>
  <c r="AB384" i="4"/>
  <c r="AB383" i="4"/>
  <c r="AB385" i="4"/>
  <c r="AB386" i="4"/>
  <c r="AB382" i="4"/>
  <c r="AB390" i="4"/>
  <c r="AB405" i="4"/>
  <c r="AB408" i="4"/>
  <c r="AB391" i="4"/>
  <c r="AB392" i="4"/>
  <c r="AB393" i="4"/>
  <c r="AB394" i="4"/>
  <c r="AB400" i="4"/>
  <c r="AB401" i="4"/>
  <c r="AB402" i="4"/>
  <c r="AB403" i="4"/>
  <c r="AB407" i="4"/>
  <c r="AB387" i="4"/>
  <c r="AB388" i="4"/>
  <c r="AB389" i="4"/>
  <c r="AB396" i="4"/>
  <c r="AB397" i="4"/>
  <c r="AB398" i="4"/>
  <c r="AB399" i="4"/>
  <c r="AB404" i="4"/>
  <c r="AB406" i="4"/>
  <c r="AB409" i="4"/>
  <c r="AB410" i="4"/>
  <c r="AB411" i="4"/>
  <c r="AB395" i="4"/>
  <c r="AB87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78" i="4"/>
  <c r="D178" i="4"/>
  <c r="E287" i="5"/>
  <c r="E42" i="2"/>
  <c r="D42" i="2"/>
  <c r="AC58" i="2"/>
  <c r="F42" i="2"/>
  <c r="AD58" i="2"/>
  <c r="AE58" i="2"/>
  <c r="H57" i="2"/>
  <c r="H178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8" i="4"/>
  <c r="R287" i="5"/>
  <c r="L57" i="2"/>
  <c r="L178" i="4"/>
  <c r="Q287" i="5"/>
  <c r="M42" i="2"/>
  <c r="L42" i="2"/>
  <c r="AL58" i="2"/>
  <c r="AM58" i="2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T176" i="1"/>
  <c r="A176" i="1"/>
  <c r="D176" i="1"/>
  <c r="F176" i="1"/>
  <c r="H176" i="1"/>
  <c r="J176" i="1"/>
  <c r="L176" i="1"/>
  <c r="N176" i="1"/>
  <c r="P176" i="1"/>
  <c r="R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H381" i="5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E410" i="9"/>
  <c r="F410" i="9"/>
  <c r="G410" i="9"/>
  <c r="H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D44" i="7"/>
  <c r="E44" i="7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6" i="4"/>
  <c r="E6" i="4"/>
  <c r="F78" i="5"/>
  <c r="D56" i="2"/>
  <c r="D6" i="4"/>
  <c r="E78" i="5"/>
  <c r="D40" i="2"/>
  <c r="F287" i="5"/>
  <c r="AC57" i="2"/>
  <c r="I78" i="5"/>
  <c r="F56" i="2"/>
  <c r="F6" i="4"/>
  <c r="H78" i="5"/>
  <c r="H287" i="5"/>
  <c r="I287" i="5"/>
  <c r="AD57" i="2"/>
  <c r="AE57" i="2"/>
  <c r="H56" i="2"/>
  <c r="H6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6" i="4"/>
  <c r="R78" i="5"/>
  <c r="L56" i="2"/>
  <c r="L6" i="4"/>
  <c r="Q78" i="5"/>
  <c r="M40" i="2"/>
  <c r="L40" i="2"/>
  <c r="AL57" i="2"/>
  <c r="AM57" i="2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X54" i="2"/>
  <c r="B215" i="4"/>
  <c r="X215" i="4"/>
  <c r="X56" i="2"/>
  <c r="AK3" i="4"/>
  <c r="AK4" i="4"/>
  <c r="AK119" i="4"/>
  <c r="AK127" i="4"/>
  <c r="AK134" i="4"/>
  <c r="AK254" i="4"/>
  <c r="AK264" i="4"/>
  <c r="AK274" i="4"/>
  <c r="AK298" i="4"/>
  <c r="AK138" i="4"/>
  <c r="AK25" i="4"/>
  <c r="AK20" i="4"/>
  <c r="AK23" i="4"/>
  <c r="AK24" i="4"/>
  <c r="AK253" i="4"/>
  <c r="AK226" i="4"/>
  <c r="AK229" i="4"/>
  <c r="AK51" i="4"/>
  <c r="AK140" i="4"/>
  <c r="AK261" i="4"/>
  <c r="AK265" i="4"/>
  <c r="AK13" i="4"/>
  <c r="AK46" i="4"/>
  <c r="AK15" i="4"/>
  <c r="AK259" i="4"/>
  <c r="AK65" i="4"/>
  <c r="AK219" i="4"/>
  <c r="AK220" i="4"/>
  <c r="AK137" i="4"/>
  <c r="AK152" i="4"/>
  <c r="AK233" i="4"/>
  <c r="AK235" i="4"/>
  <c r="AK271" i="4"/>
  <c r="AK14" i="4"/>
  <c r="AK234" i="4"/>
  <c r="AK232" i="4"/>
  <c r="AK236" i="4"/>
  <c r="AK237" i="4"/>
  <c r="AK238" i="4"/>
  <c r="AK246" i="4"/>
  <c r="AK263" i="4"/>
  <c r="AK266" i="4"/>
  <c r="AK70" i="4"/>
  <c r="AK69" i="4"/>
  <c r="AK45" i="4"/>
  <c r="AK68" i="4"/>
  <c r="AK40" i="4"/>
  <c r="AK55" i="4"/>
  <c r="AK97" i="4"/>
  <c r="AK56" i="4"/>
  <c r="AK59" i="4"/>
  <c r="AK145" i="4"/>
  <c r="AK60" i="4"/>
  <c r="AK57" i="4"/>
  <c r="AK58" i="4"/>
  <c r="AK18" i="4"/>
  <c r="AK150" i="4"/>
  <c r="AK151" i="4"/>
  <c r="AK267" i="4"/>
  <c r="AK103" i="4"/>
  <c r="AK158" i="4"/>
  <c r="AK240" i="4"/>
  <c r="AK122" i="4"/>
  <c r="AK192" i="4"/>
  <c r="AK193" i="4"/>
  <c r="AK194" i="4"/>
  <c r="AK196" i="4"/>
  <c r="AK197" i="4"/>
  <c r="AK146" i="4"/>
  <c r="AK123" i="4"/>
  <c r="AK153" i="4"/>
  <c r="AK154" i="4"/>
  <c r="AK183" i="4"/>
  <c r="AK185" i="4"/>
  <c r="AK48" i="4"/>
  <c r="AK250" i="4"/>
  <c r="AK255" i="4"/>
  <c r="AK115" i="4"/>
  <c r="AK184" i="4"/>
  <c r="AK195" i="4"/>
  <c r="AK113" i="4"/>
  <c r="AK139" i="4"/>
  <c r="AK283" i="4"/>
  <c r="AK249" i="4"/>
  <c r="AK202" i="4"/>
  <c r="AK239" i="4"/>
  <c r="AK2" i="4"/>
  <c r="AK111" i="4"/>
  <c r="AK62" i="4"/>
  <c r="AK71" i="4"/>
  <c r="AK63" i="4"/>
  <c r="AK296" i="4"/>
  <c r="AK64" i="4"/>
  <c r="AK262" i="4"/>
  <c r="AK126" i="4"/>
  <c r="AK41" i="4"/>
  <c r="AK98" i="4"/>
  <c r="AK147" i="4"/>
  <c r="AK99" i="4"/>
  <c r="AK22" i="4"/>
  <c r="AK222" i="4"/>
  <c r="AK294" i="4"/>
  <c r="AK285" i="4"/>
  <c r="AK223" i="4"/>
  <c r="AK21" i="4"/>
  <c r="AK221" i="4"/>
  <c r="AK49" i="4"/>
  <c r="AK225" i="4"/>
  <c r="AK39" i="4"/>
  <c r="AK38" i="4"/>
  <c r="AK278" i="4"/>
  <c r="AK148" i="4"/>
  <c r="AK37" i="4"/>
  <c r="AK67" i="4"/>
  <c r="AK66" i="4"/>
  <c r="AK107" i="4"/>
  <c r="AK26" i="4"/>
  <c r="AK27" i="4"/>
  <c r="AK28" i="4"/>
  <c r="AK29" i="4"/>
  <c r="AK8" i="4"/>
  <c r="AK207" i="4"/>
  <c r="AK124" i="4"/>
  <c r="AK275" i="4"/>
  <c r="AK230" i="4"/>
  <c r="AK276" i="4"/>
  <c r="AK174" i="4"/>
  <c r="AK175" i="4"/>
  <c r="AK188" i="4"/>
  <c r="AK189" i="4"/>
  <c r="AK190" i="4"/>
  <c r="AK191" i="4"/>
  <c r="AK224" i="4"/>
  <c r="AK227" i="4"/>
  <c r="AK104" i="4"/>
  <c r="AK290" i="4"/>
  <c r="AK228" i="4"/>
  <c r="AK50" i="4"/>
  <c r="AK109" i="4"/>
  <c r="AK295" i="4"/>
  <c r="AK260" i="4"/>
  <c r="AK30" i="4"/>
  <c r="AK43" i="4"/>
  <c r="AK61" i="4"/>
  <c r="AK34" i="4"/>
  <c r="AK35" i="4"/>
  <c r="AK96" i="4"/>
  <c r="AK161" i="4"/>
  <c r="AK162" i="4"/>
  <c r="AK257" i="4"/>
  <c r="AK163" i="4"/>
  <c r="AK256" i="4"/>
  <c r="AK160" i="4"/>
  <c r="AK210" i="4"/>
  <c r="AK241" i="4"/>
  <c r="AK186" i="4"/>
  <c r="AK187" i="4"/>
  <c r="AK167" i="4"/>
  <c r="AK179" i="4"/>
  <c r="AK102" i="4"/>
  <c r="AK131" i="4"/>
  <c r="AK164" i="4"/>
  <c r="AK165" i="4"/>
  <c r="AK166" i="4"/>
  <c r="AK180" i="4"/>
  <c r="AK168" i="4"/>
  <c r="AK170" i="4"/>
  <c r="AK178" i="4"/>
  <c r="AK169" i="4"/>
  <c r="AK213" i="4"/>
  <c r="AK292" i="4"/>
  <c r="AK133" i="4"/>
  <c r="AK135" i="4"/>
  <c r="AK9" i="4"/>
  <c r="AK243" i="4"/>
  <c r="AK244" i="4"/>
  <c r="AK280" i="4"/>
  <c r="AK47" i="4"/>
  <c r="AK42" i="4"/>
  <c r="AK44" i="4"/>
  <c r="AK77" i="4"/>
  <c r="AK105" i="4"/>
  <c r="AK181" i="4"/>
  <c r="AK7" i="4"/>
  <c r="AK6" i="4"/>
  <c r="AK16" i="4"/>
  <c r="AK36" i="4"/>
  <c r="AK5" i="4"/>
  <c r="AK110" i="4"/>
  <c r="AK182" i="4"/>
  <c r="AK209" i="4"/>
  <c r="AK142" i="4"/>
  <c r="AK277" i="4"/>
  <c r="AK89" i="4"/>
  <c r="AK211" i="4"/>
  <c r="AK212" i="4"/>
  <c r="AK141" i="4"/>
  <c r="AK171" i="4"/>
  <c r="AK297" i="4"/>
  <c r="AK130" i="4"/>
  <c r="AK173" i="4"/>
  <c r="AK76" i="4"/>
  <c r="AK176" i="4"/>
  <c r="AK177" i="4"/>
  <c r="AK218" i="4"/>
  <c r="AK172" i="4"/>
  <c r="AK251" i="4"/>
  <c r="AK10" i="4"/>
  <c r="AK17" i="4"/>
  <c r="AK200" i="4"/>
  <c r="AK128" i="4"/>
  <c r="AK136" i="4"/>
  <c r="AK106" i="4"/>
  <c r="AK149" i="4"/>
  <c r="AK199" i="4"/>
  <c r="AK198" i="4"/>
  <c r="AK11" i="4"/>
  <c r="AK12" i="4"/>
  <c r="AK217" i="4"/>
  <c r="AK201" i="4"/>
  <c r="AK205" i="4"/>
  <c r="AK120" i="4"/>
  <c r="AK281" i="4"/>
  <c r="AK247" i="4"/>
  <c r="AK204" i="4"/>
  <c r="AK129" i="4"/>
  <c r="AK284" i="4"/>
  <c r="AK286" i="4"/>
  <c r="AK287" i="4"/>
  <c r="AK269" i="4"/>
  <c r="AK87" i="4"/>
  <c r="AK52" i="4"/>
  <c r="AK78" i="4"/>
  <c r="AK80" i="4"/>
  <c r="AK81" i="4"/>
  <c r="AK83" i="4"/>
  <c r="AK85" i="4"/>
  <c r="AK90" i="4"/>
  <c r="AK116" i="4"/>
  <c r="AK245" i="4"/>
  <c r="AK79" i="4"/>
  <c r="AK82" i="4"/>
  <c r="AK121" i="4"/>
  <c r="AK132" i="4"/>
  <c r="AK88" i="4"/>
  <c r="AK112" i="4"/>
  <c r="AK72" i="4"/>
  <c r="AK73" i="4"/>
  <c r="AK114" i="4"/>
  <c r="AK288" i="4"/>
  <c r="AK155" i="4"/>
  <c r="AK157" i="4"/>
  <c r="AK208" i="4"/>
  <c r="AK75" i="4"/>
  <c r="AK19" i="4"/>
  <c r="AK215" i="4"/>
  <c r="AK206" i="4"/>
  <c r="AK31" i="4"/>
  <c r="AK32" i="4"/>
  <c r="AK33" i="4"/>
  <c r="AK74" i="4"/>
  <c r="AK289" i="4"/>
  <c r="AK53" i="4"/>
  <c r="AK54" i="4"/>
  <c r="AK248" i="4"/>
  <c r="AK84" i="4"/>
  <c r="AK86" i="4"/>
  <c r="AK91" i="4"/>
  <c r="AK92" i="4"/>
  <c r="AK93" i="4"/>
  <c r="AK94" i="4"/>
  <c r="AK242" i="4"/>
  <c r="AK95" i="4"/>
  <c r="AK125" i="4"/>
  <c r="AK282" i="4"/>
  <c r="AK143" i="4"/>
  <c r="AK144" i="4"/>
  <c r="AK156" i="4"/>
  <c r="AK231" i="4"/>
  <c r="AK291" i="4"/>
  <c r="AK101" i="4"/>
  <c r="AK100" i="4"/>
  <c r="AK272" i="4"/>
  <c r="AK252" i="4"/>
  <c r="AK273" i="4"/>
  <c r="AK159" i="4"/>
  <c r="AK279" i="4"/>
  <c r="AK203" i="4"/>
  <c r="AK214" i="4"/>
  <c r="AK117" i="4"/>
  <c r="AK293" i="4"/>
  <c r="AK118" i="4"/>
  <c r="AK108" i="4"/>
  <c r="AK270" i="4"/>
  <c r="AK268" i="4"/>
  <c r="AK312" i="4"/>
  <c r="AK304" i="4"/>
  <c r="AK309" i="4"/>
  <c r="AK313" i="4"/>
  <c r="AK314" i="4"/>
  <c r="AK299" i="4"/>
  <c r="AK300" i="4"/>
  <c r="AK301" i="4"/>
  <c r="AK302" i="4"/>
  <c r="AK311" i="4"/>
  <c r="AK303" i="4"/>
  <c r="AK305" i="4"/>
  <c r="AK306" i="4"/>
  <c r="AK307" i="4"/>
  <c r="AK308" i="4"/>
  <c r="AK310" i="4"/>
  <c r="AK319" i="4"/>
  <c r="AK342" i="4"/>
  <c r="AK346" i="4"/>
  <c r="AK332" i="4"/>
  <c r="AK330" i="4"/>
  <c r="AK331" i="4"/>
  <c r="AK324" i="4"/>
  <c r="AK318" i="4"/>
  <c r="AK336" i="4"/>
  <c r="AK335" i="4"/>
  <c r="AK337" i="4"/>
  <c r="AK340" i="4"/>
  <c r="AK320" i="4"/>
  <c r="AK321" i="4"/>
  <c r="AK322" i="4"/>
  <c r="AK325" i="4"/>
  <c r="AK326" i="4"/>
  <c r="AK327" i="4"/>
  <c r="AK328" i="4"/>
  <c r="AK329" i="4"/>
  <c r="AK339" i="4"/>
  <c r="AK344" i="4"/>
  <c r="AK341" i="4"/>
  <c r="AK343" i="4"/>
  <c r="AK345" i="4"/>
  <c r="AK333" i="4"/>
  <c r="AK334" i="4"/>
  <c r="AK347" i="4"/>
  <c r="AK338" i="4"/>
  <c r="AK317" i="4"/>
  <c r="AK315" i="4"/>
  <c r="AK316" i="4"/>
  <c r="AK323" i="4"/>
  <c r="AK354" i="4"/>
  <c r="AK358" i="4"/>
  <c r="AK365" i="4"/>
  <c r="AK348" i="4"/>
  <c r="AK362" i="4"/>
  <c r="AK363" i="4"/>
  <c r="AK364" i="4"/>
  <c r="AK351" i="4"/>
  <c r="AK355" i="4"/>
  <c r="AK356" i="4"/>
  <c r="AK349" i="4"/>
  <c r="AK350" i="4"/>
  <c r="AK369" i="4"/>
  <c r="AK352" i="4"/>
  <c r="AK353" i="4"/>
  <c r="AK357" i="4"/>
  <c r="AK359" i="4"/>
  <c r="AK360" i="4"/>
  <c r="AK361" i="4"/>
  <c r="AK367" i="4"/>
  <c r="AK366" i="4"/>
  <c r="AK368" i="4"/>
  <c r="AK374" i="4"/>
  <c r="AK375" i="4"/>
  <c r="AK378" i="4"/>
  <c r="AK372" i="4"/>
  <c r="AK373" i="4"/>
  <c r="AK376" i="4"/>
  <c r="AK377" i="4"/>
  <c r="AK371" i="4"/>
  <c r="AK379" i="4"/>
  <c r="AK370" i="4"/>
  <c r="AK381" i="4"/>
  <c r="AK382" i="4"/>
  <c r="AK384" i="4"/>
  <c r="AK386" i="4"/>
  <c r="AK383" i="4"/>
  <c r="AK385" i="4"/>
  <c r="AK401" i="4"/>
  <c r="AK390" i="4"/>
  <c r="AK389" i="4"/>
  <c r="AK388" i="4"/>
  <c r="AK396" i="4"/>
  <c r="AK397" i="4"/>
  <c r="AK398" i="4"/>
  <c r="AK404" i="4"/>
  <c r="AK405" i="4"/>
  <c r="AK387" i="4"/>
  <c r="AK391" i="4"/>
  <c r="AK392" i="4"/>
  <c r="AK393" i="4"/>
  <c r="AK394" i="4"/>
  <c r="AK395" i="4"/>
  <c r="AK399" i="4"/>
  <c r="AK400" i="4"/>
  <c r="AK402" i="4"/>
  <c r="AK403" i="4"/>
  <c r="AK406" i="4"/>
  <c r="AK407" i="4"/>
  <c r="AK408" i="4"/>
  <c r="AK409" i="4"/>
  <c r="AK410" i="4"/>
  <c r="AK411" i="4"/>
  <c r="AK258" i="4"/>
  <c r="B7" i="3"/>
  <c r="C7" i="3"/>
  <c r="AI94" i="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94" i="4" a="1"/>
  <c r="U94" i="4"/>
  <c r="AD94" i="5"/>
  <c r="T94" i="4" a="1"/>
  <c r="T94" i="4"/>
  <c r="AC94" i="5"/>
  <c r="AI6" i="4"/>
  <c r="AD78" i="5"/>
  <c r="T6" i="4" a="1"/>
  <c r="T6" i="4"/>
  <c r="AC78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17" i="4"/>
  <c r="E20" i="5"/>
  <c r="E18" i="2"/>
  <c r="D18" i="2"/>
  <c r="AC56" i="2"/>
  <c r="F18" i="2"/>
  <c r="AD56" i="2"/>
  <c r="AE56" i="2"/>
  <c r="H55" i="2"/>
  <c r="H217" i="4"/>
  <c r="K20" i="5"/>
  <c r="H18" i="2"/>
  <c r="L78" i="5"/>
  <c r="AF56" i="2"/>
  <c r="AG56" i="2"/>
  <c r="AH56" i="2"/>
  <c r="AI56" i="2"/>
  <c r="AJ56" i="2"/>
  <c r="N78" i="5"/>
  <c r="O78" i="5"/>
  <c r="AK56" i="2"/>
  <c r="M55" i="2"/>
  <c r="M217" i="4"/>
  <c r="R20" i="5"/>
  <c r="L55" i="2"/>
  <c r="L217" i="4"/>
  <c r="Q20" i="5"/>
  <c r="M18" i="2"/>
  <c r="L18" i="2"/>
  <c r="AL56" i="2"/>
  <c r="AM56" i="2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S51" i="2"/>
  <c r="B352" i="4"/>
  <c r="S352" i="4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H7" i="2"/>
  <c r="B238" i="4"/>
  <c r="H238" i="4"/>
  <c r="H30" i="2"/>
  <c r="S9" i="2"/>
  <c r="B44" i="4"/>
  <c r="S8" i="2"/>
  <c r="S44" i="4"/>
  <c r="N30" i="2"/>
  <c r="B269" i="4"/>
  <c r="N269" i="4"/>
  <c r="N9" i="2"/>
  <c r="N25" i="2"/>
  <c r="N16" i="2"/>
  <c r="N21" i="2"/>
  <c r="N39" i="2"/>
  <c r="N5" i="2"/>
  <c r="N8" i="2"/>
  <c r="N7" i="2"/>
  <c r="N18" i="2"/>
  <c r="B280" i="4"/>
  <c r="N44" i="2"/>
  <c r="N280" i="4"/>
  <c r="B45" i="4"/>
  <c r="N45" i="4"/>
  <c r="C9" i="2"/>
  <c r="D9" i="2"/>
  <c r="E9" i="2"/>
  <c r="F9" i="2"/>
  <c r="G9" i="2"/>
  <c r="H9" i="2"/>
  <c r="I9" i="2"/>
  <c r="J9" i="2"/>
  <c r="K9" i="2"/>
  <c r="L9" i="2"/>
  <c r="M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43" i="4"/>
  <c r="D43" i="4"/>
  <c r="E44" i="5"/>
  <c r="D44" i="4"/>
  <c r="E45" i="5"/>
  <c r="F45" i="5"/>
  <c r="AC9" i="2"/>
  <c r="H45" i="5"/>
  <c r="I45" i="5"/>
  <c r="AD9" i="2"/>
  <c r="AE9" i="2"/>
  <c r="H8" i="2"/>
  <c r="H43" i="4"/>
  <c r="K44" i="5"/>
  <c r="H44" i="4"/>
  <c r="K45" i="5"/>
  <c r="L45" i="5"/>
  <c r="AF9" i="2"/>
  <c r="AG9" i="2"/>
  <c r="AH9" i="2"/>
  <c r="AI9" i="2"/>
  <c r="AJ9" i="2"/>
  <c r="N45" i="5"/>
  <c r="O45" i="5"/>
  <c r="AK9" i="2"/>
  <c r="M8" i="2"/>
  <c r="M43" i="4"/>
  <c r="R44" i="5"/>
  <c r="L8" i="2"/>
  <c r="L43" i="4"/>
  <c r="Q44" i="5"/>
  <c r="M44" i="4"/>
  <c r="R45" i="5"/>
  <c r="L44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S4" i="2"/>
  <c r="B97" i="4"/>
  <c r="S5" i="2"/>
  <c r="S97" i="4"/>
  <c r="S42" i="2"/>
  <c r="S16" i="2"/>
  <c r="B68" i="4"/>
  <c r="S68" i="4"/>
  <c r="S17" i="2"/>
  <c r="B69" i="4"/>
  <c r="S69" i="4"/>
  <c r="B70" i="4"/>
  <c r="S70" i="4"/>
  <c r="S12" i="2"/>
  <c r="B58" i="4"/>
  <c r="S58" i="4"/>
  <c r="S10" i="2"/>
  <c r="B59" i="4"/>
  <c r="S59" i="4"/>
  <c r="B60" i="4"/>
  <c r="S60" i="4"/>
  <c r="S11" i="2"/>
  <c r="B55" i="4"/>
  <c r="S55" i="4"/>
  <c r="S13" i="2"/>
  <c r="B56" i="4"/>
  <c r="S56" i="4"/>
  <c r="B57" i="4"/>
  <c r="S57" i="4"/>
  <c r="S7" i="2"/>
  <c r="S45" i="4"/>
  <c r="B246" i="4"/>
  <c r="S246" i="4"/>
  <c r="B40" i="4"/>
  <c r="S40" i="4"/>
  <c r="N4" i="2"/>
  <c r="N97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98" i="4"/>
  <c r="D98" i="4"/>
  <c r="E262" i="5"/>
  <c r="D97" i="4"/>
  <c r="E253" i="5"/>
  <c r="F253" i="5"/>
  <c r="AC4" i="2"/>
  <c r="H253" i="5"/>
  <c r="I253" i="5"/>
  <c r="AD4" i="2"/>
  <c r="AE4" i="2"/>
  <c r="H5" i="2"/>
  <c r="H98" i="4"/>
  <c r="K262" i="5"/>
  <c r="H97" i="4"/>
  <c r="K253" i="5"/>
  <c r="L253" i="5"/>
  <c r="AF4" i="2"/>
  <c r="AG4" i="2"/>
  <c r="AH4" i="2"/>
  <c r="AI4" i="2"/>
  <c r="AJ4" i="2"/>
  <c r="N253" i="5"/>
  <c r="O253" i="5"/>
  <c r="AK4" i="2"/>
  <c r="M5" i="2"/>
  <c r="M98" i="4"/>
  <c r="R262" i="5"/>
  <c r="L5" i="2"/>
  <c r="L98" i="4"/>
  <c r="Q262" i="5"/>
  <c r="M97" i="4"/>
  <c r="R253" i="5"/>
  <c r="L97" i="4"/>
  <c r="Q253" i="5"/>
  <c r="AL4" i="2"/>
  <c r="AM4" i="2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N2" i="2"/>
  <c r="M19" i="2"/>
  <c r="B75" i="4"/>
  <c r="M75" i="4"/>
  <c r="M24" i="2"/>
  <c r="B78" i="4"/>
  <c r="M78" i="4"/>
  <c r="B74" i="4"/>
  <c r="N74" i="4"/>
  <c r="N19" i="2"/>
  <c r="N24" i="2"/>
  <c r="N78" i="4"/>
  <c r="N3" i="2"/>
  <c r="B79" i="4"/>
  <c r="N79" i="4"/>
  <c r="B80" i="4"/>
  <c r="N80" i="4"/>
  <c r="B81" i="4"/>
  <c r="N81" i="4"/>
  <c r="B82" i="4"/>
  <c r="N82" i="4"/>
  <c r="B73" i="4"/>
  <c r="N73" i="4"/>
  <c r="N32" i="2"/>
  <c r="B200" i="4"/>
  <c r="N200" i="4"/>
  <c r="N20" i="2"/>
  <c r="B247" i="4"/>
  <c r="N247" i="4"/>
  <c r="B11" i="4"/>
  <c r="N22" i="2"/>
  <c r="N11" i="4"/>
  <c r="B12" i="4"/>
  <c r="N12" i="4"/>
  <c r="B120" i="4"/>
  <c r="N120" i="4"/>
  <c r="N43" i="2"/>
  <c r="B129" i="4"/>
  <c r="N129" i="4"/>
  <c r="B284" i="4"/>
  <c r="N284" i="4"/>
  <c r="B286" i="4"/>
  <c r="N286" i="4"/>
  <c r="B287" i="4"/>
  <c r="N287" i="4"/>
  <c r="N41" i="2"/>
  <c r="B201" i="4"/>
  <c r="N201" i="4"/>
  <c r="B204" i="4"/>
  <c r="N204" i="4"/>
  <c r="B205" i="4"/>
  <c r="N205" i="4"/>
  <c r="N42" i="2"/>
  <c r="N281" i="4"/>
  <c r="B52" i="4"/>
  <c r="N52" i="4"/>
  <c r="B72" i="4"/>
  <c r="N72" i="4"/>
  <c r="O41" i="2"/>
  <c r="O205" i="4"/>
  <c r="O55" i="2"/>
  <c r="O217" i="4"/>
  <c r="O3" i="2"/>
  <c r="O24" i="2"/>
  <c r="O52" i="4"/>
  <c r="N55" i="2"/>
  <c r="N217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15" i="4"/>
  <c r="C55" i="2"/>
  <c r="C217" i="4"/>
  <c r="C20" i="5"/>
  <c r="D54" i="2"/>
  <c r="D215" i="4"/>
  <c r="F20" i="5"/>
  <c r="H20" i="5"/>
  <c r="I20" i="5"/>
  <c r="H54" i="2"/>
  <c r="H215" i="4"/>
  <c r="L20" i="5"/>
  <c r="N20" i="5"/>
  <c r="O20" i="5"/>
  <c r="L54" i="2"/>
  <c r="L215" i="4"/>
  <c r="M54" i="2"/>
  <c r="M215" i="4"/>
  <c r="N54" i="2"/>
  <c r="N215" i="4"/>
  <c r="T20" i="5"/>
  <c r="O54" i="2"/>
  <c r="O215" i="4"/>
  <c r="U20" i="5"/>
  <c r="P54" i="2"/>
  <c r="P215" i="4"/>
  <c r="P55" i="2"/>
  <c r="P217" i="4"/>
  <c r="W20" i="5"/>
  <c r="Q54" i="2"/>
  <c r="Q215" i="4"/>
  <c r="Q55" i="2"/>
  <c r="Q217" i="4"/>
  <c r="X20" i="5"/>
  <c r="R54" i="2"/>
  <c r="R215" i="4"/>
  <c r="R55" i="2"/>
  <c r="R217" i="4"/>
  <c r="Z20" i="5"/>
  <c r="S54" i="2"/>
  <c r="S215" i="4"/>
  <c r="S55" i="2"/>
  <c r="S217" i="4"/>
  <c r="AA20" i="5"/>
  <c r="AI215" i="4"/>
  <c r="T215" i="4" a="1"/>
  <c r="T215" i="4"/>
  <c r="AI217" i="4"/>
  <c r="T217" i="4" a="1"/>
  <c r="T217" i="4"/>
  <c r="AC20" i="5"/>
  <c r="U215" i="4" a="1"/>
  <c r="U215" i="4"/>
  <c r="U217" i="4" a="1"/>
  <c r="U217" i="4"/>
  <c r="AD20" i="5"/>
  <c r="AF20" i="5"/>
  <c r="AG20" i="5"/>
  <c r="X55" i="2"/>
  <c r="X217" i="4"/>
  <c r="AI20" i="5"/>
  <c r="Y54" i="2"/>
  <c r="Y215" i="4"/>
  <c r="Y55" i="2"/>
  <c r="Y217" i="4"/>
  <c r="AJ20" i="5"/>
  <c r="Z54" i="2"/>
  <c r="Z215" i="4"/>
  <c r="Z55" i="2"/>
  <c r="Z217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17" i="4"/>
  <c r="F54" i="2"/>
  <c r="F55" i="2"/>
  <c r="F217" i="4"/>
  <c r="I54" i="2"/>
  <c r="I55" i="2"/>
  <c r="I217" i="4"/>
  <c r="J54" i="2"/>
  <c r="J55" i="2"/>
  <c r="J217" i="4"/>
  <c r="K54" i="2"/>
  <c r="K55" i="2"/>
  <c r="K217" i="4"/>
  <c r="AA217" i="4"/>
  <c r="AC217" i="4"/>
  <c r="AD217" i="4"/>
  <c r="AE217" i="4"/>
  <c r="AF217" i="4"/>
  <c r="AG217" i="4"/>
  <c r="AH217" i="4"/>
  <c r="AJ217" i="4"/>
  <c r="AL217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E347" i="9"/>
  <c r="F347" i="9"/>
  <c r="G347" i="9"/>
  <c r="H347" i="9"/>
  <c r="C125" i="7"/>
  <c r="D125" i="7"/>
  <c r="E125" i="7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X29" i="2"/>
  <c r="B221" i="4"/>
  <c r="X221" i="4"/>
  <c r="N29" i="2"/>
  <c r="N221" i="4"/>
  <c r="X30" i="2"/>
  <c r="B278" i="4"/>
  <c r="X16" i="2"/>
  <c r="X12" i="2"/>
  <c r="X278" i="4"/>
  <c r="Q21" i="2"/>
  <c r="N38" i="2"/>
  <c r="B196" i="4"/>
  <c r="N196" i="4"/>
  <c r="N36" i="2"/>
  <c r="B197" i="4"/>
  <c r="N197" i="4"/>
  <c r="B193" i="4"/>
  <c r="N193" i="4"/>
  <c r="B194" i="4"/>
  <c r="N194" i="4"/>
  <c r="O28" i="2"/>
  <c r="B153" i="4"/>
  <c r="O153" i="4"/>
  <c r="B154" i="4"/>
  <c r="O154" i="4"/>
  <c r="H14" i="2"/>
  <c r="B152" i="4"/>
  <c r="O152" i="4"/>
  <c r="N28" i="2"/>
  <c r="N152" i="4"/>
  <c r="Y51" i="2"/>
  <c r="B368" i="4"/>
  <c r="Y368" i="4"/>
  <c r="AJ356" i="5"/>
  <c r="Q30" i="2"/>
  <c r="B244" i="4"/>
  <c r="Q244" i="4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V15" i="2"/>
  <c r="V8" i="2"/>
  <c r="V7" i="2"/>
  <c r="V40" i="2"/>
  <c r="V32" i="2"/>
  <c r="V39" i="2"/>
  <c r="V27" i="2"/>
  <c r="V18" i="2"/>
  <c r="V16" i="2"/>
  <c r="V21" i="2"/>
  <c r="B250" i="4"/>
  <c r="V250" i="4"/>
  <c r="V5" i="2"/>
  <c r="V98" i="4"/>
  <c r="V6" i="2"/>
  <c r="B99" i="4"/>
  <c r="V99" i="4"/>
  <c r="C5" i="2"/>
  <c r="C6" i="2"/>
  <c r="C99" i="4"/>
  <c r="D6" i="2"/>
  <c r="D99" i="4"/>
  <c r="E5" i="2"/>
  <c r="E6" i="2"/>
  <c r="E99" i="4"/>
  <c r="F5" i="2"/>
  <c r="F6" i="2"/>
  <c r="F99" i="4"/>
  <c r="H6" i="2"/>
  <c r="H99" i="4"/>
  <c r="I5" i="2"/>
  <c r="I6" i="2"/>
  <c r="I99" i="4"/>
  <c r="J5" i="2"/>
  <c r="J6" i="2"/>
  <c r="J99" i="4"/>
  <c r="L6" i="2"/>
  <c r="L99" i="4"/>
  <c r="M6" i="2"/>
  <c r="M99" i="4"/>
  <c r="N6" i="2"/>
  <c r="N99" i="4"/>
  <c r="O5" i="2"/>
  <c r="O6" i="2"/>
  <c r="O99" i="4"/>
  <c r="P5" i="2"/>
  <c r="P6" i="2"/>
  <c r="P99" i="4"/>
  <c r="Q5" i="2"/>
  <c r="Q6" i="2"/>
  <c r="Q99" i="4"/>
  <c r="R5" i="2"/>
  <c r="R6" i="2"/>
  <c r="R99" i="4"/>
  <c r="AI99" i="4"/>
  <c r="T99" i="4" a="1"/>
  <c r="T99" i="4"/>
  <c r="U99" i="4" a="1"/>
  <c r="U99" i="4"/>
  <c r="X5" i="2"/>
  <c r="X6" i="2"/>
  <c r="X99" i="4"/>
  <c r="Y5" i="2"/>
  <c r="Y6" i="2"/>
  <c r="Y99" i="4"/>
  <c r="Z5" i="2"/>
  <c r="Z6" i="2"/>
  <c r="Z99" i="4"/>
  <c r="AA99" i="4"/>
  <c r="AC99" i="4"/>
  <c r="AD99" i="4"/>
  <c r="AE99" i="4"/>
  <c r="AF99" i="4"/>
  <c r="AG99" i="4"/>
  <c r="AH99" i="4"/>
  <c r="AJ99" i="4"/>
  <c r="AL99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154" i="4"/>
  <c r="C19" i="5"/>
  <c r="D28" i="2"/>
  <c r="D154" i="4"/>
  <c r="F19" i="5"/>
  <c r="H19" i="5"/>
  <c r="I19" i="5"/>
  <c r="H28" i="2"/>
  <c r="H154" i="4"/>
  <c r="O19" i="5"/>
  <c r="L28" i="2"/>
  <c r="L154" i="4"/>
  <c r="M28" i="2"/>
  <c r="M154" i="4"/>
  <c r="T19" i="5"/>
  <c r="U19" i="5"/>
  <c r="P28" i="2"/>
  <c r="P154" i="4"/>
  <c r="W19" i="5"/>
  <c r="Q28" i="2"/>
  <c r="Q154" i="4"/>
  <c r="X19" i="5"/>
  <c r="R28" i="2"/>
  <c r="R154" i="4"/>
  <c r="Z19" i="5"/>
  <c r="S28" i="2"/>
  <c r="S154" i="4"/>
  <c r="AA19" i="5"/>
  <c r="AI154" i="4"/>
  <c r="T154" i="4" a="1"/>
  <c r="T154" i="4"/>
  <c r="AC19" i="5"/>
  <c r="U154" i="4" a="1"/>
  <c r="U154" i="4"/>
  <c r="AD19" i="5"/>
  <c r="AF19" i="5"/>
  <c r="AG19" i="5"/>
  <c r="X28" i="2"/>
  <c r="X154" i="4"/>
  <c r="AI19" i="5"/>
  <c r="Y28" i="2"/>
  <c r="Y154" i="4"/>
  <c r="AJ19" i="5"/>
  <c r="Z28" i="2"/>
  <c r="Z154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15" i="4"/>
  <c r="F28" i="2"/>
  <c r="F215" i="4"/>
  <c r="I28" i="2"/>
  <c r="I215" i="4"/>
  <c r="J28" i="2"/>
  <c r="J215" i="4"/>
  <c r="K28" i="2"/>
  <c r="K215" i="4"/>
  <c r="AA215" i="4"/>
  <c r="AC215" i="4"/>
  <c r="AD215" i="4"/>
  <c r="AE215" i="4"/>
  <c r="AF215" i="4"/>
  <c r="AG215" i="4"/>
  <c r="AH215" i="4"/>
  <c r="AJ215" i="4"/>
  <c r="AL215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E346" i="9"/>
  <c r="F346" i="9"/>
  <c r="G346" i="9"/>
  <c r="H346" i="9"/>
  <c r="C123" i="7"/>
  <c r="E123" i="7"/>
  <c r="D123" i="7"/>
  <c r="AG3" i="5"/>
  <c r="AF3" i="5"/>
  <c r="C39" i="2"/>
  <c r="B123" i="4"/>
  <c r="C123" i="4"/>
  <c r="C3" i="5"/>
  <c r="D39" i="2"/>
  <c r="D123" i="4"/>
  <c r="E3" i="5"/>
  <c r="H39" i="2"/>
  <c r="H123" i="4"/>
  <c r="K3" i="5"/>
  <c r="L39" i="2"/>
  <c r="L123" i="4"/>
  <c r="Q3" i="5"/>
  <c r="M39" i="2"/>
  <c r="M123" i="4"/>
  <c r="R3" i="5"/>
  <c r="T3" i="5"/>
  <c r="O39" i="2"/>
  <c r="O123" i="4"/>
  <c r="U3" i="5"/>
  <c r="P39" i="2"/>
  <c r="P123" i="4"/>
  <c r="W3" i="5"/>
  <c r="Q39" i="2"/>
  <c r="Q123" i="4"/>
  <c r="X3" i="5"/>
  <c r="S39" i="2"/>
  <c r="S123" i="4"/>
  <c r="AA3" i="5"/>
  <c r="AI123" i="4"/>
  <c r="T123" i="4" a="1"/>
  <c r="T123" i="4"/>
  <c r="AC3" i="5"/>
  <c r="U123" i="4" a="1"/>
  <c r="U123" i="4"/>
  <c r="AD3" i="5"/>
  <c r="X39" i="2"/>
  <c r="X123" i="4"/>
  <c r="AI3" i="5"/>
  <c r="Y39" i="2"/>
  <c r="Y123" i="4"/>
  <c r="AJ3" i="5"/>
  <c r="Z39" i="2"/>
  <c r="Z123" i="4"/>
  <c r="AL3" i="5"/>
  <c r="F3" i="5"/>
  <c r="L3" i="5"/>
  <c r="N3" i="5"/>
  <c r="O3" i="5"/>
  <c r="H3" i="5"/>
  <c r="I3" i="5"/>
  <c r="Z3" i="5"/>
  <c r="AN3" i="5"/>
  <c r="O4" i="5"/>
  <c r="H27" i="2"/>
  <c r="B262" i="4"/>
  <c r="H262" i="4"/>
  <c r="K4" i="5"/>
  <c r="AG4" i="5"/>
  <c r="AF4" i="5"/>
  <c r="C27" i="2"/>
  <c r="C262" i="4"/>
  <c r="C4" i="5"/>
  <c r="D27" i="2"/>
  <c r="D262" i="4"/>
  <c r="E4" i="5"/>
  <c r="I27" i="2"/>
  <c r="I262" i="4"/>
  <c r="L4" i="5"/>
  <c r="J27" i="2"/>
  <c r="J262" i="4"/>
  <c r="N4" i="5"/>
  <c r="L27" i="2"/>
  <c r="L262" i="4"/>
  <c r="Q4" i="5"/>
  <c r="M27" i="2"/>
  <c r="M262" i="4"/>
  <c r="R4" i="5"/>
  <c r="T4" i="5"/>
  <c r="O27" i="2"/>
  <c r="O262" i="4"/>
  <c r="U4" i="5"/>
  <c r="W4" i="5"/>
  <c r="Q27" i="2"/>
  <c r="Q262" i="4"/>
  <c r="X4" i="5"/>
  <c r="AA4" i="5"/>
  <c r="AI262" i="4"/>
  <c r="T262" i="4" a="1"/>
  <c r="T262" i="4"/>
  <c r="AC4" i="5"/>
  <c r="U262" i="4" a="1"/>
  <c r="U262" i="4"/>
  <c r="AD4" i="5"/>
  <c r="X27" i="2"/>
  <c r="X262" i="4"/>
  <c r="AI4" i="5"/>
  <c r="Y27" i="2"/>
  <c r="Y262" i="4"/>
  <c r="AJ4" i="5"/>
  <c r="Z27" i="2"/>
  <c r="Z262" i="4"/>
  <c r="AL4" i="5"/>
  <c r="F4" i="5"/>
  <c r="H4" i="5"/>
  <c r="I4" i="5"/>
  <c r="Z4" i="5"/>
  <c r="AN4" i="5"/>
  <c r="AG5" i="5"/>
  <c r="AF5" i="5"/>
  <c r="B30" i="4"/>
  <c r="C16" i="2"/>
  <c r="C30" i="4"/>
  <c r="C5" i="5"/>
  <c r="D16" i="2"/>
  <c r="D30" i="4"/>
  <c r="E5" i="5"/>
  <c r="E27" i="2"/>
  <c r="E16" i="2"/>
  <c r="E30" i="4"/>
  <c r="F5" i="5"/>
  <c r="F27" i="2"/>
  <c r="F16" i="2"/>
  <c r="F30" i="4"/>
  <c r="H5" i="5"/>
  <c r="I5" i="5"/>
  <c r="H16" i="2"/>
  <c r="H30" i="4"/>
  <c r="K5" i="5"/>
  <c r="L16" i="2"/>
  <c r="L30" i="4"/>
  <c r="Q5" i="5"/>
  <c r="M16" i="2"/>
  <c r="M30" i="4"/>
  <c r="R5" i="5"/>
  <c r="T5" i="5"/>
  <c r="U5" i="5"/>
  <c r="P27" i="2"/>
  <c r="P16" i="2"/>
  <c r="P30" i="4"/>
  <c r="W5" i="5"/>
  <c r="Q16" i="2"/>
  <c r="Q30" i="4"/>
  <c r="X5" i="5"/>
  <c r="S27" i="2"/>
  <c r="S30" i="4"/>
  <c r="AA5" i="5"/>
  <c r="AI30" i="4"/>
  <c r="T30" i="4" a="1"/>
  <c r="T30" i="4"/>
  <c r="AC5" i="5"/>
  <c r="U30" i="4" a="1"/>
  <c r="U30" i="4"/>
  <c r="AD5" i="5"/>
  <c r="X30" i="4"/>
  <c r="AI5" i="5"/>
  <c r="Y16" i="2"/>
  <c r="Y30" i="4"/>
  <c r="AJ5" i="5"/>
  <c r="Z16" i="2"/>
  <c r="Z30" i="4"/>
  <c r="AL5" i="5"/>
  <c r="L5" i="5"/>
  <c r="N5" i="5"/>
  <c r="O5" i="5"/>
  <c r="Z5" i="5"/>
  <c r="AN5" i="5"/>
  <c r="AG6" i="5"/>
  <c r="AF6" i="5"/>
  <c r="C40" i="2"/>
  <c r="B198" i="4"/>
  <c r="C198" i="4"/>
  <c r="C6" i="5"/>
  <c r="D198" i="4"/>
  <c r="E6" i="5"/>
  <c r="H198" i="4"/>
  <c r="K6" i="5"/>
  <c r="L198" i="4"/>
  <c r="Q6" i="5"/>
  <c r="M198" i="4"/>
  <c r="R6" i="5"/>
  <c r="N40" i="2"/>
  <c r="N198" i="4"/>
  <c r="T6" i="5"/>
  <c r="O40" i="2"/>
  <c r="O198" i="4"/>
  <c r="U6" i="5"/>
  <c r="P40" i="2"/>
  <c r="P198" i="4"/>
  <c r="W6" i="5"/>
  <c r="Q40" i="2"/>
  <c r="Q198" i="4"/>
  <c r="X6" i="5"/>
  <c r="S40" i="2"/>
  <c r="S198" i="4"/>
  <c r="AA6" i="5"/>
  <c r="AD6" i="5"/>
  <c r="X40" i="2"/>
  <c r="X198" i="4"/>
  <c r="AI6" i="5"/>
  <c r="Y40" i="2"/>
  <c r="Y198" i="4"/>
  <c r="AJ6" i="5"/>
  <c r="Z40" i="2"/>
  <c r="Z198" i="4"/>
  <c r="AL6" i="5"/>
  <c r="F6" i="5"/>
  <c r="H6" i="5"/>
  <c r="I6" i="5"/>
  <c r="L6" i="5"/>
  <c r="N6" i="5"/>
  <c r="O6" i="5"/>
  <c r="Z6" i="5"/>
  <c r="AN6" i="5"/>
  <c r="AG7" i="5"/>
  <c r="AF7" i="5"/>
  <c r="B199" i="4"/>
  <c r="C199" i="4"/>
  <c r="C7" i="5"/>
  <c r="D199" i="4"/>
  <c r="E7" i="5"/>
  <c r="H199" i="4"/>
  <c r="K7" i="5"/>
  <c r="L199" i="4"/>
  <c r="Q7" i="5"/>
  <c r="M199" i="4"/>
  <c r="R7" i="5"/>
  <c r="N199" i="4"/>
  <c r="T7" i="5"/>
  <c r="O199" i="4"/>
  <c r="U7" i="5"/>
  <c r="P199" i="4"/>
  <c r="W7" i="5"/>
  <c r="Q199" i="4"/>
  <c r="X7" i="5"/>
  <c r="S199" i="4"/>
  <c r="AA7" i="5"/>
  <c r="AD7" i="5"/>
  <c r="X199" i="4"/>
  <c r="AI7" i="5"/>
  <c r="Y199" i="4"/>
  <c r="AJ7" i="5"/>
  <c r="Z199" i="4"/>
  <c r="AL7" i="5"/>
  <c r="F7" i="5"/>
  <c r="H7" i="5"/>
  <c r="I7" i="5"/>
  <c r="L7" i="5"/>
  <c r="N7" i="5"/>
  <c r="O7" i="5"/>
  <c r="Z7" i="5"/>
  <c r="AN7" i="5"/>
  <c r="AG8" i="5"/>
  <c r="AF8" i="5"/>
  <c r="B213" i="4"/>
  <c r="C213" i="4"/>
  <c r="C8" i="5"/>
  <c r="D213" i="4"/>
  <c r="E8" i="5"/>
  <c r="H213" i="4"/>
  <c r="K8" i="5"/>
  <c r="L213" i="4"/>
  <c r="Q8" i="5"/>
  <c r="M213" i="4"/>
  <c r="R8" i="5"/>
  <c r="T8" i="5"/>
  <c r="O213" i="4"/>
  <c r="U8" i="5"/>
  <c r="P213" i="4"/>
  <c r="W8" i="5"/>
  <c r="Q213" i="4"/>
  <c r="X8" i="5"/>
  <c r="S213" i="4"/>
  <c r="AA8" i="5"/>
  <c r="AI213" i="4"/>
  <c r="T213" i="4" a="1"/>
  <c r="T213" i="4"/>
  <c r="AC8" i="5"/>
  <c r="U213" i="4" a="1"/>
  <c r="U213" i="4"/>
  <c r="AD8" i="5"/>
  <c r="X213" i="4"/>
  <c r="AI8" i="5"/>
  <c r="Y213" i="4"/>
  <c r="AJ8" i="5"/>
  <c r="Z213" i="4"/>
  <c r="AL8" i="5"/>
  <c r="F8" i="5"/>
  <c r="H8" i="5"/>
  <c r="I8" i="5"/>
  <c r="L8" i="5"/>
  <c r="N8" i="5"/>
  <c r="O8" i="5"/>
  <c r="Z8" i="5"/>
  <c r="AN8" i="5"/>
  <c r="AG9" i="5"/>
  <c r="AF9" i="5"/>
  <c r="C19" i="2"/>
  <c r="C73" i="4"/>
  <c r="C9" i="5"/>
  <c r="D19" i="2"/>
  <c r="D73" i="4"/>
  <c r="E9" i="5"/>
  <c r="E19" i="2"/>
  <c r="E73" i="4"/>
  <c r="F9" i="5"/>
  <c r="F19" i="2"/>
  <c r="F73" i="4"/>
  <c r="H9" i="5"/>
  <c r="I9" i="5"/>
  <c r="H19" i="2"/>
  <c r="H73" i="4"/>
  <c r="K9" i="5"/>
  <c r="L19" i="2"/>
  <c r="L73" i="4"/>
  <c r="Q9" i="5"/>
  <c r="M73" i="4"/>
  <c r="R9" i="5"/>
  <c r="T9" i="5"/>
  <c r="O19" i="2"/>
  <c r="O73" i="4"/>
  <c r="U9" i="5"/>
  <c r="P19" i="2"/>
  <c r="P73" i="4"/>
  <c r="W9" i="5"/>
  <c r="Q19" i="2"/>
  <c r="Q73" i="4"/>
  <c r="X9" i="5"/>
  <c r="S19" i="2"/>
  <c r="S73" i="4"/>
  <c r="AA9" i="5"/>
  <c r="AI73" i="4"/>
  <c r="T73" i="4" a="1"/>
  <c r="T73" i="4"/>
  <c r="AC9" i="5"/>
  <c r="U73" i="4" a="1"/>
  <c r="U73" i="4"/>
  <c r="AD9" i="5"/>
  <c r="X19" i="2"/>
  <c r="X73" i="4"/>
  <c r="AI9" i="5"/>
  <c r="Y19" i="2"/>
  <c r="Y73" i="4"/>
  <c r="AJ9" i="5"/>
  <c r="Z19" i="2"/>
  <c r="Z73" i="4"/>
  <c r="AL9" i="5"/>
  <c r="L9" i="5"/>
  <c r="N9" i="5"/>
  <c r="O9" i="5"/>
  <c r="Z9" i="5"/>
  <c r="AN9" i="5"/>
  <c r="AG10" i="5"/>
  <c r="AF10" i="5"/>
  <c r="C3" i="2"/>
  <c r="B91" i="4"/>
  <c r="C91" i="4"/>
  <c r="C10" i="5"/>
  <c r="D3" i="2"/>
  <c r="D91" i="4"/>
  <c r="E10" i="5"/>
  <c r="K10" i="5"/>
  <c r="L3" i="2"/>
  <c r="L91" i="4"/>
  <c r="Q10" i="5"/>
  <c r="M3" i="2"/>
  <c r="M91" i="4"/>
  <c r="R10" i="5"/>
  <c r="T10" i="5"/>
  <c r="O91" i="4"/>
  <c r="U10" i="5"/>
  <c r="P3" i="2"/>
  <c r="P91" i="4"/>
  <c r="W10" i="5"/>
  <c r="Q3" i="2"/>
  <c r="Q91" i="4"/>
  <c r="X10" i="5"/>
  <c r="S3" i="2"/>
  <c r="S91" i="4"/>
  <c r="AA10" i="5"/>
  <c r="AI91" i="4"/>
  <c r="T91" i="4" a="1"/>
  <c r="T91" i="4"/>
  <c r="AC10" i="5"/>
  <c r="U91" i="4" a="1"/>
  <c r="U91" i="4"/>
  <c r="AD10" i="5"/>
  <c r="X3" i="2"/>
  <c r="X91" i="4"/>
  <c r="AI10" i="5"/>
  <c r="Y3" i="2"/>
  <c r="Y91" i="4"/>
  <c r="AJ10" i="5"/>
  <c r="Z3" i="2"/>
  <c r="Z91" i="4"/>
  <c r="AL10" i="5"/>
  <c r="F10" i="5"/>
  <c r="H10" i="5"/>
  <c r="I10" i="5"/>
  <c r="L10" i="5"/>
  <c r="N10" i="5"/>
  <c r="O10" i="5"/>
  <c r="Z10" i="5"/>
  <c r="AN10" i="5"/>
  <c r="AG11" i="5"/>
  <c r="AF11" i="5"/>
  <c r="C2" i="2"/>
  <c r="B92" i="4"/>
  <c r="C92" i="4"/>
  <c r="C11" i="5"/>
  <c r="D2" i="2"/>
  <c r="D92" i="4"/>
  <c r="E11" i="5"/>
  <c r="K11" i="5"/>
  <c r="L2" i="2"/>
  <c r="L92" i="4"/>
  <c r="Q11" i="5"/>
  <c r="M2" i="2"/>
  <c r="M92" i="4"/>
  <c r="R11" i="5"/>
  <c r="T11" i="5"/>
  <c r="U11" i="5"/>
  <c r="P2" i="2"/>
  <c r="P92" i="4"/>
  <c r="W11" i="5"/>
  <c r="Q2" i="2"/>
  <c r="Q92" i="4"/>
  <c r="X11" i="5"/>
  <c r="S2" i="2"/>
  <c r="S92" i="4"/>
  <c r="AA11" i="5"/>
  <c r="AI92" i="4"/>
  <c r="T92" i="4" a="1"/>
  <c r="T92" i="4"/>
  <c r="AC11" i="5"/>
  <c r="U92" i="4" a="1"/>
  <c r="U92" i="4"/>
  <c r="AD11" i="5"/>
  <c r="X2" i="2"/>
  <c r="X92" i="4"/>
  <c r="AI11" i="5"/>
  <c r="Y2" i="2"/>
  <c r="Y92" i="4"/>
  <c r="AJ11" i="5"/>
  <c r="Z2" i="2"/>
  <c r="Z92" i="4"/>
  <c r="AL11" i="5"/>
  <c r="F11" i="5"/>
  <c r="H11" i="5"/>
  <c r="I11" i="5"/>
  <c r="L11" i="5"/>
  <c r="N11" i="5"/>
  <c r="O11" i="5"/>
  <c r="Z11" i="5"/>
  <c r="AN11" i="5"/>
  <c r="S30" i="2"/>
  <c r="B256" i="4"/>
  <c r="S256" i="4"/>
  <c r="AA12" i="5"/>
  <c r="P30" i="2"/>
  <c r="P256" i="4"/>
  <c r="W12" i="5"/>
  <c r="O12" i="5"/>
  <c r="K12" i="5"/>
  <c r="AG12" i="5"/>
  <c r="AF12" i="5"/>
  <c r="C30" i="2"/>
  <c r="C256" i="4"/>
  <c r="C12" i="5"/>
  <c r="D30" i="2"/>
  <c r="D256" i="4"/>
  <c r="E12" i="5"/>
  <c r="E30" i="2"/>
  <c r="E256" i="4"/>
  <c r="F12" i="5"/>
  <c r="F30" i="2"/>
  <c r="F256" i="4"/>
  <c r="H12" i="5"/>
  <c r="I12" i="5"/>
  <c r="L30" i="2"/>
  <c r="L256" i="4"/>
  <c r="Q12" i="5"/>
  <c r="M30" i="2"/>
  <c r="M256" i="4"/>
  <c r="R12" i="5"/>
  <c r="T12" i="5"/>
  <c r="O30" i="2"/>
  <c r="O256" i="4"/>
  <c r="U12" i="5"/>
  <c r="Q256" i="4"/>
  <c r="X12" i="5"/>
  <c r="R30" i="2"/>
  <c r="R256" i="4"/>
  <c r="Z12" i="5"/>
  <c r="AI256" i="4"/>
  <c r="T256" i="4" a="1"/>
  <c r="T256" i="4"/>
  <c r="AC12" i="5"/>
  <c r="U256" i="4" a="1"/>
  <c r="U256" i="4"/>
  <c r="AD12" i="5"/>
  <c r="X256" i="4"/>
  <c r="AI12" i="5"/>
  <c r="Y30" i="2"/>
  <c r="Y256" i="4"/>
  <c r="AJ12" i="5"/>
  <c r="Z30" i="2"/>
  <c r="Z256" i="4"/>
  <c r="AL12" i="5"/>
  <c r="AN12" i="5"/>
  <c r="B257" i="4"/>
  <c r="S257" i="4"/>
  <c r="AA13" i="5"/>
  <c r="P8" i="2"/>
  <c r="P257" i="4"/>
  <c r="W13" i="5"/>
  <c r="O13" i="5"/>
  <c r="K13" i="5"/>
  <c r="AG13" i="5"/>
  <c r="AF13" i="5"/>
  <c r="C8" i="2"/>
  <c r="C257" i="4"/>
  <c r="C13" i="5"/>
  <c r="D257" i="4"/>
  <c r="E13" i="5"/>
  <c r="E8" i="2"/>
  <c r="E257" i="4"/>
  <c r="F13" i="5"/>
  <c r="F8" i="2"/>
  <c r="F257" i="4"/>
  <c r="H13" i="5"/>
  <c r="I13" i="5"/>
  <c r="I8" i="2"/>
  <c r="I257" i="4"/>
  <c r="L13" i="5"/>
  <c r="J8" i="2"/>
  <c r="J257" i="4"/>
  <c r="N13" i="5"/>
  <c r="L257" i="4"/>
  <c r="Q13" i="5"/>
  <c r="M257" i="4"/>
  <c r="R13" i="5"/>
  <c r="T13" i="5"/>
  <c r="O8" i="2"/>
  <c r="O257" i="4"/>
  <c r="U13" i="5"/>
  <c r="Q8" i="2"/>
  <c r="Q257" i="4"/>
  <c r="X13" i="5"/>
  <c r="R8" i="2"/>
  <c r="R257" i="4"/>
  <c r="Z13" i="5"/>
  <c r="AI257" i="4"/>
  <c r="T257" i="4" a="1"/>
  <c r="T257" i="4"/>
  <c r="AC13" i="5"/>
  <c r="U257" i="4" a="1"/>
  <c r="U257" i="4"/>
  <c r="AD13" i="5"/>
  <c r="X8" i="2"/>
  <c r="X257" i="4"/>
  <c r="AI13" i="5"/>
  <c r="Y8" i="2"/>
  <c r="Y257" i="4"/>
  <c r="AJ13" i="5"/>
  <c r="Z8" i="2"/>
  <c r="Z257" i="4"/>
  <c r="AL13" i="5"/>
  <c r="AN13" i="5"/>
  <c r="AG14" i="5"/>
  <c r="AF14" i="5"/>
  <c r="B276" i="4"/>
  <c r="C276" i="4"/>
  <c r="C14" i="5"/>
  <c r="D276" i="4"/>
  <c r="E14" i="5"/>
  <c r="E276" i="4"/>
  <c r="F14" i="5"/>
  <c r="F276" i="4"/>
  <c r="H14" i="5"/>
  <c r="I14" i="5"/>
  <c r="H276" i="4"/>
  <c r="K14" i="5"/>
  <c r="L276" i="4"/>
  <c r="Q14" i="5"/>
  <c r="M276" i="4"/>
  <c r="R14" i="5"/>
  <c r="T14" i="5"/>
  <c r="O276" i="4"/>
  <c r="U14" i="5"/>
  <c r="P276" i="4"/>
  <c r="W14" i="5"/>
  <c r="Q276" i="4"/>
  <c r="X14" i="5"/>
  <c r="S276" i="4"/>
  <c r="AA14" i="5"/>
  <c r="AI276" i="4"/>
  <c r="T276" i="4" a="1"/>
  <c r="T276" i="4"/>
  <c r="AC14" i="5"/>
  <c r="U276" i="4" a="1"/>
  <c r="U276" i="4"/>
  <c r="AD14" i="5"/>
  <c r="X276" i="4"/>
  <c r="AI14" i="5"/>
  <c r="Y276" i="4"/>
  <c r="AJ14" i="5"/>
  <c r="Z276" i="4"/>
  <c r="AL14" i="5"/>
  <c r="L14" i="5"/>
  <c r="N14" i="5"/>
  <c r="O14" i="5"/>
  <c r="Z14" i="5"/>
  <c r="AN14" i="5"/>
  <c r="AG15" i="5"/>
  <c r="AF15" i="5"/>
  <c r="C41" i="2"/>
  <c r="B114" i="4"/>
  <c r="C114" i="4"/>
  <c r="C15" i="5"/>
  <c r="D41" i="2"/>
  <c r="D114" i="4"/>
  <c r="E15" i="5"/>
  <c r="E41" i="2"/>
  <c r="E114" i="4"/>
  <c r="F15" i="5"/>
  <c r="F41" i="2"/>
  <c r="F114" i="4"/>
  <c r="H15" i="5"/>
  <c r="I15" i="5"/>
  <c r="K15" i="5"/>
  <c r="L41" i="2"/>
  <c r="L114" i="4"/>
  <c r="Q15" i="5"/>
  <c r="M41" i="2"/>
  <c r="M114" i="4"/>
  <c r="R15" i="5"/>
  <c r="T15" i="5"/>
  <c r="O114" i="4"/>
  <c r="U15" i="5"/>
  <c r="P41" i="2"/>
  <c r="P114" i="4"/>
  <c r="W15" i="5"/>
  <c r="Q41" i="2"/>
  <c r="Q114" i="4"/>
  <c r="X15" i="5"/>
  <c r="S41" i="2"/>
  <c r="S114" i="4"/>
  <c r="AA15" i="5"/>
  <c r="AI114" i="4"/>
  <c r="T114" i="4" a="1"/>
  <c r="T114" i="4"/>
  <c r="AC15" i="5"/>
  <c r="U114" i="4" a="1"/>
  <c r="U114" i="4"/>
  <c r="AD15" i="5"/>
  <c r="X41" i="2"/>
  <c r="X114" i="4"/>
  <c r="AI15" i="5"/>
  <c r="Y41" i="2"/>
  <c r="Y114" i="4"/>
  <c r="AJ15" i="5"/>
  <c r="Z41" i="2"/>
  <c r="Z114" i="4"/>
  <c r="AL15" i="5"/>
  <c r="L15" i="5"/>
  <c r="N15" i="5"/>
  <c r="O15" i="5"/>
  <c r="Z15" i="5"/>
  <c r="AN15" i="5"/>
  <c r="S152" i="4"/>
  <c r="AA16" i="5"/>
  <c r="P152" i="4"/>
  <c r="W16" i="5"/>
  <c r="AG16" i="5"/>
  <c r="AF16" i="5"/>
  <c r="C152" i="4"/>
  <c r="C16" i="5"/>
  <c r="D152" i="4"/>
  <c r="E16" i="5"/>
  <c r="K16" i="5"/>
  <c r="L152" i="4"/>
  <c r="Q16" i="5"/>
  <c r="M152" i="4"/>
  <c r="R16" i="5"/>
  <c r="T16" i="5"/>
  <c r="U16" i="5"/>
  <c r="Q152" i="4"/>
  <c r="X16" i="5"/>
  <c r="R152" i="4"/>
  <c r="Z16" i="5"/>
  <c r="AI152" i="4"/>
  <c r="T152" i="4" a="1"/>
  <c r="T152" i="4"/>
  <c r="AC16" i="5"/>
  <c r="U152" i="4" a="1"/>
  <c r="U152" i="4"/>
  <c r="AD16" i="5"/>
  <c r="X152" i="4"/>
  <c r="AI16" i="5"/>
  <c r="Y152" i="4"/>
  <c r="AJ16" i="5"/>
  <c r="Z152" i="4"/>
  <c r="AL16" i="5"/>
  <c r="L16" i="5"/>
  <c r="N16" i="5"/>
  <c r="O16" i="5"/>
  <c r="F16" i="5"/>
  <c r="H16" i="5"/>
  <c r="I16" i="5"/>
  <c r="AN16" i="5"/>
  <c r="S153" i="4"/>
  <c r="AA17" i="5"/>
  <c r="P153" i="4"/>
  <c r="W17" i="5"/>
  <c r="AG17" i="5"/>
  <c r="AF17" i="5"/>
  <c r="C153" i="4"/>
  <c r="C17" i="5"/>
  <c r="D153" i="4"/>
  <c r="E17" i="5"/>
  <c r="H153" i="4"/>
  <c r="K17" i="5"/>
  <c r="L153" i="4"/>
  <c r="Q17" i="5"/>
  <c r="M153" i="4"/>
  <c r="R17" i="5"/>
  <c r="T17" i="5"/>
  <c r="U17" i="5"/>
  <c r="Q153" i="4"/>
  <c r="X17" i="5"/>
  <c r="R153" i="4"/>
  <c r="Z17" i="5"/>
  <c r="AI153" i="4"/>
  <c r="T153" i="4" a="1"/>
  <c r="T153" i="4"/>
  <c r="AC17" i="5"/>
  <c r="U153" i="4" a="1"/>
  <c r="U153" i="4"/>
  <c r="AD17" i="5"/>
  <c r="X153" i="4"/>
  <c r="AI17" i="5"/>
  <c r="Y153" i="4"/>
  <c r="AJ17" i="5"/>
  <c r="Z153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185" i="4"/>
  <c r="C185" i="4"/>
  <c r="C21" i="5"/>
  <c r="D36" i="2"/>
  <c r="D185" i="4"/>
  <c r="E21" i="5"/>
  <c r="L36" i="2"/>
  <c r="L185" i="4"/>
  <c r="Q21" i="5"/>
  <c r="M36" i="2"/>
  <c r="M185" i="4"/>
  <c r="R21" i="5"/>
  <c r="T21" i="5"/>
  <c r="O36" i="2"/>
  <c r="O185" i="4"/>
  <c r="U21" i="5"/>
  <c r="P36" i="2"/>
  <c r="P185" i="4"/>
  <c r="W21" i="5"/>
  <c r="Q36" i="2"/>
  <c r="Q185" i="4"/>
  <c r="X21" i="5"/>
  <c r="S36" i="2"/>
  <c r="S185" i="4"/>
  <c r="AA21" i="5"/>
  <c r="AI185" i="4"/>
  <c r="T185" i="4" a="1"/>
  <c r="T185" i="4"/>
  <c r="AC21" i="5"/>
  <c r="U185" i="4" a="1"/>
  <c r="U185" i="4"/>
  <c r="AD21" i="5"/>
  <c r="X36" i="2"/>
  <c r="X185" i="4"/>
  <c r="AI21" i="5"/>
  <c r="Y36" i="2"/>
  <c r="Y185" i="4"/>
  <c r="AJ21" i="5"/>
  <c r="Z36" i="2"/>
  <c r="Z185" i="4"/>
  <c r="AL21" i="5"/>
  <c r="L21" i="5"/>
  <c r="N21" i="5"/>
  <c r="O21" i="5"/>
  <c r="F21" i="5"/>
  <c r="H21" i="5"/>
  <c r="I21" i="5"/>
  <c r="Z21" i="5"/>
  <c r="AN21" i="5"/>
  <c r="AG22" i="5"/>
  <c r="AF22" i="5"/>
  <c r="C38" i="2"/>
  <c r="B192" i="4"/>
  <c r="C192" i="4"/>
  <c r="C22" i="5"/>
  <c r="D38" i="2"/>
  <c r="D192" i="4"/>
  <c r="E22" i="5"/>
  <c r="H38" i="2"/>
  <c r="H192" i="4"/>
  <c r="K22" i="5"/>
  <c r="L38" i="2"/>
  <c r="L192" i="4"/>
  <c r="Q22" i="5"/>
  <c r="M38" i="2"/>
  <c r="M192" i="4"/>
  <c r="R22" i="5"/>
  <c r="T22" i="5"/>
  <c r="O38" i="2"/>
  <c r="O192" i="4"/>
  <c r="U22" i="5"/>
  <c r="P38" i="2"/>
  <c r="P192" i="4"/>
  <c r="W22" i="5"/>
  <c r="Q38" i="2"/>
  <c r="Q192" i="4"/>
  <c r="X22" i="5"/>
  <c r="S38" i="2"/>
  <c r="S192" i="4"/>
  <c r="AA22" i="5"/>
  <c r="AI192" i="4"/>
  <c r="T192" i="4" a="1"/>
  <c r="T192" i="4"/>
  <c r="AC22" i="5"/>
  <c r="U192" i="4" a="1"/>
  <c r="U192" i="4"/>
  <c r="AD22" i="5"/>
  <c r="X38" i="2"/>
  <c r="X192" i="4"/>
  <c r="AI22" i="5"/>
  <c r="Y38" i="2"/>
  <c r="Y192" i="4"/>
  <c r="AJ22" i="5"/>
  <c r="Z38" i="2"/>
  <c r="Z192" i="4"/>
  <c r="AL22" i="5"/>
  <c r="L22" i="5"/>
  <c r="N22" i="5"/>
  <c r="O22" i="5"/>
  <c r="F22" i="5"/>
  <c r="H22" i="5"/>
  <c r="I22" i="5"/>
  <c r="Z22" i="5"/>
  <c r="AN22" i="5"/>
  <c r="AG23" i="5"/>
  <c r="AF23" i="5"/>
  <c r="C193" i="4"/>
  <c r="C23" i="5"/>
  <c r="D193" i="4"/>
  <c r="E23" i="5"/>
  <c r="H36" i="2"/>
  <c r="H193" i="4"/>
  <c r="K23" i="5"/>
  <c r="I36" i="2"/>
  <c r="I193" i="4"/>
  <c r="L23" i="5"/>
  <c r="J36" i="2"/>
  <c r="J193" i="4"/>
  <c r="N23" i="5"/>
  <c r="O23" i="5"/>
  <c r="L193" i="4"/>
  <c r="Q23" i="5"/>
  <c r="M193" i="4"/>
  <c r="R23" i="5"/>
  <c r="T23" i="5"/>
  <c r="O193" i="4"/>
  <c r="U23" i="5"/>
  <c r="P193" i="4"/>
  <c r="W23" i="5"/>
  <c r="Q193" i="4"/>
  <c r="X23" i="5"/>
  <c r="S193" i="4"/>
  <c r="AA23" i="5"/>
  <c r="AI193" i="4"/>
  <c r="T193" i="4" a="1"/>
  <c r="T193" i="4"/>
  <c r="AC23" i="5"/>
  <c r="U193" i="4" a="1"/>
  <c r="U193" i="4"/>
  <c r="AD23" i="5"/>
  <c r="X193" i="4"/>
  <c r="AI23" i="5"/>
  <c r="Y193" i="4"/>
  <c r="AJ23" i="5"/>
  <c r="Z193" i="4"/>
  <c r="AL23" i="5"/>
  <c r="F23" i="5"/>
  <c r="H23" i="5"/>
  <c r="I23" i="5"/>
  <c r="Z23" i="5"/>
  <c r="AN23" i="5"/>
  <c r="AG24" i="5"/>
  <c r="AF24" i="5"/>
  <c r="C194" i="4"/>
  <c r="C24" i="5"/>
  <c r="D194" i="4"/>
  <c r="E24" i="5"/>
  <c r="H194" i="4"/>
  <c r="K24" i="5"/>
  <c r="L194" i="4"/>
  <c r="Q24" i="5"/>
  <c r="M194" i="4"/>
  <c r="R24" i="5"/>
  <c r="T24" i="5"/>
  <c r="O194" i="4"/>
  <c r="U24" i="5"/>
  <c r="P194" i="4"/>
  <c r="W24" i="5"/>
  <c r="Q194" i="4"/>
  <c r="X24" i="5"/>
  <c r="S194" i="4"/>
  <c r="AA24" i="5"/>
  <c r="AI194" i="4"/>
  <c r="T194" i="4" a="1"/>
  <c r="T194" i="4"/>
  <c r="AC24" i="5"/>
  <c r="U194" i="4" a="1"/>
  <c r="U194" i="4"/>
  <c r="AD24" i="5"/>
  <c r="X194" i="4"/>
  <c r="AI24" i="5"/>
  <c r="Y194" i="4"/>
  <c r="AJ24" i="5"/>
  <c r="Z194" i="4"/>
  <c r="AL24" i="5"/>
  <c r="L24" i="5"/>
  <c r="N24" i="5"/>
  <c r="O24" i="5"/>
  <c r="F24" i="5"/>
  <c r="H24" i="5"/>
  <c r="I24" i="5"/>
  <c r="Z24" i="5"/>
  <c r="AN24" i="5"/>
  <c r="AG25" i="5"/>
  <c r="AF25" i="5"/>
  <c r="C196" i="4"/>
  <c r="C25" i="5"/>
  <c r="D196" i="4"/>
  <c r="E25" i="5"/>
  <c r="H196" i="4"/>
  <c r="K25" i="5"/>
  <c r="L196" i="4"/>
  <c r="Q25" i="5"/>
  <c r="M196" i="4"/>
  <c r="R25" i="5"/>
  <c r="T25" i="5"/>
  <c r="O196" i="4"/>
  <c r="U25" i="5"/>
  <c r="P196" i="4"/>
  <c r="W25" i="5"/>
  <c r="Q196" i="4"/>
  <c r="X25" i="5"/>
  <c r="S196" i="4"/>
  <c r="AA25" i="5"/>
  <c r="AI196" i="4"/>
  <c r="T196" i="4" a="1"/>
  <c r="T196" i="4"/>
  <c r="AC25" i="5"/>
  <c r="U196" i="4" a="1"/>
  <c r="U196" i="4"/>
  <c r="AD25" i="5"/>
  <c r="X196" i="4"/>
  <c r="AI25" i="5"/>
  <c r="Y196" i="4"/>
  <c r="AJ25" i="5"/>
  <c r="Z196" i="4"/>
  <c r="AL25" i="5"/>
  <c r="L25" i="5"/>
  <c r="N25" i="5"/>
  <c r="O25" i="5"/>
  <c r="F25" i="5"/>
  <c r="H25" i="5"/>
  <c r="I25" i="5"/>
  <c r="Z25" i="5"/>
  <c r="AN25" i="5"/>
  <c r="AG26" i="5"/>
  <c r="AF26" i="5"/>
  <c r="C197" i="4"/>
  <c r="C26" i="5"/>
  <c r="D197" i="4"/>
  <c r="E26" i="5"/>
  <c r="H197" i="4"/>
  <c r="K26" i="5"/>
  <c r="L197" i="4"/>
  <c r="Q26" i="5"/>
  <c r="M197" i="4"/>
  <c r="R26" i="5"/>
  <c r="T26" i="5"/>
  <c r="O197" i="4"/>
  <c r="U26" i="5"/>
  <c r="P197" i="4"/>
  <c r="W26" i="5"/>
  <c r="Q197" i="4"/>
  <c r="X26" i="5"/>
  <c r="S197" i="4"/>
  <c r="AA26" i="5"/>
  <c r="AI197" i="4"/>
  <c r="T197" i="4" a="1"/>
  <c r="T197" i="4"/>
  <c r="AC26" i="5"/>
  <c r="U197" i="4" a="1"/>
  <c r="U197" i="4"/>
  <c r="AD26" i="5"/>
  <c r="X197" i="4"/>
  <c r="AI26" i="5"/>
  <c r="Y197" i="4"/>
  <c r="AJ26" i="5"/>
  <c r="Z197" i="4"/>
  <c r="AL26" i="5"/>
  <c r="L26" i="5"/>
  <c r="N26" i="5"/>
  <c r="O26" i="5"/>
  <c r="F26" i="5"/>
  <c r="H26" i="5"/>
  <c r="I26" i="5"/>
  <c r="Z26" i="5"/>
  <c r="AN26" i="5"/>
  <c r="AG27" i="5"/>
  <c r="AF27" i="5"/>
  <c r="B208" i="4"/>
  <c r="C208" i="4"/>
  <c r="C27" i="5"/>
  <c r="D208" i="4"/>
  <c r="E27" i="5"/>
  <c r="E208" i="4"/>
  <c r="F27" i="5"/>
  <c r="F208" i="4"/>
  <c r="H27" i="5"/>
  <c r="I27" i="5"/>
  <c r="K27" i="5"/>
  <c r="L208" i="4"/>
  <c r="Q27" i="5"/>
  <c r="M208" i="4"/>
  <c r="R27" i="5"/>
  <c r="T27" i="5"/>
  <c r="O208" i="4"/>
  <c r="U27" i="5"/>
  <c r="P208" i="4"/>
  <c r="W27" i="5"/>
  <c r="Q208" i="4"/>
  <c r="X27" i="5"/>
  <c r="S208" i="4"/>
  <c r="AA27" i="5"/>
  <c r="AI208" i="4"/>
  <c r="T208" i="4" a="1"/>
  <c r="T208" i="4"/>
  <c r="AC27" i="5"/>
  <c r="U208" i="4" a="1"/>
  <c r="U208" i="4"/>
  <c r="AD27" i="5"/>
  <c r="X208" i="4"/>
  <c r="AI27" i="5"/>
  <c r="Y208" i="4"/>
  <c r="AJ27" i="5"/>
  <c r="Z208" i="4"/>
  <c r="AL27" i="5"/>
  <c r="L27" i="5"/>
  <c r="N27" i="5"/>
  <c r="O27" i="5"/>
  <c r="Z27" i="5"/>
  <c r="AN27" i="5"/>
  <c r="AG28" i="5"/>
  <c r="AF28" i="5"/>
  <c r="C44" i="2"/>
  <c r="B210" i="4"/>
  <c r="C210" i="4"/>
  <c r="C28" i="5"/>
  <c r="D44" i="2"/>
  <c r="D210" i="4"/>
  <c r="E28" i="5"/>
  <c r="E44" i="2"/>
  <c r="E210" i="4"/>
  <c r="F28" i="5"/>
  <c r="F44" i="2"/>
  <c r="F210" i="4"/>
  <c r="H28" i="5"/>
  <c r="I28" i="5"/>
  <c r="H44" i="2"/>
  <c r="H210" i="4"/>
  <c r="K28" i="5"/>
  <c r="L44" i="2"/>
  <c r="L210" i="4"/>
  <c r="Q28" i="5"/>
  <c r="M44" i="2"/>
  <c r="M210" i="4"/>
  <c r="R28" i="5"/>
  <c r="N210" i="4"/>
  <c r="T28" i="5"/>
  <c r="O44" i="2"/>
  <c r="O210" i="4"/>
  <c r="U28" i="5"/>
  <c r="P44" i="2"/>
  <c r="P210" i="4"/>
  <c r="W28" i="5"/>
  <c r="Q44" i="2"/>
  <c r="Q210" i="4"/>
  <c r="X28" i="5"/>
  <c r="S44" i="2"/>
  <c r="S210" i="4"/>
  <c r="AA28" i="5"/>
  <c r="AI210" i="4"/>
  <c r="T210" i="4" a="1"/>
  <c r="T210" i="4"/>
  <c r="AC28" i="5"/>
  <c r="U210" i="4" a="1"/>
  <c r="U210" i="4"/>
  <c r="AD28" i="5"/>
  <c r="X44" i="2"/>
  <c r="X210" i="4"/>
  <c r="AI28" i="5"/>
  <c r="Y44" i="2"/>
  <c r="Y210" i="4"/>
  <c r="AJ28" i="5"/>
  <c r="Z44" i="2"/>
  <c r="Z210" i="4"/>
  <c r="AL28" i="5"/>
  <c r="L28" i="5"/>
  <c r="N28" i="5"/>
  <c r="O28" i="5"/>
  <c r="Z28" i="5"/>
  <c r="AN28" i="5"/>
  <c r="O29" i="5"/>
  <c r="B219" i="4"/>
  <c r="H219" i="4"/>
  <c r="K29" i="5"/>
  <c r="AG29" i="5"/>
  <c r="AF29" i="5"/>
  <c r="C14" i="2"/>
  <c r="C219" i="4"/>
  <c r="C29" i="5"/>
  <c r="D14" i="2"/>
  <c r="D219" i="4"/>
  <c r="E29" i="5"/>
  <c r="I14" i="2"/>
  <c r="I219" i="4"/>
  <c r="L29" i="5"/>
  <c r="J14" i="2"/>
  <c r="J219" i="4"/>
  <c r="N29" i="5"/>
  <c r="L14" i="2"/>
  <c r="L219" i="4"/>
  <c r="Q29" i="5"/>
  <c r="M14" i="2"/>
  <c r="M219" i="4"/>
  <c r="R29" i="5"/>
  <c r="T29" i="5"/>
  <c r="O14" i="2"/>
  <c r="O219" i="4"/>
  <c r="U29" i="5"/>
  <c r="P14" i="2"/>
  <c r="P219" i="4"/>
  <c r="W29" i="5"/>
  <c r="Q14" i="2"/>
  <c r="Q219" i="4"/>
  <c r="X29" i="5"/>
  <c r="AA29" i="5"/>
  <c r="AI219" i="4"/>
  <c r="T219" i="4" a="1"/>
  <c r="T219" i="4"/>
  <c r="AC29" i="5"/>
  <c r="U219" i="4" a="1"/>
  <c r="U219" i="4"/>
  <c r="AD29" i="5"/>
  <c r="Y14" i="2"/>
  <c r="Y219" i="4"/>
  <c r="AJ29" i="5"/>
  <c r="Z14" i="2"/>
  <c r="Z219" i="4"/>
  <c r="AL29" i="5"/>
  <c r="F29" i="5"/>
  <c r="H29" i="5"/>
  <c r="I29" i="5"/>
  <c r="Z29" i="5"/>
  <c r="AN29" i="5"/>
  <c r="AG30" i="5"/>
  <c r="AF30" i="5"/>
  <c r="B220" i="4"/>
  <c r="C220" i="4"/>
  <c r="C30" i="5"/>
  <c r="D220" i="4"/>
  <c r="E30" i="5"/>
  <c r="H220" i="4"/>
  <c r="K30" i="5"/>
  <c r="L220" i="4"/>
  <c r="Q30" i="5"/>
  <c r="M220" i="4"/>
  <c r="R30" i="5"/>
  <c r="T30" i="5"/>
  <c r="O220" i="4"/>
  <c r="U30" i="5"/>
  <c r="P220" i="4"/>
  <c r="W30" i="5"/>
  <c r="Q220" i="4"/>
  <c r="X30" i="5"/>
  <c r="AA30" i="5"/>
  <c r="AI220" i="4"/>
  <c r="T220" i="4" a="1"/>
  <c r="T220" i="4"/>
  <c r="AC30" i="5"/>
  <c r="U220" i="4" a="1"/>
  <c r="U220" i="4"/>
  <c r="AD30" i="5"/>
  <c r="Y220" i="4"/>
  <c r="AJ30" i="5"/>
  <c r="Z220" i="4"/>
  <c r="AL30" i="5"/>
  <c r="L30" i="5"/>
  <c r="N30" i="5"/>
  <c r="O30" i="5"/>
  <c r="F30" i="5"/>
  <c r="H30" i="5"/>
  <c r="I30" i="5"/>
  <c r="Z30" i="5"/>
  <c r="AN30" i="5"/>
  <c r="S29" i="2"/>
  <c r="S221" i="4"/>
  <c r="AA31" i="5"/>
  <c r="P29" i="2"/>
  <c r="P221" i="4"/>
  <c r="W31" i="5"/>
  <c r="AG31" i="5"/>
  <c r="AF31" i="5"/>
  <c r="C29" i="2"/>
  <c r="C221" i="4"/>
  <c r="C31" i="5"/>
  <c r="D29" i="2"/>
  <c r="D221" i="4"/>
  <c r="E31" i="5"/>
  <c r="K31" i="5"/>
  <c r="L29" i="2"/>
  <c r="L221" i="4"/>
  <c r="Q31" i="5"/>
  <c r="M29" i="2"/>
  <c r="M221" i="4"/>
  <c r="R31" i="5"/>
  <c r="T31" i="5"/>
  <c r="O29" i="2"/>
  <c r="O221" i="4"/>
  <c r="U31" i="5"/>
  <c r="Q29" i="2"/>
  <c r="Q221" i="4"/>
  <c r="X31" i="5"/>
  <c r="R29" i="2"/>
  <c r="R221" i="4"/>
  <c r="Z31" i="5"/>
  <c r="AI221" i="4"/>
  <c r="T221" i="4" a="1"/>
  <c r="T221" i="4"/>
  <c r="AC31" i="5"/>
  <c r="U221" i="4" a="1"/>
  <c r="U221" i="4"/>
  <c r="AD31" i="5"/>
  <c r="AI31" i="5"/>
  <c r="Y29" i="2"/>
  <c r="Y221" i="4"/>
  <c r="AJ31" i="5"/>
  <c r="Z29" i="2"/>
  <c r="Z221" i="4"/>
  <c r="AL31" i="5"/>
  <c r="L31" i="5"/>
  <c r="N31" i="5"/>
  <c r="O31" i="5"/>
  <c r="F31" i="5"/>
  <c r="H31" i="5"/>
  <c r="I31" i="5"/>
  <c r="AN31" i="5"/>
  <c r="B222" i="4"/>
  <c r="S222" i="4"/>
  <c r="AA32" i="5"/>
  <c r="P222" i="4"/>
  <c r="W32" i="5"/>
  <c r="AG32" i="5"/>
  <c r="AF32" i="5"/>
  <c r="C222" i="4"/>
  <c r="C32" i="5"/>
  <c r="D222" i="4"/>
  <c r="E32" i="5"/>
  <c r="K32" i="5"/>
  <c r="L222" i="4"/>
  <c r="Q32" i="5"/>
  <c r="M222" i="4"/>
  <c r="R32" i="5"/>
  <c r="T32" i="5"/>
  <c r="O222" i="4"/>
  <c r="U32" i="5"/>
  <c r="Q222" i="4"/>
  <c r="X32" i="5"/>
  <c r="R222" i="4"/>
  <c r="Z32" i="5"/>
  <c r="AI222" i="4"/>
  <c r="T222" i="4" a="1"/>
  <c r="T222" i="4"/>
  <c r="AC32" i="5"/>
  <c r="U222" i="4" a="1"/>
  <c r="U222" i="4"/>
  <c r="AD32" i="5"/>
  <c r="X222" i="4"/>
  <c r="AI32" i="5"/>
  <c r="Y222" i="4"/>
  <c r="AJ32" i="5"/>
  <c r="Z222" i="4"/>
  <c r="AL32" i="5"/>
  <c r="L32" i="5"/>
  <c r="N32" i="5"/>
  <c r="O32" i="5"/>
  <c r="F32" i="5"/>
  <c r="H32" i="5"/>
  <c r="I32" i="5"/>
  <c r="AN32" i="5"/>
  <c r="B223" i="4"/>
  <c r="S223" i="4"/>
  <c r="AA33" i="5"/>
  <c r="P223" i="4"/>
  <c r="W33" i="5"/>
  <c r="AG33" i="5"/>
  <c r="AF33" i="5"/>
  <c r="C223" i="4"/>
  <c r="C33" i="5"/>
  <c r="D223" i="4"/>
  <c r="E33" i="5"/>
  <c r="K33" i="5"/>
  <c r="L223" i="4"/>
  <c r="Q33" i="5"/>
  <c r="M223" i="4"/>
  <c r="R33" i="5"/>
  <c r="T33" i="5"/>
  <c r="O223" i="4"/>
  <c r="U33" i="5"/>
  <c r="Q223" i="4"/>
  <c r="X33" i="5"/>
  <c r="R223" i="4"/>
  <c r="Z33" i="5"/>
  <c r="AI223" i="4"/>
  <c r="T223" i="4" a="1"/>
  <c r="T223" i="4"/>
  <c r="AC33" i="5"/>
  <c r="U223" i="4" a="1"/>
  <c r="U223" i="4"/>
  <c r="AD33" i="5"/>
  <c r="X223" i="4"/>
  <c r="AI33" i="5"/>
  <c r="Y223" i="4"/>
  <c r="AJ33" i="5"/>
  <c r="Z223" i="4"/>
  <c r="AL33" i="5"/>
  <c r="L33" i="5"/>
  <c r="N33" i="5"/>
  <c r="O33" i="5"/>
  <c r="F33" i="5"/>
  <c r="H33" i="5"/>
  <c r="I33" i="5"/>
  <c r="AN33" i="5"/>
  <c r="B225" i="4"/>
  <c r="S225" i="4"/>
  <c r="AA34" i="5"/>
  <c r="P225" i="4"/>
  <c r="W34" i="5"/>
  <c r="AG34" i="5"/>
  <c r="AF34" i="5"/>
  <c r="C225" i="4"/>
  <c r="C34" i="5"/>
  <c r="D225" i="4"/>
  <c r="E34" i="5"/>
  <c r="K34" i="5"/>
  <c r="L225" i="4"/>
  <c r="Q34" i="5"/>
  <c r="M225" i="4"/>
  <c r="R34" i="5"/>
  <c r="T34" i="5"/>
  <c r="O225" i="4"/>
  <c r="U34" i="5"/>
  <c r="Q225" i="4"/>
  <c r="X34" i="5"/>
  <c r="R225" i="4"/>
  <c r="Z34" i="5"/>
  <c r="AI225" i="4"/>
  <c r="T225" i="4" a="1"/>
  <c r="T225" i="4"/>
  <c r="AC34" i="5"/>
  <c r="U225" i="4" a="1"/>
  <c r="U225" i="4"/>
  <c r="AD34" i="5"/>
  <c r="X225" i="4"/>
  <c r="AI34" i="5"/>
  <c r="Y225" i="4"/>
  <c r="AJ34" i="5"/>
  <c r="Z225" i="4"/>
  <c r="AL34" i="5"/>
  <c r="L34" i="5"/>
  <c r="N34" i="5"/>
  <c r="O34" i="5"/>
  <c r="F34" i="5"/>
  <c r="H34" i="5"/>
  <c r="I34" i="5"/>
  <c r="AN34" i="5"/>
  <c r="AG35" i="5"/>
  <c r="AF35" i="5"/>
  <c r="B241" i="4"/>
  <c r="C24" i="2"/>
  <c r="C241" i="4"/>
  <c r="C35" i="5"/>
  <c r="D24" i="2"/>
  <c r="D241" i="4"/>
  <c r="E35" i="5"/>
  <c r="K35" i="5"/>
  <c r="L24" i="2"/>
  <c r="L241" i="4"/>
  <c r="Q35" i="5"/>
  <c r="M241" i="4"/>
  <c r="R35" i="5"/>
  <c r="T35" i="5"/>
  <c r="O16" i="2"/>
  <c r="O241" i="4"/>
  <c r="U35" i="5"/>
  <c r="P24" i="2"/>
  <c r="P241" i="4"/>
  <c r="W35" i="5"/>
  <c r="Q24" i="2"/>
  <c r="Q241" i="4"/>
  <c r="X35" i="5"/>
  <c r="S24" i="2"/>
  <c r="S241" i="4"/>
  <c r="AA35" i="5"/>
  <c r="AI241" i="4"/>
  <c r="T241" i="4" a="1"/>
  <c r="T241" i="4"/>
  <c r="AC35" i="5"/>
  <c r="U241" i="4" a="1"/>
  <c r="U241" i="4"/>
  <c r="AD35" i="5"/>
  <c r="AI35" i="5"/>
  <c r="Y24" i="2"/>
  <c r="Y241" i="4"/>
  <c r="AJ35" i="5"/>
  <c r="Z24" i="2"/>
  <c r="Z241" i="4"/>
  <c r="AL35" i="5"/>
  <c r="L35" i="5"/>
  <c r="F35" i="5"/>
  <c r="H35" i="5"/>
  <c r="I35" i="5"/>
  <c r="N35" i="5"/>
  <c r="O35" i="5"/>
  <c r="Z35" i="5"/>
  <c r="AN35" i="5"/>
  <c r="AG36" i="5"/>
  <c r="AF36" i="5"/>
  <c r="B243" i="4"/>
  <c r="C243" i="4"/>
  <c r="C36" i="5"/>
  <c r="D243" i="4"/>
  <c r="E36" i="5"/>
  <c r="K36" i="5"/>
  <c r="L243" i="4"/>
  <c r="Q36" i="5"/>
  <c r="M243" i="4"/>
  <c r="R36" i="5"/>
  <c r="T36" i="5"/>
  <c r="O243" i="4"/>
  <c r="U36" i="5"/>
  <c r="P243" i="4"/>
  <c r="W36" i="5"/>
  <c r="Q243" i="4"/>
  <c r="X36" i="5"/>
  <c r="S243" i="4"/>
  <c r="AA36" i="5"/>
  <c r="AI243" i="4"/>
  <c r="T243" i="4" a="1"/>
  <c r="T243" i="4"/>
  <c r="AC36" i="5"/>
  <c r="U243" i="4" a="1"/>
  <c r="U243" i="4"/>
  <c r="AD36" i="5"/>
  <c r="X243" i="4"/>
  <c r="AI36" i="5"/>
  <c r="Y243" i="4"/>
  <c r="AJ36" i="5"/>
  <c r="Z243" i="4"/>
  <c r="AL36" i="5"/>
  <c r="L36" i="5"/>
  <c r="F36" i="5"/>
  <c r="H36" i="5"/>
  <c r="I36" i="5"/>
  <c r="N36" i="5"/>
  <c r="O36" i="5"/>
  <c r="Z36" i="5"/>
  <c r="AN36" i="5"/>
  <c r="AG37" i="5"/>
  <c r="AF37" i="5"/>
  <c r="C244" i="4"/>
  <c r="C37" i="5"/>
  <c r="D244" i="4"/>
  <c r="E37" i="5"/>
  <c r="H29" i="2"/>
  <c r="K37" i="5"/>
  <c r="L244" i="4"/>
  <c r="Q37" i="5"/>
  <c r="M244" i="4"/>
  <c r="R37" i="5"/>
  <c r="T37" i="5"/>
  <c r="O244" i="4"/>
  <c r="U37" i="5"/>
  <c r="P244" i="4"/>
  <c r="W37" i="5"/>
  <c r="S244" i="4"/>
  <c r="AA37" i="5"/>
  <c r="AI244" i="4"/>
  <c r="T244" i="4" a="1"/>
  <c r="T244" i="4"/>
  <c r="AC37" i="5"/>
  <c r="U244" i="4" a="1"/>
  <c r="U244" i="4"/>
  <c r="AD37" i="5"/>
  <c r="X244" i="4"/>
  <c r="AI37" i="5"/>
  <c r="Y244" i="4"/>
  <c r="AJ37" i="5"/>
  <c r="Z244" i="4"/>
  <c r="AL37" i="5"/>
  <c r="L37" i="5"/>
  <c r="F37" i="5"/>
  <c r="H37" i="5"/>
  <c r="I37" i="5"/>
  <c r="N37" i="5"/>
  <c r="O37" i="5"/>
  <c r="Z37" i="5"/>
  <c r="AN37" i="5"/>
  <c r="AG38" i="5"/>
  <c r="AF38" i="5"/>
  <c r="C7" i="2"/>
  <c r="B37" i="4"/>
  <c r="C37" i="4"/>
  <c r="C38" i="5"/>
  <c r="D7" i="2"/>
  <c r="D37" i="4"/>
  <c r="E38" i="5"/>
  <c r="H37" i="4"/>
  <c r="K38" i="5"/>
  <c r="L7" i="2"/>
  <c r="L37" i="4"/>
  <c r="Q38" i="5"/>
  <c r="M7" i="2"/>
  <c r="M37" i="4"/>
  <c r="R38" i="5"/>
  <c r="T38" i="5"/>
  <c r="U38" i="5"/>
  <c r="P7" i="2"/>
  <c r="P37" i="4"/>
  <c r="W38" i="5"/>
  <c r="Q7" i="2"/>
  <c r="Q37" i="4"/>
  <c r="X38" i="5"/>
  <c r="AA38" i="5"/>
  <c r="AI37" i="4"/>
  <c r="T37" i="4" a="1"/>
  <c r="T37" i="4"/>
  <c r="AC38" i="5"/>
  <c r="U37" i="4" a="1"/>
  <c r="U37" i="4"/>
  <c r="AD38" i="5"/>
  <c r="X7" i="2"/>
  <c r="X37" i="4"/>
  <c r="AI38" i="5"/>
  <c r="Y7" i="2"/>
  <c r="Y37" i="4"/>
  <c r="AJ38" i="5"/>
  <c r="Z7" i="2"/>
  <c r="Z37" i="4"/>
  <c r="AL38" i="5"/>
  <c r="F38" i="5"/>
  <c r="H38" i="5"/>
  <c r="I38" i="5"/>
  <c r="L38" i="5"/>
  <c r="N38" i="5"/>
  <c r="O38" i="5"/>
  <c r="Z38" i="5"/>
  <c r="AN38" i="5"/>
  <c r="AG39" i="5"/>
  <c r="AF39" i="5"/>
  <c r="B38" i="4"/>
  <c r="C38" i="4"/>
  <c r="C39" i="5"/>
  <c r="D38" i="4"/>
  <c r="E39" i="5"/>
  <c r="H38" i="4"/>
  <c r="K39" i="5"/>
  <c r="L38" i="4"/>
  <c r="Q39" i="5"/>
  <c r="M38" i="4"/>
  <c r="R39" i="5"/>
  <c r="N38" i="4"/>
  <c r="T39" i="5"/>
  <c r="O7" i="2"/>
  <c r="O38" i="4"/>
  <c r="U39" i="5"/>
  <c r="P38" i="4"/>
  <c r="W39" i="5"/>
  <c r="Q38" i="4"/>
  <c r="X39" i="5"/>
  <c r="AA39" i="5"/>
  <c r="AI38" i="4"/>
  <c r="T38" i="4" a="1"/>
  <c r="T38" i="4"/>
  <c r="AC39" i="5"/>
  <c r="U38" i="4" a="1"/>
  <c r="U38" i="4"/>
  <c r="AD39" i="5"/>
  <c r="X38" i="4"/>
  <c r="AI39" i="5"/>
  <c r="Y38" i="4"/>
  <c r="AJ39" i="5"/>
  <c r="Z38" i="4"/>
  <c r="AL39" i="5"/>
  <c r="F39" i="5"/>
  <c r="H39" i="5"/>
  <c r="I39" i="5"/>
  <c r="L39" i="5"/>
  <c r="N39" i="5"/>
  <c r="O39" i="5"/>
  <c r="Z39" i="5"/>
  <c r="AN39" i="5"/>
  <c r="AG40" i="5"/>
  <c r="AF40" i="5"/>
  <c r="B39" i="4"/>
  <c r="C39" i="4"/>
  <c r="C40" i="5"/>
  <c r="D39" i="4"/>
  <c r="E40" i="5"/>
  <c r="H39" i="4"/>
  <c r="K40" i="5"/>
  <c r="L39" i="4"/>
  <c r="Q40" i="5"/>
  <c r="M39" i="4"/>
  <c r="R40" i="5"/>
  <c r="T40" i="5"/>
  <c r="U40" i="5"/>
  <c r="P39" i="4"/>
  <c r="W40" i="5"/>
  <c r="Q39" i="4"/>
  <c r="X40" i="5"/>
  <c r="AA40" i="5"/>
  <c r="AI39" i="4"/>
  <c r="T39" i="4" a="1"/>
  <c r="T39" i="4"/>
  <c r="AC40" i="5"/>
  <c r="U39" i="4" a="1"/>
  <c r="U39" i="4"/>
  <c r="AD40" i="5"/>
  <c r="X39" i="4"/>
  <c r="AI40" i="5"/>
  <c r="Y39" i="4"/>
  <c r="AJ40" i="5"/>
  <c r="Z39" i="4"/>
  <c r="AL40" i="5"/>
  <c r="F40" i="5"/>
  <c r="H40" i="5"/>
  <c r="I40" i="5"/>
  <c r="L40" i="5"/>
  <c r="N40" i="5"/>
  <c r="O40" i="5"/>
  <c r="Z40" i="5"/>
  <c r="AN40" i="5"/>
  <c r="AG41" i="5"/>
  <c r="AF41" i="5"/>
  <c r="C40" i="4"/>
  <c r="C41" i="5"/>
  <c r="D40" i="4"/>
  <c r="E41" i="5"/>
  <c r="H40" i="4"/>
  <c r="K41" i="5"/>
  <c r="L40" i="4"/>
  <c r="Q41" i="5"/>
  <c r="M40" i="4"/>
  <c r="R41" i="5"/>
  <c r="T41" i="5"/>
  <c r="U41" i="5"/>
  <c r="P40" i="4"/>
  <c r="W41" i="5"/>
  <c r="Q40" i="4"/>
  <c r="X41" i="5"/>
  <c r="AA41" i="5"/>
  <c r="AI40" i="4"/>
  <c r="T40" i="4" a="1"/>
  <c r="T40" i="4"/>
  <c r="AC41" i="5"/>
  <c r="U40" i="4" a="1"/>
  <c r="U40" i="4"/>
  <c r="AD41" i="5"/>
  <c r="X40" i="4"/>
  <c r="AI41" i="5"/>
  <c r="Y40" i="4"/>
  <c r="AJ41" i="5"/>
  <c r="Z40" i="4"/>
  <c r="AL41" i="5"/>
  <c r="F41" i="5"/>
  <c r="H41" i="5"/>
  <c r="I41" i="5"/>
  <c r="L41" i="5"/>
  <c r="N41" i="5"/>
  <c r="O41" i="5"/>
  <c r="Z41" i="5"/>
  <c r="AN41" i="5"/>
  <c r="AG42" i="5"/>
  <c r="AF42" i="5"/>
  <c r="B41" i="4"/>
  <c r="C41" i="4"/>
  <c r="C42" i="5"/>
  <c r="D41" i="4"/>
  <c r="E42" i="5"/>
  <c r="H41" i="4"/>
  <c r="K42" i="5"/>
  <c r="L41" i="4"/>
  <c r="Q42" i="5"/>
  <c r="M41" i="4"/>
  <c r="R42" i="5"/>
  <c r="T42" i="5"/>
  <c r="U42" i="5"/>
  <c r="P41" i="4"/>
  <c r="W42" i="5"/>
  <c r="Q41" i="4"/>
  <c r="X42" i="5"/>
  <c r="AA42" i="5"/>
  <c r="AI41" i="4"/>
  <c r="T41" i="4" a="1"/>
  <c r="T41" i="4"/>
  <c r="AC42" i="5"/>
  <c r="U41" i="4" a="1"/>
  <c r="U41" i="4"/>
  <c r="AD42" i="5"/>
  <c r="X41" i="4"/>
  <c r="AI42" i="5"/>
  <c r="Y41" i="4"/>
  <c r="AJ42" i="5"/>
  <c r="Z41" i="4"/>
  <c r="AL42" i="5"/>
  <c r="F42" i="5"/>
  <c r="H42" i="5"/>
  <c r="I42" i="5"/>
  <c r="L42" i="5"/>
  <c r="N42" i="5"/>
  <c r="O42" i="5"/>
  <c r="Z42" i="5"/>
  <c r="AN42" i="5"/>
  <c r="AG43" i="5"/>
  <c r="AF43" i="5"/>
  <c r="B42" i="4"/>
  <c r="C42" i="4"/>
  <c r="C43" i="5"/>
  <c r="D42" i="4"/>
  <c r="E43" i="5"/>
  <c r="H42" i="4"/>
  <c r="K43" i="5"/>
  <c r="L42" i="4"/>
  <c r="Q43" i="5"/>
  <c r="M42" i="4"/>
  <c r="R43" i="5"/>
  <c r="T43" i="5"/>
  <c r="O42" i="4"/>
  <c r="U43" i="5"/>
  <c r="P42" i="4"/>
  <c r="W43" i="5"/>
  <c r="Q42" i="4"/>
  <c r="X43" i="5"/>
  <c r="AA43" i="5"/>
  <c r="AI42" i="4"/>
  <c r="T42" i="4" a="1"/>
  <c r="T42" i="4"/>
  <c r="AC43" i="5"/>
  <c r="U42" i="4" a="1"/>
  <c r="U42" i="4"/>
  <c r="AD43" i="5"/>
  <c r="X42" i="4"/>
  <c r="AI43" i="5"/>
  <c r="Y42" i="4"/>
  <c r="AJ43" i="5"/>
  <c r="Z42" i="4"/>
  <c r="AL43" i="5"/>
  <c r="F43" i="5"/>
  <c r="H43" i="5"/>
  <c r="I43" i="5"/>
  <c r="L43" i="5"/>
  <c r="N43" i="5"/>
  <c r="O43" i="5"/>
  <c r="Z43" i="5"/>
  <c r="AN43" i="5"/>
  <c r="AG44" i="5"/>
  <c r="AF44" i="5"/>
  <c r="C43" i="4"/>
  <c r="C44" i="5"/>
  <c r="N43" i="4"/>
  <c r="T44" i="5"/>
  <c r="O43" i="4"/>
  <c r="U44" i="5"/>
  <c r="P43" i="4"/>
  <c r="W44" i="5"/>
  <c r="Q43" i="4"/>
  <c r="X44" i="5"/>
  <c r="AA44" i="5"/>
  <c r="AI43" i="4"/>
  <c r="T43" i="4" a="1"/>
  <c r="T43" i="4"/>
  <c r="AC44" i="5"/>
  <c r="U43" i="4" a="1"/>
  <c r="U43" i="4"/>
  <c r="AD44" i="5"/>
  <c r="X43" i="4"/>
  <c r="AI44" i="5"/>
  <c r="Y43" i="4"/>
  <c r="AJ44" i="5"/>
  <c r="Z43" i="4"/>
  <c r="AL44" i="5"/>
  <c r="F44" i="5"/>
  <c r="H44" i="5"/>
  <c r="I44" i="5"/>
  <c r="L44" i="5"/>
  <c r="N44" i="5"/>
  <c r="O44" i="5"/>
  <c r="Z44" i="5"/>
  <c r="AN44" i="5"/>
  <c r="AG45" i="5"/>
  <c r="AF45" i="5"/>
  <c r="C44" i="4"/>
  <c r="C45" i="5"/>
  <c r="T45" i="5"/>
  <c r="O44" i="4"/>
  <c r="U45" i="5"/>
  <c r="P44" i="4"/>
  <c r="W45" i="5"/>
  <c r="Q44" i="4"/>
  <c r="X45" i="5"/>
  <c r="AA45" i="5"/>
  <c r="AI44" i="4"/>
  <c r="T44" i="4" a="1"/>
  <c r="T44" i="4"/>
  <c r="AC45" i="5"/>
  <c r="U44" i="4" a="1"/>
  <c r="U44" i="4"/>
  <c r="AD45" i="5"/>
  <c r="X44" i="4"/>
  <c r="AI45" i="5"/>
  <c r="Y44" i="4"/>
  <c r="AJ45" i="5"/>
  <c r="Z44" i="4"/>
  <c r="AL45" i="5"/>
  <c r="Z45" i="5"/>
  <c r="AN45" i="5"/>
  <c r="AG46" i="5"/>
  <c r="AF46" i="5"/>
  <c r="C246" i="4"/>
  <c r="C46" i="5"/>
  <c r="D246" i="4"/>
  <c r="E46" i="5"/>
  <c r="H246" i="4"/>
  <c r="K46" i="5"/>
  <c r="L246" i="4"/>
  <c r="Q46" i="5"/>
  <c r="M246" i="4"/>
  <c r="R46" i="5"/>
  <c r="T46" i="5"/>
  <c r="U46" i="5"/>
  <c r="P246" i="4"/>
  <c r="W46" i="5"/>
  <c r="Q246" i="4"/>
  <c r="X46" i="5"/>
  <c r="AA46" i="5"/>
  <c r="AI246" i="4"/>
  <c r="T246" i="4" a="1"/>
  <c r="T246" i="4"/>
  <c r="AC46" i="5"/>
  <c r="U246" i="4" a="1"/>
  <c r="U246" i="4"/>
  <c r="AD46" i="5"/>
  <c r="Y246" i="4"/>
  <c r="AJ46" i="5"/>
  <c r="Z246" i="4"/>
  <c r="AL46" i="5"/>
  <c r="F46" i="5"/>
  <c r="H46" i="5"/>
  <c r="I46" i="5"/>
  <c r="L46" i="5"/>
  <c r="N46" i="5"/>
  <c r="O46" i="5"/>
  <c r="Z46" i="5"/>
  <c r="AN46" i="5"/>
  <c r="AG47" i="5"/>
  <c r="AF47" i="5"/>
  <c r="C45" i="4"/>
  <c r="C47" i="5"/>
  <c r="D45" i="4"/>
  <c r="E47" i="5"/>
  <c r="H45" i="4"/>
  <c r="K47" i="5"/>
  <c r="L45" i="4"/>
  <c r="Q47" i="5"/>
  <c r="M45" i="4"/>
  <c r="R47" i="5"/>
  <c r="T47" i="5"/>
  <c r="O45" i="4"/>
  <c r="U47" i="5"/>
  <c r="P45" i="4"/>
  <c r="W47" i="5"/>
  <c r="Q45" i="4"/>
  <c r="X47" i="5"/>
  <c r="AA47" i="5"/>
  <c r="AI45" i="4"/>
  <c r="T45" i="4" a="1"/>
  <c r="T45" i="4"/>
  <c r="AC47" i="5"/>
  <c r="U45" i="4" a="1"/>
  <c r="U45" i="4"/>
  <c r="AD47" i="5"/>
  <c r="X45" i="4"/>
  <c r="AI47" i="5"/>
  <c r="Y45" i="4"/>
  <c r="AJ47" i="5"/>
  <c r="Z45" i="4"/>
  <c r="AL47" i="5"/>
  <c r="F47" i="5"/>
  <c r="H47" i="5"/>
  <c r="I47" i="5"/>
  <c r="L47" i="5"/>
  <c r="N47" i="5"/>
  <c r="O47" i="5"/>
  <c r="Z47" i="5"/>
  <c r="AN47" i="5"/>
  <c r="AG48" i="5"/>
  <c r="AF48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I46" i="4"/>
  <c r="T46" i="4" a="1"/>
  <c r="T46" i="4"/>
  <c r="AC48" i="5"/>
  <c r="U46" i="4" a="1"/>
  <c r="U46" i="4"/>
  <c r="AD48" i="5"/>
  <c r="X46" i="4"/>
  <c r="AI48" i="5"/>
  <c r="Y46" i="4"/>
  <c r="AJ48" i="5"/>
  <c r="Z46" i="4"/>
  <c r="AL48" i="5"/>
  <c r="F48" i="5"/>
  <c r="H48" i="5"/>
  <c r="I48" i="5"/>
  <c r="L48" i="5"/>
  <c r="N48" i="5"/>
  <c r="O48" i="5"/>
  <c r="Z48" i="5"/>
  <c r="AN48" i="5"/>
  <c r="AG49" i="5"/>
  <c r="AF49" i="5"/>
  <c r="B47" i="4"/>
  <c r="C47" i="4"/>
  <c r="C49" i="5"/>
  <c r="D47" i="4"/>
  <c r="E49" i="5"/>
  <c r="H47" i="4"/>
  <c r="K49" i="5"/>
  <c r="L47" i="4"/>
  <c r="Q49" i="5"/>
  <c r="M47" i="4"/>
  <c r="R49" i="5"/>
  <c r="T49" i="5"/>
  <c r="O47" i="4"/>
  <c r="U49" i="5"/>
  <c r="P47" i="4"/>
  <c r="W49" i="5"/>
  <c r="Q47" i="4"/>
  <c r="X49" i="5"/>
  <c r="AA49" i="5"/>
  <c r="AI47" i="4"/>
  <c r="T47" i="4" a="1"/>
  <c r="T47" i="4"/>
  <c r="AC49" i="5"/>
  <c r="U47" i="4" a="1"/>
  <c r="U47" i="4"/>
  <c r="AD49" i="5"/>
  <c r="X47" i="4"/>
  <c r="AI49" i="5"/>
  <c r="Y47" i="4"/>
  <c r="AJ49" i="5"/>
  <c r="Z47" i="4"/>
  <c r="AL49" i="5"/>
  <c r="F49" i="5"/>
  <c r="H49" i="5"/>
  <c r="I49" i="5"/>
  <c r="L49" i="5"/>
  <c r="N49" i="5"/>
  <c r="O49" i="5"/>
  <c r="Z49" i="5"/>
  <c r="AN49" i="5"/>
  <c r="AG50" i="5"/>
  <c r="AF50" i="5"/>
  <c r="B48" i="4"/>
  <c r="C48" i="4"/>
  <c r="C50" i="5"/>
  <c r="D48" i="4"/>
  <c r="E50" i="5"/>
  <c r="L48" i="4"/>
  <c r="Q50" i="5"/>
  <c r="M48" i="4"/>
  <c r="R50" i="5"/>
  <c r="T50" i="5"/>
  <c r="U50" i="5"/>
  <c r="P48" i="4"/>
  <c r="W50" i="5"/>
  <c r="Q48" i="4"/>
  <c r="X50" i="5"/>
  <c r="S14" i="2"/>
  <c r="S48" i="4"/>
  <c r="AA50" i="5"/>
  <c r="AI48" i="4"/>
  <c r="T48" i="4" a="1"/>
  <c r="T48" i="4"/>
  <c r="AC50" i="5"/>
  <c r="U48" i="4" a="1"/>
  <c r="U48" i="4"/>
  <c r="AD50" i="5"/>
  <c r="X14" i="2"/>
  <c r="X48" i="4"/>
  <c r="AI50" i="5"/>
  <c r="Y48" i="4"/>
  <c r="AJ50" i="5"/>
  <c r="Z48" i="4"/>
  <c r="AL50" i="5"/>
  <c r="L50" i="5"/>
  <c r="F50" i="5"/>
  <c r="H50" i="5"/>
  <c r="I50" i="5"/>
  <c r="N50" i="5"/>
  <c r="O50" i="5"/>
  <c r="Z50" i="5"/>
  <c r="AN50" i="5"/>
  <c r="AG51" i="5"/>
  <c r="AF51" i="5"/>
  <c r="C15" i="2"/>
  <c r="B49" i="4"/>
  <c r="C49" i="4"/>
  <c r="C51" i="5"/>
  <c r="D15" i="2"/>
  <c r="D49" i="4"/>
  <c r="E51" i="5"/>
  <c r="L15" i="2"/>
  <c r="L49" i="4"/>
  <c r="Q51" i="5"/>
  <c r="M15" i="2"/>
  <c r="M49" i="4"/>
  <c r="R51" i="5"/>
  <c r="N15" i="2"/>
  <c r="N49" i="4"/>
  <c r="T51" i="5"/>
  <c r="O15" i="2"/>
  <c r="O49" i="4"/>
  <c r="U51" i="5"/>
  <c r="P15" i="2"/>
  <c r="P49" i="4"/>
  <c r="W51" i="5"/>
  <c r="Q15" i="2"/>
  <c r="Q49" i="4"/>
  <c r="X51" i="5"/>
  <c r="S15" i="2"/>
  <c r="S49" i="4"/>
  <c r="AA51" i="5"/>
  <c r="AI49" i="4"/>
  <c r="T49" i="4" a="1"/>
  <c r="T49" i="4"/>
  <c r="AC51" i="5"/>
  <c r="U49" i="4" a="1"/>
  <c r="U49" i="4"/>
  <c r="AD51" i="5"/>
  <c r="X15" i="2"/>
  <c r="X49" i="4"/>
  <c r="AI51" i="5"/>
  <c r="Y15" i="2"/>
  <c r="Y49" i="4"/>
  <c r="AJ51" i="5"/>
  <c r="Z15" i="2"/>
  <c r="Z49" i="4"/>
  <c r="AL51" i="5"/>
  <c r="L51" i="5"/>
  <c r="F51" i="5"/>
  <c r="H51" i="5"/>
  <c r="I51" i="5"/>
  <c r="N51" i="5"/>
  <c r="O51" i="5"/>
  <c r="Z51" i="5"/>
  <c r="AN51" i="5"/>
  <c r="AG52" i="5"/>
  <c r="AF52" i="5"/>
  <c r="B50" i="4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I50" i="4"/>
  <c r="T50" i="4" a="1"/>
  <c r="T50" i="4"/>
  <c r="AC52" i="5"/>
  <c r="U50" i="4" a="1"/>
  <c r="U50" i="4"/>
  <c r="AD52" i="5"/>
  <c r="X50" i="4"/>
  <c r="AI52" i="5"/>
  <c r="Y50" i="4"/>
  <c r="AJ52" i="5"/>
  <c r="Z50" i="4"/>
  <c r="AL52" i="5"/>
  <c r="L52" i="5"/>
  <c r="F52" i="5"/>
  <c r="H52" i="5"/>
  <c r="I52" i="5"/>
  <c r="N52" i="5"/>
  <c r="O52" i="5"/>
  <c r="Z52" i="5"/>
  <c r="AN52" i="5"/>
  <c r="AG53" i="5"/>
  <c r="AF53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I51" i="4"/>
  <c r="T51" i="4" a="1"/>
  <c r="T51" i="4"/>
  <c r="AC53" i="5"/>
  <c r="U51" i="4" a="1"/>
  <c r="U51" i="4"/>
  <c r="AD53" i="5"/>
  <c r="X51" i="4"/>
  <c r="AI53" i="5"/>
  <c r="Y51" i="4"/>
  <c r="AJ53" i="5"/>
  <c r="Z51" i="4"/>
  <c r="AL53" i="5"/>
  <c r="L53" i="5"/>
  <c r="F53" i="5"/>
  <c r="H53" i="5"/>
  <c r="I53" i="5"/>
  <c r="N53" i="5"/>
  <c r="O53" i="5"/>
  <c r="Z53" i="5"/>
  <c r="AN53" i="5"/>
  <c r="AG54" i="5"/>
  <c r="AF54" i="5"/>
  <c r="C52" i="4"/>
  <c r="C54" i="5"/>
  <c r="D52" i="4"/>
  <c r="E54" i="5"/>
  <c r="K54" i="5"/>
  <c r="I24" i="2"/>
  <c r="I3" i="2"/>
  <c r="I52" i="4"/>
  <c r="L54" i="5"/>
  <c r="J24" i="2"/>
  <c r="J3" i="2"/>
  <c r="J52" i="4"/>
  <c r="N54" i="5"/>
  <c r="O54" i="5"/>
  <c r="L52" i="4"/>
  <c r="Q54" i="5"/>
  <c r="M52" i="4"/>
  <c r="R54" i="5"/>
  <c r="T54" i="5"/>
  <c r="U54" i="5"/>
  <c r="P52" i="4"/>
  <c r="W54" i="5"/>
  <c r="Q52" i="4"/>
  <c r="X54" i="5"/>
  <c r="S52" i="4"/>
  <c r="AA54" i="5"/>
  <c r="AI52" i="4"/>
  <c r="T52" i="4" a="1"/>
  <c r="T52" i="4"/>
  <c r="AC54" i="5"/>
  <c r="U52" i="4" a="1"/>
  <c r="U52" i="4"/>
  <c r="AD54" i="5"/>
  <c r="X24" i="2"/>
  <c r="X52" i="4"/>
  <c r="AI54" i="5"/>
  <c r="Y52" i="4"/>
  <c r="AJ54" i="5"/>
  <c r="Z52" i="4"/>
  <c r="AL54" i="5"/>
  <c r="F54" i="5"/>
  <c r="H54" i="5"/>
  <c r="I54" i="5"/>
  <c r="Z54" i="5"/>
  <c r="AN54" i="5"/>
  <c r="AG55" i="5"/>
  <c r="AF55" i="5"/>
  <c r="C11" i="2"/>
  <c r="C55" i="4"/>
  <c r="C55" i="5"/>
  <c r="D11" i="2"/>
  <c r="D55" i="4"/>
  <c r="E55" i="5"/>
  <c r="H11" i="2"/>
  <c r="H55" i="4"/>
  <c r="K55" i="5"/>
  <c r="L11" i="2"/>
  <c r="L55" i="4"/>
  <c r="Q55" i="5"/>
  <c r="M11" i="2"/>
  <c r="M55" i="4"/>
  <c r="R55" i="5"/>
  <c r="N11" i="2"/>
  <c r="N55" i="4"/>
  <c r="T55" i="5"/>
  <c r="O11" i="2"/>
  <c r="O55" i="4"/>
  <c r="U55" i="5"/>
  <c r="P11" i="2"/>
  <c r="P55" i="4"/>
  <c r="W55" i="5"/>
  <c r="Q11" i="2"/>
  <c r="Q55" i="4"/>
  <c r="X55" i="5"/>
  <c r="AA55" i="5"/>
  <c r="AI55" i="4"/>
  <c r="T55" i="4" a="1"/>
  <c r="T55" i="4"/>
  <c r="AC55" i="5"/>
  <c r="U55" i="4" a="1"/>
  <c r="U55" i="4"/>
  <c r="AD55" i="5"/>
  <c r="X11" i="2"/>
  <c r="X55" i="4"/>
  <c r="AI55" i="5"/>
  <c r="Y11" i="2"/>
  <c r="Y55" i="4"/>
  <c r="AJ55" i="5"/>
  <c r="Z11" i="2"/>
  <c r="Z55" i="4"/>
  <c r="AL55" i="5"/>
  <c r="L55" i="5"/>
  <c r="N55" i="5"/>
  <c r="O55" i="5"/>
  <c r="F55" i="5"/>
  <c r="H55" i="5"/>
  <c r="I55" i="5"/>
  <c r="Z55" i="5"/>
  <c r="AN55" i="5"/>
  <c r="AG56" i="5"/>
  <c r="AF56" i="5"/>
  <c r="C13" i="2"/>
  <c r="C56" i="4"/>
  <c r="C56" i="5"/>
  <c r="D13" i="2"/>
  <c r="D56" i="4"/>
  <c r="E56" i="5"/>
  <c r="H13" i="2"/>
  <c r="H56" i="4"/>
  <c r="K56" i="5"/>
  <c r="L13" i="2"/>
  <c r="L56" i="4"/>
  <c r="Q56" i="5"/>
  <c r="M13" i="2"/>
  <c r="M56" i="4"/>
  <c r="R56" i="5"/>
  <c r="N13" i="2"/>
  <c r="N56" i="4"/>
  <c r="T56" i="5"/>
  <c r="O13" i="2"/>
  <c r="O56" i="4"/>
  <c r="U56" i="5"/>
  <c r="P13" i="2"/>
  <c r="P56" i="4"/>
  <c r="W56" i="5"/>
  <c r="Q13" i="2"/>
  <c r="Q56" i="4"/>
  <c r="X56" i="5"/>
  <c r="AA56" i="5"/>
  <c r="AI56" i="4"/>
  <c r="T56" i="4" a="1"/>
  <c r="T56" i="4"/>
  <c r="AC56" i="5"/>
  <c r="U56" i="4" a="1"/>
  <c r="U56" i="4"/>
  <c r="AD56" i="5"/>
  <c r="X13" i="2"/>
  <c r="X56" i="4"/>
  <c r="AI56" i="5"/>
  <c r="Y13" i="2"/>
  <c r="Y56" i="4"/>
  <c r="AJ56" i="5"/>
  <c r="Z13" i="2"/>
  <c r="Z56" i="4"/>
  <c r="AL56" i="5"/>
  <c r="L56" i="5"/>
  <c r="N56" i="5"/>
  <c r="O56" i="5"/>
  <c r="F56" i="5"/>
  <c r="H56" i="5"/>
  <c r="I56" i="5"/>
  <c r="Z56" i="5"/>
  <c r="AN56" i="5"/>
  <c r="AG57" i="5"/>
  <c r="AF57" i="5"/>
  <c r="C12" i="2"/>
  <c r="C57" i="4"/>
  <c r="C57" i="5"/>
  <c r="D12" i="2"/>
  <c r="D57" i="4"/>
  <c r="E57" i="5"/>
  <c r="H12" i="2"/>
  <c r="H57" i="4"/>
  <c r="K57" i="5"/>
  <c r="L12" i="2"/>
  <c r="L57" i="4"/>
  <c r="Q57" i="5"/>
  <c r="M12" i="2"/>
  <c r="M57" i="4"/>
  <c r="R57" i="5"/>
  <c r="T57" i="5"/>
  <c r="U57" i="5"/>
  <c r="P12" i="2"/>
  <c r="P57" i="4"/>
  <c r="W57" i="5"/>
  <c r="Q12" i="2"/>
  <c r="Q57" i="4"/>
  <c r="X57" i="5"/>
  <c r="AA57" i="5"/>
  <c r="AI57" i="4"/>
  <c r="T57" i="4" a="1"/>
  <c r="T57" i="4"/>
  <c r="AC57" i="5"/>
  <c r="U57" i="4" a="1"/>
  <c r="U57" i="4"/>
  <c r="AD57" i="5"/>
  <c r="X57" i="4"/>
  <c r="AI57" i="5"/>
  <c r="Y12" i="2"/>
  <c r="Y57" i="4"/>
  <c r="AJ57" i="5"/>
  <c r="Z12" i="2"/>
  <c r="Z57" i="4"/>
  <c r="AL57" i="5"/>
  <c r="L57" i="5"/>
  <c r="N57" i="5"/>
  <c r="O57" i="5"/>
  <c r="F57" i="5"/>
  <c r="H57" i="5"/>
  <c r="I57" i="5"/>
  <c r="Z57" i="5"/>
  <c r="AN57" i="5"/>
  <c r="AG58" i="5"/>
  <c r="AF58" i="5"/>
  <c r="C58" i="4"/>
  <c r="C58" i="5"/>
  <c r="D58" i="4"/>
  <c r="E58" i="5"/>
  <c r="H58" i="4"/>
  <c r="K58" i="5"/>
  <c r="I12" i="2"/>
  <c r="I58" i="4"/>
  <c r="L58" i="5"/>
  <c r="J12" i="2"/>
  <c r="J58" i="4"/>
  <c r="N58" i="5"/>
  <c r="O58" i="5"/>
  <c r="L58" i="4"/>
  <c r="Q58" i="5"/>
  <c r="M58" i="4"/>
  <c r="R58" i="5"/>
  <c r="N12" i="2"/>
  <c r="N58" i="4"/>
  <c r="T58" i="5"/>
  <c r="O12" i="2"/>
  <c r="O58" i="4"/>
  <c r="U58" i="5"/>
  <c r="P58" i="4"/>
  <c r="W58" i="5"/>
  <c r="Q58" i="4"/>
  <c r="X58" i="5"/>
  <c r="AA58" i="5"/>
  <c r="AI58" i="4"/>
  <c r="T58" i="4" a="1"/>
  <c r="T58" i="4"/>
  <c r="AC58" i="5"/>
  <c r="U58" i="4" a="1"/>
  <c r="U58" i="4"/>
  <c r="AD58" i="5"/>
  <c r="X58" i="4"/>
  <c r="AI58" i="5"/>
  <c r="Y58" i="4"/>
  <c r="AJ58" i="5"/>
  <c r="Z58" i="4"/>
  <c r="AL58" i="5"/>
  <c r="F58" i="5"/>
  <c r="H58" i="5"/>
  <c r="I58" i="5"/>
  <c r="Z58" i="5"/>
  <c r="AN58" i="5"/>
  <c r="AG59" i="5"/>
  <c r="AF59" i="5"/>
  <c r="C10" i="2"/>
  <c r="C59" i="4"/>
  <c r="C59" i="5"/>
  <c r="D10" i="2"/>
  <c r="D59" i="4"/>
  <c r="E59" i="5"/>
  <c r="H10" i="2"/>
  <c r="H59" i="4"/>
  <c r="K59" i="5"/>
  <c r="L10" i="2"/>
  <c r="L59" i="4"/>
  <c r="Q59" i="5"/>
  <c r="M10" i="2"/>
  <c r="M59" i="4"/>
  <c r="R59" i="5"/>
  <c r="N10" i="2"/>
  <c r="N59" i="4"/>
  <c r="T59" i="5"/>
  <c r="O10" i="2"/>
  <c r="O59" i="4"/>
  <c r="U59" i="5"/>
  <c r="P10" i="2"/>
  <c r="P59" i="4"/>
  <c r="W59" i="5"/>
  <c r="Q10" i="2"/>
  <c r="Q59" i="4"/>
  <c r="X59" i="5"/>
  <c r="AA59" i="5"/>
  <c r="AI59" i="4"/>
  <c r="T59" i="4" a="1"/>
  <c r="T59" i="4"/>
  <c r="AC59" i="5"/>
  <c r="U59" i="4" a="1"/>
  <c r="U59" i="4"/>
  <c r="AD59" i="5"/>
  <c r="X10" i="2"/>
  <c r="X59" i="4"/>
  <c r="AI59" i="5"/>
  <c r="Y10" i="2"/>
  <c r="Y59" i="4"/>
  <c r="AJ59" i="5"/>
  <c r="Z10" i="2"/>
  <c r="Z59" i="4"/>
  <c r="AL59" i="5"/>
  <c r="L59" i="5"/>
  <c r="N59" i="5"/>
  <c r="O59" i="5"/>
  <c r="F59" i="5"/>
  <c r="H59" i="5"/>
  <c r="I59" i="5"/>
  <c r="Z59" i="5"/>
  <c r="AN59" i="5"/>
  <c r="AG60" i="5"/>
  <c r="AF60" i="5"/>
  <c r="C60" i="4"/>
  <c r="C60" i="5"/>
  <c r="D60" i="4"/>
  <c r="E60" i="5"/>
  <c r="H60" i="4"/>
  <c r="K60" i="5"/>
  <c r="L60" i="4"/>
  <c r="Q60" i="5"/>
  <c r="M60" i="4"/>
  <c r="R60" i="5"/>
  <c r="T60" i="5"/>
  <c r="U60" i="5"/>
  <c r="P60" i="4"/>
  <c r="W60" i="5"/>
  <c r="Q60" i="4"/>
  <c r="X60" i="5"/>
  <c r="AA60" i="5"/>
  <c r="AI60" i="4"/>
  <c r="T60" i="4" a="1"/>
  <c r="T60" i="4"/>
  <c r="AC60" i="5"/>
  <c r="U60" i="4" a="1"/>
  <c r="U60" i="4"/>
  <c r="AD60" i="5"/>
  <c r="X60" i="4"/>
  <c r="AI60" i="5"/>
  <c r="Y60" i="4"/>
  <c r="AJ60" i="5"/>
  <c r="Z60" i="4"/>
  <c r="AL60" i="5"/>
  <c r="L60" i="5"/>
  <c r="N60" i="5"/>
  <c r="O60" i="5"/>
  <c r="F60" i="5"/>
  <c r="H60" i="5"/>
  <c r="I60" i="5"/>
  <c r="Z60" i="5"/>
  <c r="AN60" i="5"/>
  <c r="AA61" i="5"/>
  <c r="B61" i="4"/>
  <c r="P61" i="4"/>
  <c r="W61" i="5"/>
  <c r="O61" i="5"/>
  <c r="K61" i="5"/>
  <c r="AG61" i="5"/>
  <c r="AF61" i="5"/>
  <c r="C61" i="4"/>
  <c r="C61" i="5"/>
  <c r="D61" i="4"/>
  <c r="E61" i="5"/>
  <c r="L61" i="5"/>
  <c r="N61" i="5"/>
  <c r="L61" i="4"/>
  <c r="Q61" i="5"/>
  <c r="O61" i="4"/>
  <c r="U61" i="5"/>
  <c r="Q61" i="4"/>
  <c r="X61" i="5"/>
  <c r="R61" i="4"/>
  <c r="Z61" i="5"/>
  <c r="AI61" i="4"/>
  <c r="T61" i="4" a="1"/>
  <c r="T61" i="4"/>
  <c r="AC61" i="5"/>
  <c r="U61" i="4" a="1"/>
  <c r="U61" i="4"/>
  <c r="AD61" i="5"/>
  <c r="X61" i="4"/>
  <c r="AI61" i="5"/>
  <c r="Y61" i="4"/>
  <c r="AJ61" i="5"/>
  <c r="Z61" i="4"/>
  <c r="AL61" i="5"/>
  <c r="R61" i="5"/>
  <c r="T61" i="5"/>
  <c r="F61" i="5"/>
  <c r="H61" i="5"/>
  <c r="I61" i="5"/>
  <c r="AN61" i="5"/>
  <c r="AG62" i="5"/>
  <c r="AF62" i="5"/>
  <c r="B62" i="4"/>
  <c r="C62" i="4"/>
  <c r="C62" i="5"/>
  <c r="D62" i="4"/>
  <c r="E62" i="5"/>
  <c r="H62" i="4"/>
  <c r="K62" i="5"/>
  <c r="L62" i="4"/>
  <c r="Q62" i="5"/>
  <c r="M62" i="4"/>
  <c r="R62" i="5"/>
  <c r="T62" i="5"/>
  <c r="U62" i="5"/>
  <c r="P62" i="4"/>
  <c r="W62" i="5"/>
  <c r="Q62" i="4"/>
  <c r="X62" i="5"/>
  <c r="AA62" i="5"/>
  <c r="AI62" i="4"/>
  <c r="T62" i="4" a="1"/>
  <c r="T62" i="4"/>
  <c r="AC62" i="5"/>
  <c r="U62" i="4" a="1"/>
  <c r="U62" i="4"/>
  <c r="AD62" i="5"/>
  <c r="AI62" i="5"/>
  <c r="Y62" i="4"/>
  <c r="AJ62" i="5"/>
  <c r="Z62" i="4"/>
  <c r="AL62" i="5"/>
  <c r="F62" i="5"/>
  <c r="H62" i="5"/>
  <c r="I62" i="5"/>
  <c r="L62" i="5"/>
  <c r="N62" i="5"/>
  <c r="O62" i="5"/>
  <c r="Z62" i="5"/>
  <c r="AN62" i="5"/>
  <c r="AG63" i="5"/>
  <c r="AF63" i="5"/>
  <c r="B63" i="4"/>
  <c r="C63" i="4"/>
  <c r="C63" i="5"/>
  <c r="D63" i="4"/>
  <c r="E63" i="5"/>
  <c r="H63" i="4"/>
  <c r="K63" i="5"/>
  <c r="L63" i="4"/>
  <c r="Q63" i="5"/>
  <c r="M63" i="4"/>
  <c r="R63" i="5"/>
  <c r="T63" i="5"/>
  <c r="U63" i="5"/>
  <c r="P63" i="4"/>
  <c r="W63" i="5"/>
  <c r="Q63" i="4"/>
  <c r="X63" i="5"/>
  <c r="AA63" i="5"/>
  <c r="AI63" i="4"/>
  <c r="T63" i="4" a="1"/>
  <c r="T63" i="4"/>
  <c r="AC63" i="5"/>
  <c r="U63" i="4" a="1"/>
  <c r="U63" i="4"/>
  <c r="AD63" i="5"/>
  <c r="Y63" i="4"/>
  <c r="AJ63" i="5"/>
  <c r="Z63" i="4"/>
  <c r="AL63" i="5"/>
  <c r="F63" i="5"/>
  <c r="H63" i="5"/>
  <c r="I63" i="5"/>
  <c r="L63" i="5"/>
  <c r="N63" i="5"/>
  <c r="O63" i="5"/>
  <c r="Z63" i="5"/>
  <c r="AN63" i="5"/>
  <c r="AG64" i="5"/>
  <c r="AF64" i="5"/>
  <c r="B64" i="4"/>
  <c r="C64" i="4"/>
  <c r="C64" i="5"/>
  <c r="D64" i="4"/>
  <c r="E64" i="5"/>
  <c r="H64" i="4"/>
  <c r="K64" i="5"/>
  <c r="L64" i="4"/>
  <c r="Q64" i="5"/>
  <c r="M64" i="4"/>
  <c r="R64" i="5"/>
  <c r="T64" i="5"/>
  <c r="U64" i="5"/>
  <c r="P64" i="4"/>
  <c r="W64" i="5"/>
  <c r="Q64" i="4"/>
  <c r="X64" i="5"/>
  <c r="AA64" i="5"/>
  <c r="AI64" i="4"/>
  <c r="T64" i="4" a="1"/>
  <c r="T64" i="4"/>
  <c r="AC64" i="5"/>
  <c r="U64" i="4" a="1"/>
  <c r="U64" i="4"/>
  <c r="AD64" i="5"/>
  <c r="Y64" i="4"/>
  <c r="AJ64" i="5"/>
  <c r="Z64" i="4"/>
  <c r="AL64" i="5"/>
  <c r="F64" i="5"/>
  <c r="H64" i="5"/>
  <c r="I64" i="5"/>
  <c r="L64" i="5"/>
  <c r="N64" i="5"/>
  <c r="O64" i="5"/>
  <c r="Z64" i="5"/>
  <c r="AN64" i="5"/>
  <c r="AG65" i="5"/>
  <c r="AF65" i="5"/>
  <c r="B65" i="4"/>
  <c r="C65" i="4"/>
  <c r="C65" i="5"/>
  <c r="D65" i="4"/>
  <c r="E65" i="5"/>
  <c r="H65" i="4"/>
  <c r="K65" i="5"/>
  <c r="L65" i="4"/>
  <c r="Q65" i="5"/>
  <c r="M65" i="4"/>
  <c r="R65" i="5"/>
  <c r="T65" i="5"/>
  <c r="U65" i="5"/>
  <c r="P65" i="4"/>
  <c r="W65" i="5"/>
  <c r="Q65" i="4"/>
  <c r="X65" i="5"/>
  <c r="AA65" i="5"/>
  <c r="AI65" i="4"/>
  <c r="T65" i="4" a="1"/>
  <c r="T65" i="4"/>
  <c r="AC65" i="5"/>
  <c r="U65" i="4" a="1"/>
  <c r="U65" i="4"/>
  <c r="AD65" i="5"/>
  <c r="X65" i="4"/>
  <c r="AI65" i="5"/>
  <c r="Y65" i="4"/>
  <c r="AJ65" i="5"/>
  <c r="Z65" i="4"/>
  <c r="AL65" i="5"/>
  <c r="F65" i="5"/>
  <c r="H65" i="5"/>
  <c r="I65" i="5"/>
  <c r="L65" i="5"/>
  <c r="N65" i="5"/>
  <c r="O65" i="5"/>
  <c r="Z65" i="5"/>
  <c r="AN65" i="5"/>
  <c r="AG66" i="5"/>
  <c r="AF66" i="5"/>
  <c r="B66" i="4"/>
  <c r="C66" i="4"/>
  <c r="C66" i="5"/>
  <c r="D66" i="4"/>
  <c r="E66" i="5"/>
  <c r="H66" i="4"/>
  <c r="K66" i="5"/>
  <c r="L66" i="4"/>
  <c r="Q66" i="5"/>
  <c r="M66" i="4"/>
  <c r="R66" i="5"/>
  <c r="T66" i="5"/>
  <c r="U66" i="5"/>
  <c r="P66" i="4"/>
  <c r="W66" i="5"/>
  <c r="Q66" i="4"/>
  <c r="X66" i="5"/>
  <c r="AA66" i="5"/>
  <c r="AI66" i="4"/>
  <c r="T66" i="4" a="1"/>
  <c r="T66" i="4"/>
  <c r="AC66" i="5"/>
  <c r="U66" i="4" a="1"/>
  <c r="U66" i="4"/>
  <c r="AD66" i="5"/>
  <c r="X66" i="4"/>
  <c r="AI66" i="5"/>
  <c r="Y66" i="4"/>
  <c r="AJ66" i="5"/>
  <c r="Z66" i="4"/>
  <c r="AL66" i="5"/>
  <c r="F66" i="5"/>
  <c r="H66" i="5"/>
  <c r="I66" i="5"/>
  <c r="L66" i="5"/>
  <c r="N66" i="5"/>
  <c r="O66" i="5"/>
  <c r="Z66" i="5"/>
  <c r="AN66" i="5"/>
  <c r="AG67" i="5"/>
  <c r="AF67" i="5"/>
  <c r="B67" i="4"/>
  <c r="C67" i="4"/>
  <c r="C67" i="5"/>
  <c r="D67" i="4"/>
  <c r="E67" i="5"/>
  <c r="H67" i="4"/>
  <c r="K67" i="5"/>
  <c r="L67" i="4"/>
  <c r="Q67" i="5"/>
  <c r="M67" i="4"/>
  <c r="R67" i="5"/>
  <c r="T67" i="5"/>
  <c r="U67" i="5"/>
  <c r="P67" i="4"/>
  <c r="W67" i="5"/>
  <c r="Q67" i="4"/>
  <c r="X67" i="5"/>
  <c r="AA67" i="5"/>
  <c r="AI67" i="4"/>
  <c r="T67" i="4" a="1"/>
  <c r="T67" i="4"/>
  <c r="AC67" i="5"/>
  <c r="U67" i="4" a="1"/>
  <c r="U67" i="4"/>
  <c r="AD67" i="5"/>
  <c r="X67" i="4"/>
  <c r="AI67" i="5"/>
  <c r="Y67" i="4"/>
  <c r="AJ67" i="5"/>
  <c r="Z67" i="4"/>
  <c r="AL67" i="5"/>
  <c r="F67" i="5"/>
  <c r="H67" i="5"/>
  <c r="I67" i="5"/>
  <c r="L67" i="5"/>
  <c r="N67" i="5"/>
  <c r="O67" i="5"/>
  <c r="Z67" i="5"/>
  <c r="AN67" i="5"/>
  <c r="AG68" i="5"/>
  <c r="AF68" i="5"/>
  <c r="C68" i="4"/>
  <c r="C68" i="5"/>
  <c r="D68" i="4"/>
  <c r="E68" i="5"/>
  <c r="H68" i="4"/>
  <c r="K68" i="5"/>
  <c r="L68" i="4"/>
  <c r="Q68" i="5"/>
  <c r="M68" i="4"/>
  <c r="R68" i="5"/>
  <c r="T68" i="5"/>
  <c r="U68" i="5"/>
  <c r="P68" i="4"/>
  <c r="W68" i="5"/>
  <c r="Q68" i="4"/>
  <c r="X68" i="5"/>
  <c r="AA68" i="5"/>
  <c r="AI68" i="4"/>
  <c r="T68" i="4" a="1"/>
  <c r="T68" i="4"/>
  <c r="AC68" i="5"/>
  <c r="U68" i="4" a="1"/>
  <c r="U68" i="4"/>
  <c r="AD68" i="5"/>
  <c r="Y68" i="4"/>
  <c r="AJ68" i="5"/>
  <c r="Z68" i="4"/>
  <c r="AL68" i="5"/>
  <c r="F68" i="5"/>
  <c r="H68" i="5"/>
  <c r="I68" i="5"/>
  <c r="L68" i="5"/>
  <c r="N68" i="5"/>
  <c r="O68" i="5"/>
  <c r="Z68" i="5"/>
  <c r="AN68" i="5"/>
  <c r="AG69" i="5"/>
  <c r="AF69" i="5"/>
  <c r="C17" i="2"/>
  <c r="C69" i="4"/>
  <c r="C69" i="5"/>
  <c r="D17" i="2"/>
  <c r="D69" i="4"/>
  <c r="E69" i="5"/>
  <c r="H17" i="2"/>
  <c r="H69" i="4"/>
  <c r="K69" i="5"/>
  <c r="I17" i="2"/>
  <c r="I69" i="4"/>
  <c r="L69" i="5"/>
  <c r="J17" i="2"/>
  <c r="J69" i="4"/>
  <c r="N69" i="5"/>
  <c r="O69" i="5"/>
  <c r="L17" i="2"/>
  <c r="L69" i="4"/>
  <c r="Q69" i="5"/>
  <c r="M17" i="2"/>
  <c r="M69" i="4"/>
  <c r="R69" i="5"/>
  <c r="N17" i="2"/>
  <c r="N69" i="4"/>
  <c r="T69" i="5"/>
  <c r="O17" i="2"/>
  <c r="O69" i="4"/>
  <c r="U69" i="5"/>
  <c r="P17" i="2"/>
  <c r="P69" i="4"/>
  <c r="W69" i="5"/>
  <c r="Q17" i="2"/>
  <c r="Q69" i="4"/>
  <c r="X69" i="5"/>
  <c r="AA69" i="5"/>
  <c r="AI69" i="4"/>
  <c r="T69" i="4" a="1"/>
  <c r="T69" i="4"/>
  <c r="AC69" i="5"/>
  <c r="AD69" i="5"/>
  <c r="X17" i="2"/>
  <c r="X69" i="4"/>
  <c r="AI69" i="5"/>
  <c r="Y17" i="2"/>
  <c r="Y69" i="4"/>
  <c r="AJ69" i="5"/>
  <c r="Z17" i="2"/>
  <c r="Z69" i="4"/>
  <c r="AL69" i="5"/>
  <c r="F69" i="5"/>
  <c r="H69" i="5"/>
  <c r="I69" i="5"/>
  <c r="Z69" i="5"/>
  <c r="AN69" i="5"/>
  <c r="AG70" i="5"/>
  <c r="AF70" i="5"/>
  <c r="C70" i="4"/>
  <c r="C70" i="5"/>
  <c r="D70" i="4"/>
  <c r="E70" i="5"/>
  <c r="H70" i="4"/>
  <c r="K70" i="5"/>
  <c r="L70" i="4"/>
  <c r="Q70" i="5"/>
  <c r="M70" i="4"/>
  <c r="R70" i="5"/>
  <c r="N70" i="4"/>
  <c r="T70" i="5"/>
  <c r="O70" i="4"/>
  <c r="U70" i="5"/>
  <c r="P70" i="4"/>
  <c r="W70" i="5"/>
  <c r="Q70" i="4"/>
  <c r="X70" i="5"/>
  <c r="AA70" i="5"/>
  <c r="AI70" i="4"/>
  <c r="T70" i="4" a="1"/>
  <c r="T70" i="4"/>
  <c r="AC70" i="5"/>
  <c r="U70" i="4" a="1"/>
  <c r="U70" i="4"/>
  <c r="AD70" i="5"/>
  <c r="Y70" i="4"/>
  <c r="AJ70" i="5"/>
  <c r="Z70" i="4"/>
  <c r="AL70" i="5"/>
  <c r="F70" i="5"/>
  <c r="H70" i="5"/>
  <c r="I70" i="5"/>
  <c r="L70" i="5"/>
  <c r="N70" i="5"/>
  <c r="O70" i="5"/>
  <c r="Z70" i="5"/>
  <c r="AN70" i="5"/>
  <c r="AG71" i="5"/>
  <c r="AF71" i="5"/>
  <c r="B71" i="4"/>
  <c r="C71" i="4"/>
  <c r="C71" i="5"/>
  <c r="D71" i="4"/>
  <c r="E71" i="5"/>
  <c r="H71" i="4"/>
  <c r="K71" i="5"/>
  <c r="L71" i="4"/>
  <c r="Q71" i="5"/>
  <c r="M71" i="4"/>
  <c r="R71" i="5"/>
  <c r="T71" i="5"/>
  <c r="U71" i="5"/>
  <c r="P71" i="4"/>
  <c r="W71" i="5"/>
  <c r="Q71" i="4"/>
  <c r="X71" i="5"/>
  <c r="AA71" i="5"/>
  <c r="AI71" i="4"/>
  <c r="T71" i="4" a="1"/>
  <c r="T71" i="4"/>
  <c r="AC71" i="5"/>
  <c r="U71" i="4" a="1"/>
  <c r="U71" i="4"/>
  <c r="AD71" i="5"/>
  <c r="Y71" i="4"/>
  <c r="AJ71" i="5"/>
  <c r="Z71" i="4"/>
  <c r="AL71" i="5"/>
  <c r="F71" i="5"/>
  <c r="H71" i="5"/>
  <c r="I71" i="5"/>
  <c r="L71" i="5"/>
  <c r="N71" i="5"/>
  <c r="O71" i="5"/>
  <c r="Z71" i="5"/>
  <c r="AN71" i="5"/>
  <c r="AG72" i="5"/>
  <c r="AF72" i="5"/>
  <c r="C18" i="2"/>
  <c r="C72" i="4"/>
  <c r="C72" i="5"/>
  <c r="D72" i="4"/>
  <c r="E72" i="5"/>
  <c r="H72" i="4"/>
  <c r="K72" i="5"/>
  <c r="L72" i="4"/>
  <c r="Q72" i="5"/>
  <c r="M72" i="4"/>
  <c r="R72" i="5"/>
  <c r="T72" i="5"/>
  <c r="O18" i="2"/>
  <c r="O72" i="4"/>
  <c r="U72" i="5"/>
  <c r="P18" i="2"/>
  <c r="P72" i="4"/>
  <c r="W72" i="5"/>
  <c r="Q18" i="2"/>
  <c r="Q72" i="4"/>
  <c r="X72" i="5"/>
  <c r="S18" i="2"/>
  <c r="S72" i="4"/>
  <c r="AA72" i="5"/>
  <c r="AI72" i="4"/>
  <c r="T72" i="4" a="1"/>
  <c r="T72" i="4"/>
  <c r="AC72" i="5"/>
  <c r="U72" i="4" a="1"/>
  <c r="U72" i="4"/>
  <c r="AD72" i="5"/>
  <c r="X18" i="2"/>
  <c r="X72" i="4"/>
  <c r="AI72" i="5"/>
  <c r="Y18" i="2"/>
  <c r="Y72" i="4"/>
  <c r="AJ72" i="5"/>
  <c r="Z18" i="2"/>
  <c r="Z72" i="4"/>
  <c r="AL72" i="5"/>
  <c r="F72" i="5"/>
  <c r="H72" i="5"/>
  <c r="I72" i="5"/>
  <c r="L72" i="5"/>
  <c r="N72" i="5"/>
  <c r="O72" i="5"/>
  <c r="Z72" i="5"/>
  <c r="AN72" i="5"/>
  <c r="AG73" i="5"/>
  <c r="AF73" i="5"/>
  <c r="C20" i="2"/>
  <c r="C247" i="4"/>
  <c r="C73" i="5"/>
  <c r="D20" i="2"/>
  <c r="D247" i="4"/>
  <c r="E73" i="5"/>
  <c r="E20" i="2"/>
  <c r="E247" i="4"/>
  <c r="F73" i="5"/>
  <c r="F20" i="2"/>
  <c r="F247" i="4"/>
  <c r="H73" i="5"/>
  <c r="I73" i="5"/>
  <c r="H20" i="2"/>
  <c r="H247" i="4"/>
  <c r="K73" i="5"/>
  <c r="L20" i="2"/>
  <c r="L247" i="4"/>
  <c r="Q73" i="5"/>
  <c r="M20" i="2"/>
  <c r="M247" i="4"/>
  <c r="R73" i="5"/>
  <c r="T73" i="5"/>
  <c r="U73" i="5"/>
  <c r="P20" i="2"/>
  <c r="P247" i="4"/>
  <c r="W73" i="5"/>
  <c r="Q20" i="2"/>
  <c r="Q247" i="4"/>
  <c r="X73" i="5"/>
  <c r="S20" i="2"/>
  <c r="S247" i="4"/>
  <c r="AA73" i="5"/>
  <c r="AI247" i="4"/>
  <c r="T247" i="4" a="1"/>
  <c r="T247" i="4"/>
  <c r="AC73" i="5"/>
  <c r="U247" i="4" a="1"/>
  <c r="U247" i="4"/>
  <c r="AD73" i="5"/>
  <c r="X20" i="2"/>
  <c r="X247" i="4"/>
  <c r="AI73" i="5"/>
  <c r="Y20" i="2"/>
  <c r="Y247" i="4"/>
  <c r="AJ73" i="5"/>
  <c r="Z20" i="2"/>
  <c r="Z247" i="4"/>
  <c r="AL73" i="5"/>
  <c r="L73" i="5"/>
  <c r="N73" i="5"/>
  <c r="O73" i="5"/>
  <c r="Z73" i="5"/>
  <c r="AN73" i="5"/>
  <c r="AG74" i="5"/>
  <c r="AF74" i="5"/>
  <c r="C74" i="4"/>
  <c r="C74" i="5"/>
  <c r="D74" i="4"/>
  <c r="E74" i="5"/>
  <c r="H74" i="4"/>
  <c r="K74" i="5"/>
  <c r="L74" i="4"/>
  <c r="Q74" i="5"/>
  <c r="M74" i="4"/>
  <c r="R74" i="5"/>
  <c r="T74" i="5"/>
  <c r="U74" i="5"/>
  <c r="P74" i="4"/>
  <c r="W74" i="5"/>
  <c r="Q74" i="4"/>
  <c r="X74" i="5"/>
  <c r="S74" i="4"/>
  <c r="AA74" i="5"/>
  <c r="AI74" i="4"/>
  <c r="T74" i="4" a="1"/>
  <c r="T74" i="4"/>
  <c r="AC74" i="5"/>
  <c r="U74" i="4" a="1"/>
  <c r="U74" i="4"/>
  <c r="AD74" i="5"/>
  <c r="X74" i="4"/>
  <c r="AI74" i="5"/>
  <c r="Y74" i="4"/>
  <c r="AJ74" i="5"/>
  <c r="Z74" i="4"/>
  <c r="AL74" i="5"/>
  <c r="F74" i="5"/>
  <c r="H74" i="5"/>
  <c r="I74" i="5"/>
  <c r="L74" i="5"/>
  <c r="N74" i="5"/>
  <c r="O74" i="5"/>
  <c r="Z74" i="5"/>
  <c r="AN74" i="5"/>
  <c r="AG75" i="5"/>
  <c r="AF75" i="5"/>
  <c r="C75" i="4"/>
  <c r="C75" i="5"/>
  <c r="D75" i="4"/>
  <c r="E75" i="5"/>
  <c r="H75" i="4"/>
  <c r="K75" i="5"/>
  <c r="L75" i="4"/>
  <c r="Q75" i="5"/>
  <c r="R75" i="5"/>
  <c r="T75" i="5"/>
  <c r="O75" i="4"/>
  <c r="U75" i="5"/>
  <c r="P75" i="4"/>
  <c r="W75" i="5"/>
  <c r="Q75" i="4"/>
  <c r="X75" i="5"/>
  <c r="S75" i="4"/>
  <c r="AA75" i="5"/>
  <c r="AI75" i="4"/>
  <c r="T75" i="4" a="1"/>
  <c r="T75" i="4"/>
  <c r="AC75" i="5"/>
  <c r="U75" i="4" a="1"/>
  <c r="U75" i="4"/>
  <c r="AD75" i="5"/>
  <c r="X75" i="4"/>
  <c r="AI75" i="5"/>
  <c r="Y75" i="4"/>
  <c r="AJ75" i="5"/>
  <c r="Z75" i="4"/>
  <c r="AL75" i="5"/>
  <c r="F75" i="5"/>
  <c r="H75" i="5"/>
  <c r="I75" i="5"/>
  <c r="L75" i="5"/>
  <c r="N75" i="5"/>
  <c r="O75" i="5"/>
  <c r="Z75" i="5"/>
  <c r="AN75" i="5"/>
  <c r="AG76" i="5"/>
  <c r="AF76" i="5"/>
  <c r="C25" i="2"/>
  <c r="B76" i="4"/>
  <c r="C76" i="4"/>
  <c r="C76" i="5"/>
  <c r="D25" i="2"/>
  <c r="D76" i="4"/>
  <c r="E76" i="5"/>
  <c r="H25" i="2"/>
  <c r="H76" i="4"/>
  <c r="K76" i="5"/>
  <c r="L25" i="2"/>
  <c r="L76" i="4"/>
  <c r="Q76" i="5"/>
  <c r="M25" i="2"/>
  <c r="M76" i="4"/>
  <c r="R76" i="5"/>
  <c r="T76" i="5"/>
  <c r="U76" i="5"/>
  <c r="P25" i="2"/>
  <c r="P76" i="4"/>
  <c r="W76" i="5"/>
  <c r="Q25" i="2"/>
  <c r="Q76" i="4"/>
  <c r="X76" i="5"/>
  <c r="S25" i="2"/>
  <c r="S76" i="4"/>
  <c r="AA76" i="5"/>
  <c r="AI76" i="4"/>
  <c r="T76" i="4" a="1"/>
  <c r="T76" i="4"/>
  <c r="AC76" i="5"/>
  <c r="U76" i="4" a="1"/>
  <c r="U76" i="4"/>
  <c r="AD76" i="5"/>
  <c r="X25" i="2"/>
  <c r="X76" i="4"/>
  <c r="AI76" i="5"/>
  <c r="Y25" i="2"/>
  <c r="Y76" i="4"/>
  <c r="AJ76" i="5"/>
  <c r="Z25" i="2"/>
  <c r="Z76" i="4"/>
  <c r="AL76" i="5"/>
  <c r="F76" i="5"/>
  <c r="H76" i="5"/>
  <c r="I76" i="5"/>
  <c r="L76" i="5"/>
  <c r="N76" i="5"/>
  <c r="O76" i="5"/>
  <c r="Z76" i="5"/>
  <c r="AN76" i="5"/>
  <c r="AG77" i="5"/>
  <c r="AF77" i="5"/>
  <c r="B5" i="4"/>
  <c r="C32" i="2"/>
  <c r="C5" i="4"/>
  <c r="C77" i="5"/>
  <c r="D32" i="2"/>
  <c r="D5" i="4"/>
  <c r="E77" i="5"/>
  <c r="E32" i="2"/>
  <c r="E5" i="4"/>
  <c r="F77" i="5"/>
  <c r="F32" i="2"/>
  <c r="F5" i="4"/>
  <c r="H77" i="5"/>
  <c r="I77" i="5"/>
  <c r="H32" i="2"/>
  <c r="H5" i="4"/>
  <c r="K77" i="5"/>
  <c r="L32" i="2"/>
  <c r="L5" i="4"/>
  <c r="Q77" i="5"/>
  <c r="M32" i="2"/>
  <c r="M5" i="4"/>
  <c r="R77" i="5"/>
  <c r="T77" i="5"/>
  <c r="U77" i="5"/>
  <c r="P32" i="2"/>
  <c r="P5" i="4"/>
  <c r="W77" i="5"/>
  <c r="Q32" i="2"/>
  <c r="Q5" i="4"/>
  <c r="X77" i="5"/>
  <c r="S32" i="2"/>
  <c r="S5" i="4"/>
  <c r="AA77" i="5"/>
  <c r="AI5" i="4"/>
  <c r="T5" i="4" a="1"/>
  <c r="T5" i="4"/>
  <c r="AC77" i="5"/>
  <c r="AD77" i="5"/>
  <c r="X32" i="2"/>
  <c r="X5" i="4"/>
  <c r="AI77" i="5"/>
  <c r="Y32" i="2"/>
  <c r="Y5" i="4"/>
  <c r="AJ77" i="5"/>
  <c r="Z32" i="2"/>
  <c r="Z5" i="4"/>
  <c r="AL77" i="5"/>
  <c r="L77" i="5"/>
  <c r="N77" i="5"/>
  <c r="O77" i="5"/>
  <c r="Z77" i="5"/>
  <c r="AN77" i="5"/>
  <c r="AG78" i="5"/>
  <c r="AF78" i="5"/>
  <c r="C6" i="4"/>
  <c r="C78" i="5"/>
  <c r="T78" i="5"/>
  <c r="U78" i="5"/>
  <c r="P6" i="4"/>
  <c r="W78" i="5"/>
  <c r="Q6" i="4"/>
  <c r="X78" i="5"/>
  <c r="S6" i="4"/>
  <c r="AA78" i="5"/>
  <c r="X6" i="4"/>
  <c r="AI78" i="5"/>
  <c r="Y6" i="4"/>
  <c r="AJ78" i="5"/>
  <c r="Z6" i="4"/>
  <c r="AL78" i="5"/>
  <c r="Z78" i="5"/>
  <c r="AN78" i="5"/>
  <c r="AG79" i="5"/>
  <c r="AF79" i="5"/>
  <c r="B7" i="4"/>
  <c r="C7" i="4"/>
  <c r="C79" i="5"/>
  <c r="D7" i="4"/>
  <c r="E79" i="5"/>
  <c r="E7" i="4"/>
  <c r="F79" i="5"/>
  <c r="F7" i="4"/>
  <c r="H79" i="5"/>
  <c r="I79" i="5"/>
  <c r="H7" i="4"/>
  <c r="K79" i="5"/>
  <c r="L7" i="4"/>
  <c r="Q79" i="5"/>
  <c r="M7" i="4"/>
  <c r="R79" i="5"/>
  <c r="T79" i="5"/>
  <c r="U79" i="5"/>
  <c r="P7" i="4"/>
  <c r="W79" i="5"/>
  <c r="Q7" i="4"/>
  <c r="X79" i="5"/>
  <c r="S7" i="4"/>
  <c r="AA79" i="5"/>
  <c r="AI7" i="4"/>
  <c r="T7" i="4" a="1"/>
  <c r="T7" i="4"/>
  <c r="AC79" i="5"/>
  <c r="AD79" i="5"/>
  <c r="X7" i="4"/>
  <c r="AI79" i="5"/>
  <c r="Y7" i="4"/>
  <c r="AJ79" i="5"/>
  <c r="Z7" i="4"/>
  <c r="AL79" i="5"/>
  <c r="L79" i="5"/>
  <c r="N79" i="5"/>
  <c r="O79" i="5"/>
  <c r="Z79" i="5"/>
  <c r="AN79" i="5"/>
  <c r="AG80" i="5"/>
  <c r="AF80" i="5"/>
  <c r="B77" i="4"/>
  <c r="C77" i="4"/>
  <c r="C80" i="5"/>
  <c r="D77" i="4"/>
  <c r="E80" i="5"/>
  <c r="H77" i="4"/>
  <c r="K80" i="5"/>
  <c r="L77" i="4"/>
  <c r="Q80" i="5"/>
  <c r="M77" i="4"/>
  <c r="R80" i="5"/>
  <c r="T80" i="5"/>
  <c r="O77" i="4"/>
  <c r="U80" i="5"/>
  <c r="P77" i="4"/>
  <c r="W80" i="5"/>
  <c r="Q77" i="4"/>
  <c r="X80" i="5"/>
  <c r="S77" i="4"/>
  <c r="AA80" i="5"/>
  <c r="AI77" i="4"/>
  <c r="T77" i="4" a="1"/>
  <c r="T77" i="4"/>
  <c r="AC80" i="5"/>
  <c r="U77" i="4" a="1"/>
  <c r="U77" i="4"/>
  <c r="AD80" i="5"/>
  <c r="X77" i="4"/>
  <c r="AI80" i="5"/>
  <c r="Y77" i="4"/>
  <c r="AJ80" i="5"/>
  <c r="Z77" i="4"/>
  <c r="AL80" i="5"/>
  <c r="F80" i="5"/>
  <c r="H80" i="5"/>
  <c r="I80" i="5"/>
  <c r="L80" i="5"/>
  <c r="N80" i="5"/>
  <c r="O80" i="5"/>
  <c r="Z80" i="5"/>
  <c r="AN80" i="5"/>
  <c r="AG81" i="5"/>
  <c r="AF81" i="5"/>
  <c r="C78" i="4"/>
  <c r="C81" i="5"/>
  <c r="D78" i="4"/>
  <c r="E81" i="5"/>
  <c r="K81" i="5"/>
  <c r="L78" i="4"/>
  <c r="Q81" i="5"/>
  <c r="R81" i="5"/>
  <c r="T81" i="5"/>
  <c r="O78" i="4"/>
  <c r="U81" i="5"/>
  <c r="P78" i="4"/>
  <c r="W81" i="5"/>
  <c r="Q78" i="4"/>
  <c r="X81" i="5"/>
  <c r="S78" i="4"/>
  <c r="AA81" i="5"/>
  <c r="AI78" i="4"/>
  <c r="T78" i="4" a="1"/>
  <c r="T78" i="4"/>
  <c r="AC81" i="5"/>
  <c r="U78" i="4" a="1"/>
  <c r="U78" i="4"/>
  <c r="AD81" i="5"/>
  <c r="X78" i="4"/>
  <c r="AI81" i="5"/>
  <c r="Y78" i="4"/>
  <c r="AJ81" i="5"/>
  <c r="Z78" i="4"/>
  <c r="AL81" i="5"/>
  <c r="F81" i="5"/>
  <c r="H81" i="5"/>
  <c r="I81" i="5"/>
  <c r="L81" i="5"/>
  <c r="N81" i="5"/>
  <c r="O81" i="5"/>
  <c r="Z81" i="5"/>
  <c r="AN81" i="5"/>
  <c r="AG82" i="5"/>
  <c r="AF82" i="5"/>
  <c r="C79" i="4"/>
  <c r="C82" i="5"/>
  <c r="D79" i="4"/>
  <c r="E82" i="5"/>
  <c r="K82" i="5"/>
  <c r="L79" i="4"/>
  <c r="Q82" i="5"/>
  <c r="M79" i="4"/>
  <c r="R82" i="5"/>
  <c r="T82" i="5"/>
  <c r="O79" i="4"/>
  <c r="U82" i="5"/>
  <c r="P79" i="4"/>
  <c r="W82" i="5"/>
  <c r="Q79" i="4"/>
  <c r="X82" i="5"/>
  <c r="S79" i="4"/>
  <c r="AA82" i="5"/>
  <c r="AI79" i="4"/>
  <c r="T79" i="4" a="1"/>
  <c r="T79" i="4"/>
  <c r="AC82" i="5"/>
  <c r="U79" i="4" a="1"/>
  <c r="U79" i="4"/>
  <c r="AD82" i="5"/>
  <c r="X79" i="4"/>
  <c r="AI82" i="5"/>
  <c r="Y79" i="4"/>
  <c r="AJ82" i="5"/>
  <c r="Z79" i="4"/>
  <c r="AL82" i="5"/>
  <c r="F82" i="5"/>
  <c r="H82" i="5"/>
  <c r="I82" i="5"/>
  <c r="L82" i="5"/>
  <c r="N82" i="5"/>
  <c r="O82" i="5"/>
  <c r="Z82" i="5"/>
  <c r="AN82" i="5"/>
  <c r="AG83" i="5"/>
  <c r="AF83" i="5"/>
  <c r="C80" i="4"/>
  <c r="C83" i="5"/>
  <c r="D80" i="4"/>
  <c r="E83" i="5"/>
  <c r="K83" i="5"/>
  <c r="L80" i="4"/>
  <c r="Q83" i="5"/>
  <c r="M80" i="4"/>
  <c r="R83" i="5"/>
  <c r="T83" i="5"/>
  <c r="O80" i="4"/>
  <c r="U83" i="5"/>
  <c r="P80" i="4"/>
  <c r="W83" i="5"/>
  <c r="Q80" i="4"/>
  <c r="X83" i="5"/>
  <c r="S80" i="4"/>
  <c r="AA83" i="5"/>
  <c r="AI80" i="4"/>
  <c r="T80" i="4" a="1"/>
  <c r="T80" i="4"/>
  <c r="AC83" i="5"/>
  <c r="U80" i="4" a="1"/>
  <c r="U80" i="4"/>
  <c r="AD83" i="5"/>
  <c r="X80" i="4"/>
  <c r="AI83" i="5"/>
  <c r="Y80" i="4"/>
  <c r="AJ83" i="5"/>
  <c r="Z80" i="4"/>
  <c r="AL83" i="5"/>
  <c r="F83" i="5"/>
  <c r="H83" i="5"/>
  <c r="I83" i="5"/>
  <c r="L83" i="5"/>
  <c r="N83" i="5"/>
  <c r="O83" i="5"/>
  <c r="Z83" i="5"/>
  <c r="AN83" i="5"/>
  <c r="AG84" i="5"/>
  <c r="AF84" i="5"/>
  <c r="C81" i="4"/>
  <c r="C84" i="5"/>
  <c r="D81" i="4"/>
  <c r="E84" i="5"/>
  <c r="K84" i="5"/>
  <c r="L81" i="4"/>
  <c r="Q84" i="5"/>
  <c r="M81" i="4"/>
  <c r="R84" i="5"/>
  <c r="T84" i="5"/>
  <c r="U84" i="5"/>
  <c r="P81" i="4"/>
  <c r="W84" i="5"/>
  <c r="Q81" i="4"/>
  <c r="X84" i="5"/>
  <c r="S81" i="4"/>
  <c r="AA84" i="5"/>
  <c r="AI81" i="4"/>
  <c r="T81" i="4" a="1"/>
  <c r="T81" i="4"/>
  <c r="AC84" i="5"/>
  <c r="U81" i="4" a="1"/>
  <c r="U81" i="4"/>
  <c r="AD84" i="5"/>
  <c r="X81" i="4"/>
  <c r="AI84" i="5"/>
  <c r="Y81" i="4"/>
  <c r="AJ84" i="5"/>
  <c r="Z81" i="4"/>
  <c r="AL84" i="5"/>
  <c r="F84" i="5"/>
  <c r="H84" i="5"/>
  <c r="I84" i="5"/>
  <c r="L84" i="5"/>
  <c r="N84" i="5"/>
  <c r="O84" i="5"/>
  <c r="Z84" i="5"/>
  <c r="AN84" i="5"/>
  <c r="AG85" i="5"/>
  <c r="AF85" i="5"/>
  <c r="C82" i="4"/>
  <c r="C85" i="5"/>
  <c r="D82" i="4"/>
  <c r="E85" i="5"/>
  <c r="K85" i="5"/>
  <c r="L82" i="4"/>
  <c r="Q85" i="5"/>
  <c r="M82" i="4"/>
  <c r="R85" i="5"/>
  <c r="T85" i="5"/>
  <c r="O82" i="4"/>
  <c r="U85" i="5"/>
  <c r="P82" i="4"/>
  <c r="W85" i="5"/>
  <c r="Q82" i="4"/>
  <c r="X85" i="5"/>
  <c r="S82" i="4"/>
  <c r="AA85" i="5"/>
  <c r="AI82" i="4"/>
  <c r="T82" i="4" a="1"/>
  <c r="T82" i="4"/>
  <c r="AC85" i="5"/>
  <c r="U82" i="4" a="1"/>
  <c r="U82" i="4"/>
  <c r="AD85" i="5"/>
  <c r="X82" i="4"/>
  <c r="AI85" i="5"/>
  <c r="Y82" i="4"/>
  <c r="AJ85" i="5"/>
  <c r="Z82" i="4"/>
  <c r="AL85" i="5"/>
  <c r="F85" i="5"/>
  <c r="H85" i="5"/>
  <c r="I85" i="5"/>
  <c r="L85" i="5"/>
  <c r="N85" i="5"/>
  <c r="O85" i="5"/>
  <c r="Z85" i="5"/>
  <c r="AN85" i="5"/>
  <c r="AG86" i="5"/>
  <c r="AF86" i="5"/>
  <c r="B85" i="4"/>
  <c r="C85" i="4"/>
  <c r="C86" i="5"/>
  <c r="D85" i="4"/>
  <c r="E86" i="5"/>
  <c r="K86" i="5"/>
  <c r="L85" i="4"/>
  <c r="Q86" i="5"/>
  <c r="M85" i="4"/>
  <c r="R86" i="5"/>
  <c r="T86" i="5"/>
  <c r="U86" i="5"/>
  <c r="P85" i="4"/>
  <c r="W86" i="5"/>
  <c r="Q85" i="4"/>
  <c r="X86" i="5"/>
  <c r="S85" i="4"/>
  <c r="AA86" i="5"/>
  <c r="AI85" i="4"/>
  <c r="T85" i="4" a="1"/>
  <c r="T85" i="4"/>
  <c r="AC86" i="5"/>
  <c r="U85" i="4" a="1"/>
  <c r="U85" i="4"/>
  <c r="AD86" i="5"/>
  <c r="X85" i="4"/>
  <c r="AI86" i="5"/>
  <c r="Y85" i="4"/>
  <c r="AJ86" i="5"/>
  <c r="Z85" i="4"/>
  <c r="AL86" i="5"/>
  <c r="F86" i="5"/>
  <c r="H86" i="5"/>
  <c r="I86" i="5"/>
  <c r="L86" i="5"/>
  <c r="N86" i="5"/>
  <c r="O86" i="5"/>
  <c r="Z86" i="5"/>
  <c r="AN86" i="5"/>
  <c r="AG87" i="5"/>
  <c r="AF87" i="5"/>
  <c r="B88" i="4"/>
  <c r="C88" i="4"/>
  <c r="C87" i="5"/>
  <c r="D88" i="4"/>
  <c r="E87" i="5"/>
  <c r="E88" i="4"/>
  <c r="F87" i="5"/>
  <c r="F88" i="4"/>
  <c r="H87" i="5"/>
  <c r="I87" i="5"/>
  <c r="H41" i="2"/>
  <c r="H88" i="4"/>
  <c r="K87" i="5"/>
  <c r="L88" i="4"/>
  <c r="Q87" i="5"/>
  <c r="M88" i="4"/>
  <c r="R87" i="5"/>
  <c r="T87" i="5"/>
  <c r="O88" i="4"/>
  <c r="U87" i="5"/>
  <c r="P88" i="4"/>
  <c r="W87" i="5"/>
  <c r="Q88" i="4"/>
  <c r="X87" i="5"/>
  <c r="S88" i="4"/>
  <c r="AA87" i="5"/>
  <c r="AI88" i="4"/>
  <c r="T88" i="4" a="1"/>
  <c r="T88" i="4"/>
  <c r="AC87" i="5"/>
  <c r="U88" i="4" a="1"/>
  <c r="U88" i="4"/>
  <c r="AD87" i="5"/>
  <c r="X88" i="4"/>
  <c r="AI87" i="5"/>
  <c r="Y88" i="4"/>
  <c r="AJ87" i="5"/>
  <c r="Z88" i="4"/>
  <c r="AL87" i="5"/>
  <c r="L87" i="5"/>
  <c r="N87" i="5"/>
  <c r="O87" i="5"/>
  <c r="Z87" i="5"/>
  <c r="AN87" i="5"/>
  <c r="AG88" i="5"/>
  <c r="AF88" i="5"/>
  <c r="B89" i="4"/>
  <c r="C89" i="4"/>
  <c r="C88" i="5"/>
  <c r="D89" i="4"/>
  <c r="E88" i="5"/>
  <c r="E89" i="4"/>
  <c r="F88" i="5"/>
  <c r="F89" i="4"/>
  <c r="H88" i="5"/>
  <c r="I88" i="5"/>
  <c r="H89" i="4"/>
  <c r="K88" i="5"/>
  <c r="L89" i="4"/>
  <c r="Q88" i="5"/>
  <c r="M89" i="4"/>
  <c r="R88" i="5"/>
  <c r="T88" i="5"/>
  <c r="O89" i="4"/>
  <c r="U88" i="5"/>
  <c r="P89" i="4"/>
  <c r="W88" i="5"/>
  <c r="Q89" i="4"/>
  <c r="X88" i="5"/>
  <c r="S89" i="4"/>
  <c r="AA88" i="5"/>
  <c r="AI89" i="4"/>
  <c r="T89" i="4" a="1"/>
  <c r="T89" i="4"/>
  <c r="AC88" i="5"/>
  <c r="U89" i="4" a="1"/>
  <c r="U89" i="4"/>
  <c r="AD88" i="5"/>
  <c r="X89" i="4"/>
  <c r="AI88" i="5"/>
  <c r="Y89" i="4"/>
  <c r="AJ88" i="5"/>
  <c r="Z89" i="4"/>
  <c r="AL88" i="5"/>
  <c r="L88" i="5"/>
  <c r="N88" i="5"/>
  <c r="O88" i="5"/>
  <c r="Z88" i="5"/>
  <c r="AN88" i="5"/>
  <c r="AG89" i="5"/>
  <c r="AF89" i="5"/>
  <c r="B8" i="4"/>
  <c r="C8" i="4"/>
  <c r="C89" i="5"/>
  <c r="D8" i="4"/>
  <c r="E89" i="5"/>
  <c r="E8" i="4"/>
  <c r="F89" i="5"/>
  <c r="F8" i="4"/>
  <c r="H89" i="5"/>
  <c r="I89" i="5"/>
  <c r="H8" i="4"/>
  <c r="K89" i="5"/>
  <c r="L8" i="4"/>
  <c r="Q89" i="5"/>
  <c r="M8" i="4"/>
  <c r="R89" i="5"/>
  <c r="T89" i="5"/>
  <c r="U89" i="5"/>
  <c r="P8" i="4"/>
  <c r="W89" i="5"/>
  <c r="Q8" i="4"/>
  <c r="X89" i="5"/>
  <c r="S8" i="4"/>
  <c r="AA89" i="5"/>
  <c r="AI8" i="4"/>
  <c r="T8" i="4" a="1"/>
  <c r="T8" i="4"/>
  <c r="AC89" i="5"/>
  <c r="U8" i="4" a="1"/>
  <c r="U8" i="4"/>
  <c r="AD89" i="5"/>
  <c r="X8" i="4"/>
  <c r="AI89" i="5"/>
  <c r="Y8" i="4"/>
  <c r="AJ89" i="5"/>
  <c r="Z8" i="4"/>
  <c r="AL89" i="5"/>
  <c r="L89" i="5"/>
  <c r="N89" i="5"/>
  <c r="O89" i="5"/>
  <c r="Z89" i="5"/>
  <c r="AN89" i="5"/>
  <c r="S21" i="2"/>
  <c r="B249" i="4"/>
  <c r="S249" i="4"/>
  <c r="AA90" i="5"/>
  <c r="P21" i="2"/>
  <c r="P249" i="4"/>
  <c r="W90" i="5"/>
  <c r="K21" i="2"/>
  <c r="K249" i="4"/>
  <c r="O90" i="5"/>
  <c r="H21" i="2"/>
  <c r="H249" i="4"/>
  <c r="K90" i="5"/>
  <c r="W21" i="2"/>
  <c r="W249" i="4"/>
  <c r="AG90" i="5"/>
  <c r="V249" i="4"/>
  <c r="AF90" i="5"/>
  <c r="C21" i="2"/>
  <c r="C249" i="4"/>
  <c r="C90" i="5"/>
  <c r="D21" i="2"/>
  <c r="D249" i="4"/>
  <c r="E90" i="5"/>
  <c r="G21" i="2"/>
  <c r="G249" i="4"/>
  <c r="I90" i="5"/>
  <c r="I21" i="2"/>
  <c r="I249" i="4"/>
  <c r="L90" i="5"/>
  <c r="J21" i="2"/>
  <c r="J249" i="4"/>
  <c r="N90" i="5"/>
  <c r="L21" i="2"/>
  <c r="L249" i="4"/>
  <c r="Q90" i="5"/>
  <c r="O21" i="2"/>
  <c r="O249" i="4"/>
  <c r="U90" i="5"/>
  <c r="Q249" i="4"/>
  <c r="X90" i="5"/>
  <c r="R21" i="2"/>
  <c r="R249" i="4"/>
  <c r="Z90" i="5"/>
  <c r="AI249" i="4"/>
  <c r="T249" i="4" a="1"/>
  <c r="T249" i="4"/>
  <c r="AC90" i="5"/>
  <c r="U249" i="4" a="1"/>
  <c r="U249" i="4"/>
  <c r="AD90" i="5"/>
  <c r="X21" i="2"/>
  <c r="X249" i="4"/>
  <c r="AI90" i="5"/>
  <c r="Y21" i="2"/>
  <c r="Y249" i="4"/>
  <c r="AJ90" i="5"/>
  <c r="Z21" i="2"/>
  <c r="Z249" i="4"/>
  <c r="AL90" i="5"/>
  <c r="R90" i="5"/>
  <c r="T90" i="5"/>
  <c r="F90" i="5"/>
  <c r="H90" i="5"/>
  <c r="AN90" i="5"/>
  <c r="S250" i="4"/>
  <c r="AA91" i="5"/>
  <c r="P250" i="4"/>
  <c r="W91" i="5"/>
  <c r="O91" i="5"/>
  <c r="K91" i="5"/>
  <c r="AG91" i="5"/>
  <c r="AF91" i="5"/>
  <c r="C250" i="4"/>
  <c r="C91" i="5"/>
  <c r="D250" i="4"/>
  <c r="E91" i="5"/>
  <c r="L91" i="5"/>
  <c r="N91" i="5"/>
  <c r="L250" i="4"/>
  <c r="Q91" i="5"/>
  <c r="O250" i="4"/>
  <c r="U91" i="5"/>
  <c r="Q250" i="4"/>
  <c r="X91" i="5"/>
  <c r="R250" i="4"/>
  <c r="Z91" i="5"/>
  <c r="AI250" i="4"/>
  <c r="T250" i="4" a="1"/>
  <c r="T250" i="4"/>
  <c r="AC91" i="5"/>
  <c r="U250" i="4" a="1"/>
  <c r="U250" i="4"/>
  <c r="AD91" i="5"/>
  <c r="X250" i="4"/>
  <c r="AI91" i="5"/>
  <c r="Y250" i="4"/>
  <c r="AJ91" i="5"/>
  <c r="Z250" i="4"/>
  <c r="AL91" i="5"/>
  <c r="R91" i="5"/>
  <c r="T91" i="5"/>
  <c r="F91" i="5"/>
  <c r="H91" i="5"/>
  <c r="I91" i="5"/>
  <c r="AN91" i="5"/>
  <c r="O92" i="5"/>
  <c r="K92" i="5"/>
  <c r="AG92" i="5"/>
  <c r="AF92" i="5"/>
  <c r="B90" i="4"/>
  <c r="C90" i="4"/>
  <c r="C92" i="5"/>
  <c r="D90" i="4"/>
  <c r="E92" i="5"/>
  <c r="I90" i="4"/>
  <c r="L92" i="5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I90" i="4"/>
  <c r="T90" i="4" a="1"/>
  <c r="T90" i="4"/>
  <c r="AC92" i="5"/>
  <c r="U90" i="4" a="1"/>
  <c r="U90" i="4"/>
  <c r="AD92" i="5"/>
  <c r="X90" i="4"/>
  <c r="AI92" i="5"/>
  <c r="Y90" i="4"/>
  <c r="AJ92" i="5"/>
  <c r="Z90" i="4"/>
  <c r="AL92" i="5"/>
  <c r="F92" i="5"/>
  <c r="H92" i="5"/>
  <c r="I92" i="5"/>
  <c r="Z92" i="5"/>
  <c r="AN92" i="5"/>
  <c r="AG93" i="5"/>
  <c r="AF93" i="5"/>
  <c r="C22" i="2"/>
  <c r="B93" i="4"/>
  <c r="C93" i="4"/>
  <c r="C93" i="5"/>
  <c r="D22" i="2"/>
  <c r="D93" i="4"/>
  <c r="E93" i="5"/>
  <c r="K93" i="5"/>
  <c r="L22" i="2"/>
  <c r="L93" i="4"/>
  <c r="Q93" i="5"/>
  <c r="M22" i="2"/>
  <c r="M93" i="4"/>
  <c r="R93" i="5"/>
  <c r="T93" i="5"/>
  <c r="U93" i="5"/>
  <c r="P22" i="2"/>
  <c r="P93" i="4"/>
  <c r="W93" i="5"/>
  <c r="Q22" i="2"/>
  <c r="Q93" i="4"/>
  <c r="X93" i="5"/>
  <c r="S22" i="2"/>
  <c r="S93" i="4"/>
  <c r="AA93" i="5"/>
  <c r="AI93" i="4"/>
  <c r="T93" i="4" a="1"/>
  <c r="T93" i="4"/>
  <c r="AC93" i="5"/>
  <c r="U93" i="4" a="1"/>
  <c r="U93" i="4"/>
  <c r="AD93" i="5"/>
  <c r="X22" i="2"/>
  <c r="X93" i="4"/>
  <c r="AI93" i="5"/>
  <c r="Y22" i="2"/>
  <c r="Y93" i="4"/>
  <c r="AJ93" i="5"/>
  <c r="Z22" i="2"/>
  <c r="Z93" i="4"/>
  <c r="AL93" i="5"/>
  <c r="F93" i="5"/>
  <c r="H93" i="5"/>
  <c r="I93" i="5"/>
  <c r="L93" i="5"/>
  <c r="N93" i="5"/>
  <c r="O93" i="5"/>
  <c r="Z93" i="5"/>
  <c r="AN93" i="5"/>
  <c r="AG94" i="5"/>
  <c r="AF94" i="5"/>
  <c r="B94" i="4"/>
  <c r="C94" i="4"/>
  <c r="C94" i="5"/>
  <c r="D94" i="4"/>
  <c r="E94" i="5"/>
  <c r="K94" i="5"/>
  <c r="L94" i="4"/>
  <c r="Q94" i="5"/>
  <c r="M94" i="4"/>
  <c r="R94" i="5"/>
  <c r="N94" i="4"/>
  <c r="T94" i="5"/>
  <c r="O22" i="2"/>
  <c r="O94" i="4"/>
  <c r="U94" i="5"/>
  <c r="P94" i="4"/>
  <c r="W94" i="5"/>
  <c r="Q94" i="4"/>
  <c r="X94" i="5"/>
  <c r="S94" i="4"/>
  <c r="AA94" i="5"/>
  <c r="X94" i="4"/>
  <c r="AI94" i="5"/>
  <c r="Y94" i="4"/>
  <c r="AJ94" i="5"/>
  <c r="Z94" i="4"/>
  <c r="AL94" i="5"/>
  <c r="F94" i="5"/>
  <c r="H94" i="5"/>
  <c r="I94" i="5"/>
  <c r="L94" i="5"/>
  <c r="N94" i="5"/>
  <c r="O94" i="5"/>
  <c r="Z94" i="5"/>
  <c r="AN94" i="5"/>
  <c r="AG95" i="5"/>
  <c r="AF95" i="5"/>
  <c r="B95" i="4"/>
  <c r="C95" i="4"/>
  <c r="C95" i="5"/>
  <c r="D95" i="4"/>
  <c r="E95" i="5"/>
  <c r="K95" i="5"/>
  <c r="L95" i="4"/>
  <c r="Q95" i="5"/>
  <c r="M95" i="4"/>
  <c r="R95" i="5"/>
  <c r="T95" i="5"/>
  <c r="U95" i="5"/>
  <c r="P95" i="4"/>
  <c r="W95" i="5"/>
  <c r="Q95" i="4"/>
  <c r="X95" i="5"/>
  <c r="S95" i="4"/>
  <c r="AA95" i="5"/>
  <c r="AI95" i="4"/>
  <c r="T95" i="4" a="1"/>
  <c r="T95" i="4"/>
  <c r="AC95" i="5"/>
  <c r="U95" i="4" a="1"/>
  <c r="U95" i="4"/>
  <c r="AD95" i="5"/>
  <c r="X95" i="4"/>
  <c r="AI95" i="5"/>
  <c r="Y95" i="4"/>
  <c r="AJ95" i="5"/>
  <c r="Z95" i="4"/>
  <c r="AL95" i="5"/>
  <c r="F95" i="5"/>
  <c r="H95" i="5"/>
  <c r="I95" i="5"/>
  <c r="L95" i="5"/>
  <c r="N95" i="5"/>
  <c r="O95" i="5"/>
  <c r="Z95" i="5"/>
  <c r="AN95" i="5"/>
  <c r="AG96" i="5"/>
  <c r="AF96" i="5"/>
  <c r="B251" i="4"/>
  <c r="C251" i="4"/>
  <c r="C96" i="5"/>
  <c r="D251" i="4"/>
  <c r="E96" i="5"/>
  <c r="K96" i="5"/>
  <c r="L251" i="4"/>
  <c r="Q96" i="5"/>
  <c r="M251" i="4"/>
  <c r="R96" i="5"/>
  <c r="T96" i="5"/>
  <c r="U96" i="5"/>
  <c r="P251" i="4"/>
  <c r="W96" i="5"/>
  <c r="Q251" i="4"/>
  <c r="X96" i="5"/>
  <c r="AA96" i="5"/>
  <c r="AI251" i="4"/>
  <c r="T251" i="4" a="1"/>
  <c r="T251" i="4"/>
  <c r="AC96" i="5"/>
  <c r="U251" i="4" a="1"/>
  <c r="U251" i="4"/>
  <c r="AD96" i="5"/>
  <c r="Y251" i="4"/>
  <c r="AJ96" i="5"/>
  <c r="Z251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52" i="4"/>
  <c r="C252" i="4"/>
  <c r="C98" i="5"/>
  <c r="D252" i="4"/>
  <c r="E98" i="5"/>
  <c r="K98" i="5"/>
  <c r="L252" i="4"/>
  <c r="Q98" i="5"/>
  <c r="M252" i="4"/>
  <c r="R98" i="5"/>
  <c r="T98" i="5"/>
  <c r="U98" i="5"/>
  <c r="P252" i="4"/>
  <c r="W98" i="5"/>
  <c r="Q252" i="4"/>
  <c r="X98" i="5"/>
  <c r="AA98" i="5"/>
  <c r="AI252" i="4"/>
  <c r="T252" i="4" a="1"/>
  <c r="T252" i="4"/>
  <c r="AC98" i="5"/>
  <c r="U252" i="4" a="1"/>
  <c r="U252" i="4"/>
  <c r="AD98" i="5"/>
  <c r="Y252" i="4"/>
  <c r="AJ98" i="5"/>
  <c r="Z252" i="4"/>
  <c r="AL98" i="5"/>
  <c r="F98" i="5"/>
  <c r="H98" i="5"/>
  <c r="I98" i="5"/>
  <c r="L98" i="5"/>
  <c r="N98" i="5"/>
  <c r="O98" i="5"/>
  <c r="Z98" i="5"/>
  <c r="AN98" i="5"/>
  <c r="AG99" i="5"/>
  <c r="AF99" i="5"/>
  <c r="B100" i="4"/>
  <c r="C100" i="4"/>
  <c r="C99" i="5"/>
  <c r="D100" i="4"/>
  <c r="E99" i="5"/>
  <c r="K99" i="5"/>
  <c r="L100" i="4"/>
  <c r="Q99" i="5"/>
  <c r="M100" i="4"/>
  <c r="R99" i="5"/>
  <c r="T99" i="5"/>
  <c r="O25" i="2"/>
  <c r="O100" i="4"/>
  <c r="U99" i="5"/>
  <c r="P100" i="4"/>
  <c r="W99" i="5"/>
  <c r="Q100" i="4"/>
  <c r="X99" i="5"/>
  <c r="S100" i="4"/>
  <c r="AA99" i="5"/>
  <c r="AI100" i="4"/>
  <c r="T100" i="4" a="1"/>
  <c r="T100" i="4"/>
  <c r="AC99" i="5"/>
  <c r="U100" i="4" a="1"/>
  <c r="U100" i="4"/>
  <c r="AD99" i="5"/>
  <c r="X100" i="4"/>
  <c r="AI99" i="5"/>
  <c r="Y100" i="4"/>
  <c r="AJ99" i="5"/>
  <c r="Z100" i="4"/>
  <c r="AL99" i="5"/>
  <c r="F99" i="5"/>
  <c r="I99" i="5"/>
  <c r="L99" i="5"/>
  <c r="N99" i="5"/>
  <c r="O99" i="5"/>
  <c r="Z99" i="5"/>
  <c r="AN99" i="5"/>
  <c r="AG100" i="5"/>
  <c r="AF100" i="5"/>
  <c r="B101" i="4"/>
  <c r="C101" i="4"/>
  <c r="C100" i="5"/>
  <c r="D101" i="4"/>
  <c r="E100" i="5"/>
  <c r="H101" i="4"/>
  <c r="K100" i="5"/>
  <c r="L101" i="4"/>
  <c r="Q100" i="5"/>
  <c r="M101" i="4"/>
  <c r="R100" i="5"/>
  <c r="N101" i="4"/>
  <c r="T100" i="5"/>
  <c r="O101" i="4"/>
  <c r="U100" i="5"/>
  <c r="P101" i="4"/>
  <c r="W100" i="5"/>
  <c r="Q101" i="4"/>
  <c r="X100" i="5"/>
  <c r="S101" i="4"/>
  <c r="AA100" i="5"/>
  <c r="AI101" i="4"/>
  <c r="T101" i="4" a="1"/>
  <c r="T101" i="4"/>
  <c r="AC100" i="5"/>
  <c r="U101" i="4" a="1"/>
  <c r="U101" i="4"/>
  <c r="AD100" i="5"/>
  <c r="X101" i="4"/>
  <c r="AI100" i="5"/>
  <c r="Y101" i="4"/>
  <c r="AJ100" i="5"/>
  <c r="Z101" i="4"/>
  <c r="AL100" i="5"/>
  <c r="F100" i="5"/>
  <c r="I100" i="5"/>
  <c r="L100" i="5"/>
  <c r="N100" i="5"/>
  <c r="O100" i="5"/>
  <c r="Z100" i="5"/>
  <c r="AN100" i="5"/>
  <c r="O101" i="5"/>
  <c r="B102" i="4"/>
  <c r="H102" i="4"/>
  <c r="K101" i="5"/>
  <c r="AG101" i="5"/>
  <c r="AF101" i="5"/>
  <c r="C102" i="4"/>
  <c r="C101" i="5"/>
  <c r="D102" i="4"/>
  <c r="E101" i="5"/>
  <c r="I25" i="2"/>
  <c r="I102" i="4"/>
  <c r="L101" i="5"/>
  <c r="J25" i="2"/>
  <c r="J102" i="4"/>
  <c r="N101" i="5"/>
  <c r="L102" i="4"/>
  <c r="Q101" i="5"/>
  <c r="M102" i="4"/>
  <c r="R101" i="5"/>
  <c r="T101" i="5"/>
  <c r="U101" i="5"/>
  <c r="P102" i="4"/>
  <c r="W101" i="5"/>
  <c r="Q102" i="4"/>
  <c r="X101" i="5"/>
  <c r="S102" i="4"/>
  <c r="AA101" i="5"/>
  <c r="AI102" i="4"/>
  <c r="T102" i="4" a="1"/>
  <c r="T102" i="4"/>
  <c r="AC101" i="5"/>
  <c r="U102" i="4" a="1"/>
  <c r="U102" i="4"/>
  <c r="AD101" i="5"/>
  <c r="X102" i="4"/>
  <c r="AI101" i="5"/>
  <c r="Y102" i="4"/>
  <c r="AJ101" i="5"/>
  <c r="Z102" i="4"/>
  <c r="AL101" i="5"/>
  <c r="H101" i="5"/>
  <c r="I101" i="5"/>
  <c r="F101" i="5"/>
  <c r="Z101" i="5"/>
  <c r="AN101" i="5"/>
  <c r="AG102" i="5"/>
  <c r="AF102" i="5"/>
  <c r="C26" i="2"/>
  <c r="B253" i="4"/>
  <c r="C253" i="4"/>
  <c r="C102" i="5"/>
  <c r="D26" i="2"/>
  <c r="D253" i="4"/>
  <c r="E102" i="5"/>
  <c r="E26" i="2"/>
  <c r="E253" i="4"/>
  <c r="F102" i="5"/>
  <c r="F26" i="2"/>
  <c r="F253" i="4"/>
  <c r="H102" i="5"/>
  <c r="I102" i="5"/>
  <c r="H26" i="2"/>
  <c r="H253" i="4"/>
  <c r="K102" i="5"/>
  <c r="L26" i="2"/>
  <c r="L253" i="4"/>
  <c r="Q102" i="5"/>
  <c r="M26" i="2"/>
  <c r="M253" i="4"/>
  <c r="R102" i="5"/>
  <c r="N26" i="2"/>
  <c r="N253" i="4"/>
  <c r="T102" i="5"/>
  <c r="O26" i="2"/>
  <c r="O253" i="4"/>
  <c r="U102" i="5"/>
  <c r="P26" i="2"/>
  <c r="P253" i="4"/>
  <c r="W102" i="5"/>
  <c r="Q26" i="2"/>
  <c r="Q253" i="4"/>
  <c r="X102" i="5"/>
  <c r="S26" i="2"/>
  <c r="S253" i="4"/>
  <c r="AA102" i="5"/>
  <c r="AI253" i="4"/>
  <c r="T253" i="4" a="1"/>
  <c r="T253" i="4"/>
  <c r="AC102" i="5"/>
  <c r="U253" i="4" a="1"/>
  <c r="U253" i="4"/>
  <c r="AD102" i="5"/>
  <c r="X26" i="2"/>
  <c r="X253" i="4"/>
  <c r="AI102" i="5"/>
  <c r="Y26" i="2"/>
  <c r="Y253" i="4"/>
  <c r="AJ102" i="5"/>
  <c r="Z26" i="2"/>
  <c r="Z253" i="4"/>
  <c r="AL102" i="5"/>
  <c r="L102" i="5"/>
  <c r="N102" i="5"/>
  <c r="O102" i="5"/>
  <c r="Z102" i="5"/>
  <c r="AN102" i="5"/>
  <c r="AG103" i="5"/>
  <c r="AF103" i="5"/>
  <c r="B274" i="4"/>
  <c r="C274" i="4"/>
  <c r="C103" i="5"/>
  <c r="D274" i="4"/>
  <c r="E103" i="5"/>
  <c r="E274" i="4"/>
  <c r="F103" i="5"/>
  <c r="F274" i="4"/>
  <c r="H103" i="5"/>
  <c r="I103" i="5"/>
  <c r="H274" i="4"/>
  <c r="K103" i="5"/>
  <c r="L274" i="4"/>
  <c r="Q103" i="5"/>
  <c r="M274" i="4"/>
  <c r="R103" i="5"/>
  <c r="T103" i="5"/>
  <c r="O274" i="4"/>
  <c r="U103" i="5"/>
  <c r="P274" i="4"/>
  <c r="W103" i="5"/>
  <c r="Q274" i="4"/>
  <c r="X103" i="5"/>
  <c r="S274" i="4"/>
  <c r="AA103" i="5"/>
  <c r="AI274" i="4"/>
  <c r="T274" i="4" a="1"/>
  <c r="T274" i="4"/>
  <c r="AC103" i="5"/>
  <c r="U274" i="4" a="1"/>
  <c r="U274" i="4"/>
  <c r="AD103" i="5"/>
  <c r="X274" i="4"/>
  <c r="AI103" i="5"/>
  <c r="Y274" i="4"/>
  <c r="AJ103" i="5"/>
  <c r="Z274" i="4"/>
  <c r="AL103" i="5"/>
  <c r="L103" i="5"/>
  <c r="N103" i="5"/>
  <c r="O103" i="5"/>
  <c r="Z103" i="5"/>
  <c r="AN103" i="5"/>
  <c r="AG104" i="5"/>
  <c r="AF104" i="5"/>
  <c r="C43" i="2"/>
  <c r="B254" i="4"/>
  <c r="C254" i="4"/>
  <c r="C104" i="5"/>
  <c r="D43" i="2"/>
  <c r="D254" i="4"/>
  <c r="E104" i="5"/>
  <c r="E43" i="2"/>
  <c r="E254" i="4"/>
  <c r="F104" i="5"/>
  <c r="F43" i="2"/>
  <c r="F254" i="4"/>
  <c r="H104" i="5"/>
  <c r="I104" i="5"/>
  <c r="H43" i="2"/>
  <c r="H254" i="4"/>
  <c r="K104" i="5"/>
  <c r="L43" i="2"/>
  <c r="L254" i="4"/>
  <c r="Q104" i="5"/>
  <c r="M43" i="2"/>
  <c r="M254" i="4"/>
  <c r="R104" i="5"/>
  <c r="T104" i="5"/>
  <c r="O43" i="2"/>
  <c r="O254" i="4"/>
  <c r="U104" i="5"/>
  <c r="P43" i="2"/>
  <c r="P254" i="4"/>
  <c r="W104" i="5"/>
  <c r="Q43" i="2"/>
  <c r="Q254" i="4"/>
  <c r="X104" i="5"/>
  <c r="S43" i="2"/>
  <c r="S254" i="4"/>
  <c r="AA104" i="5"/>
  <c r="AI254" i="4"/>
  <c r="T254" i="4" a="1"/>
  <c r="T254" i="4"/>
  <c r="AC104" i="5"/>
  <c r="U254" i="4" a="1"/>
  <c r="U254" i="4"/>
  <c r="AD104" i="5"/>
  <c r="X43" i="2"/>
  <c r="X254" i="4"/>
  <c r="AI104" i="5"/>
  <c r="Y43" i="2"/>
  <c r="Y254" i="4"/>
  <c r="AJ104" i="5"/>
  <c r="Z43" i="2"/>
  <c r="Z254" i="4"/>
  <c r="AL104" i="5"/>
  <c r="L104" i="5"/>
  <c r="N104" i="5"/>
  <c r="O104" i="5"/>
  <c r="Z104" i="5"/>
  <c r="AN104" i="5"/>
  <c r="AG105" i="5"/>
  <c r="AF105" i="5"/>
  <c r="B9" i="4"/>
  <c r="C9" i="4"/>
  <c r="C105" i="5"/>
  <c r="D9" i="4"/>
  <c r="E105" i="5"/>
  <c r="E39" i="2"/>
  <c r="E9" i="4"/>
  <c r="F105" i="5"/>
  <c r="F39" i="2"/>
  <c r="F9" i="4"/>
  <c r="H105" i="5"/>
  <c r="I105" i="5"/>
  <c r="K105" i="5"/>
  <c r="L9" i="4"/>
  <c r="Q105" i="5"/>
  <c r="M9" i="4"/>
  <c r="R105" i="5"/>
  <c r="T105" i="5"/>
  <c r="O9" i="4"/>
  <c r="U105" i="5"/>
  <c r="P9" i="4"/>
  <c r="W105" i="5"/>
  <c r="Q9" i="4"/>
  <c r="X105" i="5"/>
  <c r="S9" i="4"/>
  <c r="AA105" i="5"/>
  <c r="AI9" i="4"/>
  <c r="T9" i="4" a="1"/>
  <c r="T9" i="4"/>
  <c r="AC105" i="5"/>
  <c r="U9" i="4" a="1"/>
  <c r="U9" i="4"/>
  <c r="AD105" i="5"/>
  <c r="X9" i="4"/>
  <c r="AI105" i="5"/>
  <c r="Y9" i="4"/>
  <c r="AJ105" i="5"/>
  <c r="Z9" i="4"/>
  <c r="AL105" i="5"/>
  <c r="L105" i="5"/>
  <c r="N105" i="5"/>
  <c r="O105" i="5"/>
  <c r="Z105" i="5"/>
  <c r="AN105" i="5"/>
  <c r="AG106" i="5"/>
  <c r="AF106" i="5"/>
  <c r="B10" i="4"/>
  <c r="C10" i="4"/>
  <c r="C106" i="5"/>
  <c r="D10" i="4"/>
  <c r="E106" i="5"/>
  <c r="E10" i="4"/>
  <c r="F106" i="5"/>
  <c r="F10" i="4"/>
  <c r="H106" i="5"/>
  <c r="I106" i="5"/>
  <c r="H10" i="4"/>
  <c r="K106" i="5"/>
  <c r="L10" i="4"/>
  <c r="Q106" i="5"/>
  <c r="M10" i="4"/>
  <c r="R106" i="5"/>
  <c r="T106" i="5"/>
  <c r="U106" i="5"/>
  <c r="P10" i="4"/>
  <c r="W106" i="5"/>
  <c r="Q10" i="4"/>
  <c r="X106" i="5"/>
  <c r="S10" i="4"/>
  <c r="AA106" i="5"/>
  <c r="AI10" i="4"/>
  <c r="T10" i="4" a="1"/>
  <c r="T10" i="4"/>
  <c r="AC106" i="5"/>
  <c r="U10" i="4" a="1"/>
  <c r="U10" i="4"/>
  <c r="AD106" i="5"/>
  <c r="X10" i="4"/>
  <c r="AI106" i="5"/>
  <c r="Y10" i="4"/>
  <c r="AJ106" i="5"/>
  <c r="Z10" i="4"/>
  <c r="AL106" i="5"/>
  <c r="L106" i="5"/>
  <c r="N106" i="5"/>
  <c r="O106" i="5"/>
  <c r="Z106" i="5"/>
  <c r="AN106" i="5"/>
  <c r="AG107" i="5"/>
  <c r="AF107" i="5"/>
  <c r="C11" i="4"/>
  <c r="C107" i="5"/>
  <c r="D11" i="4"/>
  <c r="E107" i="5"/>
  <c r="E22" i="2"/>
  <c r="E11" i="4"/>
  <c r="F107" i="5"/>
  <c r="F22" i="2"/>
  <c r="F11" i="4"/>
  <c r="H107" i="5"/>
  <c r="I107" i="5"/>
  <c r="H22" i="2"/>
  <c r="H11" i="4"/>
  <c r="K107" i="5"/>
  <c r="L11" i="4"/>
  <c r="Q107" i="5"/>
  <c r="M11" i="4"/>
  <c r="R107" i="5"/>
  <c r="T107" i="5"/>
  <c r="U107" i="5"/>
  <c r="P11" i="4"/>
  <c r="W107" i="5"/>
  <c r="Q11" i="4"/>
  <c r="X107" i="5"/>
  <c r="S11" i="4"/>
  <c r="AA107" i="5"/>
  <c r="AI11" i="4"/>
  <c r="T11" i="4" a="1"/>
  <c r="T11" i="4"/>
  <c r="AC107" i="5"/>
  <c r="U11" i="4" a="1"/>
  <c r="U11" i="4"/>
  <c r="AD107" i="5"/>
  <c r="AI107" i="5"/>
  <c r="Y11" i="4"/>
  <c r="AJ107" i="5"/>
  <c r="Z11" i="4"/>
  <c r="AL107" i="5"/>
  <c r="L107" i="5"/>
  <c r="N107" i="5"/>
  <c r="O107" i="5"/>
  <c r="Z107" i="5"/>
  <c r="AN107" i="5"/>
  <c r="AG108" i="5"/>
  <c r="AF108" i="5"/>
  <c r="C12" i="4"/>
  <c r="C108" i="5"/>
  <c r="D12" i="4"/>
  <c r="E108" i="5"/>
  <c r="E12" i="4"/>
  <c r="F108" i="5"/>
  <c r="F12" i="4"/>
  <c r="H108" i="5"/>
  <c r="I108" i="5"/>
  <c r="H12" i="4"/>
  <c r="K108" i="5"/>
  <c r="L12" i="4"/>
  <c r="Q108" i="5"/>
  <c r="M12" i="4"/>
  <c r="R108" i="5"/>
  <c r="T108" i="5"/>
  <c r="U108" i="5"/>
  <c r="P12" i="4"/>
  <c r="W108" i="5"/>
  <c r="Q12" i="4"/>
  <c r="X108" i="5"/>
  <c r="S12" i="4"/>
  <c r="AA108" i="5"/>
  <c r="AI12" i="4"/>
  <c r="T12" i="4" a="1"/>
  <c r="T12" i="4"/>
  <c r="AC108" i="5"/>
  <c r="U12" i="4" a="1"/>
  <c r="U12" i="4"/>
  <c r="AD108" i="5"/>
  <c r="AI108" i="5"/>
  <c r="Y12" i="4"/>
  <c r="AJ108" i="5"/>
  <c r="Z12" i="4"/>
  <c r="AL108" i="5"/>
  <c r="L108" i="5"/>
  <c r="N108" i="5"/>
  <c r="O108" i="5"/>
  <c r="Z108" i="5"/>
  <c r="AN108" i="5"/>
  <c r="AG109" i="5"/>
  <c r="AF109" i="5"/>
  <c r="B103" i="4"/>
  <c r="C103" i="4"/>
  <c r="C109" i="5"/>
  <c r="D103" i="4"/>
  <c r="E109" i="5"/>
  <c r="H15" i="2"/>
  <c r="H103" i="4"/>
  <c r="K109" i="5"/>
  <c r="L103" i="4"/>
  <c r="Q109" i="5"/>
  <c r="M103" i="4"/>
  <c r="R109" i="5"/>
  <c r="T109" i="5"/>
  <c r="O103" i="4"/>
  <c r="U109" i="5"/>
  <c r="P103" i="4"/>
  <c r="W109" i="5"/>
  <c r="Q103" i="4"/>
  <c r="X109" i="5"/>
  <c r="S103" i="4"/>
  <c r="AA109" i="5"/>
  <c r="AI103" i="4"/>
  <c r="T103" i="4" a="1"/>
  <c r="T103" i="4"/>
  <c r="AC109" i="5"/>
  <c r="U103" i="4" a="1"/>
  <c r="U103" i="4"/>
  <c r="AD109" i="5"/>
  <c r="X103" i="4"/>
  <c r="AI109" i="5"/>
  <c r="Y103" i="4"/>
  <c r="AJ109" i="5"/>
  <c r="Z103" i="4"/>
  <c r="AL109" i="5"/>
  <c r="F109" i="5"/>
  <c r="H109" i="5"/>
  <c r="I109" i="5"/>
  <c r="L109" i="5"/>
  <c r="N109" i="5"/>
  <c r="O109" i="5"/>
  <c r="Z109" i="5"/>
  <c r="AN109" i="5"/>
  <c r="AG110" i="5"/>
  <c r="AF110" i="5"/>
  <c r="B275" i="4"/>
  <c r="C275" i="4"/>
  <c r="C110" i="5"/>
  <c r="D275" i="4"/>
  <c r="E110" i="5"/>
  <c r="E40" i="2"/>
  <c r="E275" i="4"/>
  <c r="F110" i="5"/>
  <c r="F40" i="2"/>
  <c r="F275" i="4"/>
  <c r="H110" i="5"/>
  <c r="I110" i="5"/>
  <c r="H275" i="4"/>
  <c r="K110" i="5"/>
  <c r="L275" i="4"/>
  <c r="Q110" i="5"/>
  <c r="M275" i="4"/>
  <c r="R110" i="5"/>
  <c r="T110" i="5"/>
  <c r="O32" i="2"/>
  <c r="O275" i="4"/>
  <c r="U110" i="5"/>
  <c r="P275" i="4"/>
  <c r="W110" i="5"/>
  <c r="Q275" i="4"/>
  <c r="X110" i="5"/>
  <c r="S275" i="4"/>
  <c r="AA110" i="5"/>
  <c r="AI275" i="4"/>
  <c r="T275" i="4" a="1"/>
  <c r="T275" i="4"/>
  <c r="AC110" i="5"/>
  <c r="U275" i="4" a="1"/>
  <c r="U275" i="4"/>
  <c r="AD110" i="5"/>
  <c r="X275" i="4"/>
  <c r="AI110" i="5"/>
  <c r="Y275" i="4"/>
  <c r="AJ110" i="5"/>
  <c r="Z275" i="4"/>
  <c r="AL110" i="5"/>
  <c r="L110" i="5"/>
  <c r="N110" i="5"/>
  <c r="O110" i="5"/>
  <c r="Z110" i="5"/>
  <c r="AN110" i="5"/>
  <c r="AG111" i="5"/>
  <c r="AF111" i="5"/>
  <c r="B104" i="4"/>
  <c r="C104" i="4"/>
  <c r="C111" i="5"/>
  <c r="D104" i="4"/>
  <c r="E111" i="5"/>
  <c r="H104" i="4"/>
  <c r="K111" i="5"/>
  <c r="L104" i="4"/>
  <c r="Q111" i="5"/>
  <c r="M104" i="4"/>
  <c r="R111" i="5"/>
  <c r="T111" i="5"/>
  <c r="O104" i="4"/>
  <c r="U111" i="5"/>
  <c r="P104" i="4"/>
  <c r="W111" i="5"/>
  <c r="Q104" i="4"/>
  <c r="X111" i="5"/>
  <c r="S104" i="4"/>
  <c r="AA111" i="5"/>
  <c r="AI104" i="4"/>
  <c r="T104" i="4" a="1"/>
  <c r="T104" i="4"/>
  <c r="AC111" i="5"/>
  <c r="U104" i="4" a="1"/>
  <c r="U104" i="4"/>
  <c r="AD111" i="5"/>
  <c r="X104" i="4"/>
  <c r="AI111" i="5"/>
  <c r="Y104" i="4"/>
  <c r="AJ111" i="5"/>
  <c r="Z104" i="4"/>
  <c r="AL111" i="5"/>
  <c r="F111" i="5"/>
  <c r="H111" i="5"/>
  <c r="I111" i="5"/>
  <c r="L111" i="5"/>
  <c r="N111" i="5"/>
  <c r="O111" i="5"/>
  <c r="Z111" i="5"/>
  <c r="AN111" i="5"/>
  <c r="AG112" i="5"/>
  <c r="AF112" i="5"/>
  <c r="B290" i="4"/>
  <c r="C290" i="4"/>
  <c r="C112" i="5"/>
  <c r="D290" i="4"/>
  <c r="E112" i="5"/>
  <c r="H290" i="4"/>
  <c r="K112" i="5"/>
  <c r="L290" i="4"/>
  <c r="Q112" i="5"/>
  <c r="M290" i="4"/>
  <c r="R112" i="5"/>
  <c r="T112" i="5"/>
  <c r="O290" i="4"/>
  <c r="U112" i="5"/>
  <c r="P290" i="4"/>
  <c r="W112" i="5"/>
  <c r="Q290" i="4"/>
  <c r="X112" i="5"/>
  <c r="S290" i="4"/>
  <c r="AA112" i="5"/>
  <c r="AI290" i="4"/>
  <c r="T290" i="4" a="1"/>
  <c r="T290" i="4"/>
  <c r="AC112" i="5"/>
  <c r="U290" i="4" a="1"/>
  <c r="U290" i="4"/>
  <c r="AD112" i="5"/>
  <c r="X290" i="4"/>
  <c r="AI112" i="5"/>
  <c r="Y290" i="4"/>
  <c r="AJ112" i="5"/>
  <c r="Z290" i="4"/>
  <c r="AL112" i="5"/>
  <c r="F112" i="5"/>
  <c r="H112" i="5"/>
  <c r="I112" i="5"/>
  <c r="L112" i="5"/>
  <c r="N112" i="5"/>
  <c r="O112" i="5"/>
  <c r="Z112" i="5"/>
  <c r="AN112" i="5"/>
  <c r="AG113" i="5"/>
  <c r="AF113" i="5"/>
  <c r="B105" i="4"/>
  <c r="C105" i="4"/>
  <c r="C113" i="5"/>
  <c r="D105" i="4"/>
  <c r="E113" i="5"/>
  <c r="H105" i="4"/>
  <c r="K113" i="5"/>
  <c r="L105" i="4"/>
  <c r="Q113" i="5"/>
  <c r="M105" i="4"/>
  <c r="R113" i="5"/>
  <c r="T113" i="5"/>
  <c r="O105" i="4"/>
  <c r="U113" i="5"/>
  <c r="P105" i="4"/>
  <c r="W113" i="5"/>
  <c r="Q105" i="4"/>
  <c r="X113" i="5"/>
  <c r="S105" i="4"/>
  <c r="AA113" i="5"/>
  <c r="AI105" i="4"/>
  <c r="T105" i="4" a="1"/>
  <c r="T105" i="4"/>
  <c r="AC113" i="5"/>
  <c r="U105" i="4" a="1"/>
  <c r="U105" i="4"/>
  <c r="AD113" i="5"/>
  <c r="X105" i="4"/>
  <c r="AI113" i="5"/>
  <c r="Y105" i="4"/>
  <c r="AJ113" i="5"/>
  <c r="Z105" i="4"/>
  <c r="AL113" i="5"/>
  <c r="F113" i="5"/>
  <c r="H113" i="5"/>
  <c r="I113" i="5"/>
  <c r="L113" i="5"/>
  <c r="N113" i="5"/>
  <c r="O113" i="5"/>
  <c r="Z113" i="5"/>
  <c r="AN113" i="5"/>
  <c r="AG114" i="5"/>
  <c r="AF114" i="5"/>
  <c r="B106" i="4"/>
  <c r="C106" i="4"/>
  <c r="C114" i="5"/>
  <c r="D106" i="4"/>
  <c r="E114" i="5"/>
  <c r="K114" i="5"/>
  <c r="L106" i="4"/>
  <c r="Q114" i="5"/>
  <c r="M106" i="4"/>
  <c r="R114" i="5"/>
  <c r="T114" i="5"/>
  <c r="O106" i="4"/>
  <c r="U114" i="5"/>
  <c r="P106" i="4"/>
  <c r="W114" i="5"/>
  <c r="Q106" i="4"/>
  <c r="X114" i="5"/>
  <c r="S106" i="4"/>
  <c r="AA114" i="5"/>
  <c r="AI106" i="4"/>
  <c r="T106" i="4" a="1"/>
  <c r="T106" i="4"/>
  <c r="AC114" i="5"/>
  <c r="U106" i="4" a="1"/>
  <c r="U106" i="4"/>
  <c r="AD114" i="5"/>
  <c r="X106" i="4"/>
  <c r="AI114" i="5"/>
  <c r="Y106" i="4"/>
  <c r="AJ114" i="5"/>
  <c r="Z106" i="4"/>
  <c r="AL114" i="5"/>
  <c r="F114" i="5"/>
  <c r="H114" i="5"/>
  <c r="I114" i="5"/>
  <c r="L114" i="5"/>
  <c r="N114" i="5"/>
  <c r="O114" i="5"/>
  <c r="Z114" i="5"/>
  <c r="AN114" i="5"/>
  <c r="AG115" i="5"/>
  <c r="AF115" i="5"/>
  <c r="B107" i="4"/>
  <c r="C107" i="4"/>
  <c r="C115" i="5"/>
  <c r="D107" i="4"/>
  <c r="E115" i="5"/>
  <c r="H24" i="2"/>
  <c r="H107" i="4"/>
  <c r="K115" i="5"/>
  <c r="L107" i="4"/>
  <c r="Q115" i="5"/>
  <c r="M107" i="4"/>
  <c r="R115" i="5"/>
  <c r="T115" i="5"/>
  <c r="U115" i="5"/>
  <c r="P107" i="4"/>
  <c r="W115" i="5"/>
  <c r="Q107" i="4"/>
  <c r="X115" i="5"/>
  <c r="AA115" i="5"/>
  <c r="AI107" i="4"/>
  <c r="T107" i="4" a="1"/>
  <c r="T107" i="4"/>
  <c r="AC115" i="5"/>
  <c r="U107" i="4" a="1"/>
  <c r="U107" i="4"/>
  <c r="AD115" i="5"/>
  <c r="X107" i="4"/>
  <c r="AI115" i="5"/>
  <c r="Y107" i="4"/>
  <c r="AJ115" i="5"/>
  <c r="Z107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255" i="4"/>
  <c r="C255" i="4"/>
  <c r="C116" i="5"/>
  <c r="D255" i="4"/>
  <c r="E116" i="5"/>
  <c r="E14" i="2"/>
  <c r="E11" i="2"/>
  <c r="E255" i="4"/>
  <c r="F116" i="5"/>
  <c r="F14" i="2"/>
  <c r="F11" i="2"/>
  <c r="F255" i="4"/>
  <c r="H116" i="5"/>
  <c r="I116" i="5"/>
  <c r="I11" i="2"/>
  <c r="I255" i="4"/>
  <c r="L116" i="5"/>
  <c r="J11" i="2"/>
  <c r="J255" i="4"/>
  <c r="N116" i="5"/>
  <c r="L255" i="4"/>
  <c r="Q116" i="5"/>
  <c r="M255" i="4"/>
  <c r="R116" i="5"/>
  <c r="T116" i="5"/>
  <c r="U116" i="5"/>
  <c r="P255" i="4"/>
  <c r="W116" i="5"/>
  <c r="AA116" i="5"/>
  <c r="AI255" i="4"/>
  <c r="T255" i="4" a="1"/>
  <c r="T255" i="4"/>
  <c r="AC116" i="5"/>
  <c r="U255" i="4" a="1"/>
  <c r="U255" i="4"/>
  <c r="AD116" i="5"/>
  <c r="Y255" i="4"/>
  <c r="AJ116" i="5"/>
  <c r="Z255" i="4"/>
  <c r="AL116" i="5"/>
  <c r="X116" i="5"/>
  <c r="Z116" i="5"/>
  <c r="AN116" i="5"/>
  <c r="AG117" i="5"/>
  <c r="AF117" i="5"/>
  <c r="B110" i="4"/>
  <c r="C110" i="4"/>
  <c r="C117" i="5"/>
  <c r="D110" i="4"/>
  <c r="E117" i="5"/>
  <c r="K117" i="5"/>
  <c r="L110" i="4"/>
  <c r="Q117" i="5"/>
  <c r="M110" i="4"/>
  <c r="R117" i="5"/>
  <c r="T117" i="5"/>
  <c r="U117" i="5"/>
  <c r="P110" i="4"/>
  <c r="W117" i="5"/>
  <c r="Q110" i="4"/>
  <c r="X117" i="5"/>
  <c r="S110" i="4"/>
  <c r="AA117" i="5"/>
  <c r="AI110" i="4"/>
  <c r="T110" i="4" a="1"/>
  <c r="T110" i="4"/>
  <c r="AC117" i="5"/>
  <c r="U110" i="4" a="1"/>
  <c r="U110" i="4"/>
  <c r="AD117" i="5"/>
  <c r="X110" i="4"/>
  <c r="AI117" i="5"/>
  <c r="F117" i="5"/>
  <c r="H117" i="5"/>
  <c r="I117" i="5"/>
  <c r="L117" i="5"/>
  <c r="N117" i="5"/>
  <c r="O117" i="5"/>
  <c r="Z117" i="5"/>
  <c r="AN117" i="5"/>
  <c r="AA118" i="5"/>
  <c r="B258" i="4"/>
  <c r="P258" i="4"/>
  <c r="W118" i="5"/>
  <c r="AG118" i="5"/>
  <c r="AF118" i="5"/>
  <c r="C258" i="4"/>
  <c r="C118" i="5"/>
  <c r="D258" i="4"/>
  <c r="E118" i="5"/>
  <c r="K118" i="5"/>
  <c r="L258" i="4"/>
  <c r="Q118" i="5"/>
  <c r="M258" i="4"/>
  <c r="R118" i="5"/>
  <c r="T118" i="5"/>
  <c r="U118" i="5"/>
  <c r="Q258" i="4"/>
  <c r="X118" i="5"/>
  <c r="R7" i="2"/>
  <c r="R20" i="2"/>
  <c r="R258" i="4"/>
  <c r="Z118" i="5"/>
  <c r="AI258" i="4"/>
  <c r="T258" i="4" a="1"/>
  <c r="T258" i="4"/>
  <c r="AC118" i="5"/>
  <c r="U258" i="4" a="1"/>
  <c r="U258" i="4"/>
  <c r="AD118" i="5"/>
  <c r="Y258" i="4"/>
  <c r="AJ118" i="5"/>
  <c r="Z258" i="4"/>
  <c r="AL118" i="5"/>
  <c r="F118" i="5"/>
  <c r="H118" i="5"/>
  <c r="I118" i="5"/>
  <c r="L118" i="5"/>
  <c r="N118" i="5"/>
  <c r="O118" i="5"/>
  <c r="AN118" i="5"/>
  <c r="AG119" i="5"/>
  <c r="AF119" i="5"/>
  <c r="B277" i="4"/>
  <c r="C277" i="4"/>
  <c r="C119" i="5"/>
  <c r="D277" i="4"/>
  <c r="E119" i="5"/>
  <c r="E277" i="4"/>
  <c r="F119" i="5"/>
  <c r="F277" i="4"/>
  <c r="H119" i="5"/>
  <c r="I119" i="5"/>
  <c r="K119" i="5"/>
  <c r="L277" i="4"/>
  <c r="Q119" i="5"/>
  <c r="M277" i="4"/>
  <c r="R119" i="5"/>
  <c r="T119" i="5"/>
  <c r="O277" i="4"/>
  <c r="U119" i="5"/>
  <c r="P277" i="4"/>
  <c r="W119" i="5"/>
  <c r="Q277" i="4"/>
  <c r="X119" i="5"/>
  <c r="AA119" i="5"/>
  <c r="AI277" i="4"/>
  <c r="T277" i="4" a="1"/>
  <c r="T277" i="4"/>
  <c r="AC119" i="5"/>
  <c r="U277" i="4" a="1"/>
  <c r="U277" i="4"/>
  <c r="AD119" i="5"/>
  <c r="X277" i="4"/>
  <c r="AI119" i="5"/>
  <c r="Y277" i="4"/>
  <c r="AJ119" i="5"/>
  <c r="Z277" i="4"/>
  <c r="AL119" i="5"/>
  <c r="L119" i="5"/>
  <c r="N119" i="5"/>
  <c r="O119" i="5"/>
  <c r="Z119" i="5"/>
  <c r="AN119" i="5"/>
  <c r="AG120" i="5"/>
  <c r="AF120" i="5"/>
  <c r="B13" i="4"/>
  <c r="C13" i="4"/>
  <c r="C120" i="5"/>
  <c r="D13" i="4"/>
  <c r="E120" i="5"/>
  <c r="H13" i="4"/>
  <c r="K120" i="5"/>
  <c r="L13" i="4"/>
  <c r="Q120" i="5"/>
  <c r="M13" i="4"/>
  <c r="R120" i="5"/>
  <c r="T120" i="5"/>
  <c r="O13" i="4"/>
  <c r="U120" i="5"/>
  <c r="W120" i="5"/>
  <c r="Q13" i="4"/>
  <c r="X120" i="5"/>
  <c r="AA120" i="5"/>
  <c r="AI13" i="4"/>
  <c r="T13" i="4" a="1"/>
  <c r="T13" i="4"/>
  <c r="AC120" i="5"/>
  <c r="U13" i="4" a="1"/>
  <c r="U13" i="4"/>
  <c r="AD120" i="5"/>
  <c r="Y13" i="4"/>
  <c r="AJ120" i="5"/>
  <c r="Z13" i="4"/>
  <c r="AL120" i="5"/>
  <c r="F120" i="5"/>
  <c r="H120" i="5"/>
  <c r="I120" i="5"/>
  <c r="L120" i="5"/>
  <c r="N120" i="5"/>
  <c r="O120" i="5"/>
  <c r="Z120" i="5"/>
  <c r="AN120" i="5"/>
  <c r="AG121" i="5"/>
  <c r="AF121" i="5"/>
  <c r="B111" i="4"/>
  <c r="C111" i="4"/>
  <c r="C121" i="5"/>
  <c r="D111" i="4"/>
  <c r="E121" i="5"/>
  <c r="H111" i="4"/>
  <c r="K121" i="5"/>
  <c r="L111" i="4"/>
  <c r="Q121" i="5"/>
  <c r="M111" i="4"/>
  <c r="R121" i="5"/>
  <c r="N111" i="4"/>
  <c r="T121" i="5"/>
  <c r="U121" i="5"/>
  <c r="W121" i="5"/>
  <c r="Q111" i="4"/>
  <c r="X121" i="5"/>
  <c r="AA121" i="5"/>
  <c r="AI111" i="4"/>
  <c r="T111" i="4" a="1"/>
  <c r="T111" i="4"/>
  <c r="AC121" i="5"/>
  <c r="U111" i="4" a="1"/>
  <c r="U111" i="4"/>
  <c r="AD121" i="5"/>
  <c r="X111" i="4"/>
  <c r="AI121" i="5"/>
  <c r="Y111" i="4"/>
  <c r="AJ121" i="5"/>
  <c r="Z111" i="4"/>
  <c r="AL121" i="5"/>
  <c r="F121" i="5"/>
  <c r="H121" i="5"/>
  <c r="I121" i="5"/>
  <c r="L121" i="5"/>
  <c r="N121" i="5"/>
  <c r="O121" i="5"/>
  <c r="Z121" i="5"/>
  <c r="AN121" i="5"/>
  <c r="AG122" i="5"/>
  <c r="AF122" i="5"/>
  <c r="B15" i="4"/>
  <c r="C15" i="4"/>
  <c r="C122" i="5"/>
  <c r="D15" i="4"/>
  <c r="E122" i="5"/>
  <c r="H15" i="4"/>
  <c r="K122" i="5"/>
  <c r="L15" i="4"/>
  <c r="Q122" i="5"/>
  <c r="R122" i="5"/>
  <c r="T122" i="5"/>
  <c r="O15" i="4"/>
  <c r="U122" i="5"/>
  <c r="P15" i="4"/>
  <c r="W122" i="5"/>
  <c r="Q15" i="4"/>
  <c r="X122" i="5"/>
  <c r="AA122" i="5"/>
  <c r="AI15" i="4"/>
  <c r="T15" i="4" a="1"/>
  <c r="T15" i="4"/>
  <c r="AC122" i="5"/>
  <c r="U15" i="4" a="1"/>
  <c r="U15" i="4"/>
  <c r="AD122" i="5"/>
  <c r="Y15" i="4"/>
  <c r="AJ122" i="5"/>
  <c r="Z15" i="4"/>
  <c r="AL122" i="5"/>
  <c r="F122" i="5"/>
  <c r="H122" i="5"/>
  <c r="I122" i="5"/>
  <c r="L122" i="5"/>
  <c r="N122" i="5"/>
  <c r="O122" i="5"/>
  <c r="Z122" i="5"/>
  <c r="AN122" i="5"/>
  <c r="O123" i="5"/>
  <c r="B112" i="4"/>
  <c r="H112" i="4"/>
  <c r="K123" i="5"/>
  <c r="AG123" i="5"/>
  <c r="AF123" i="5"/>
  <c r="C42" i="2"/>
  <c r="C112" i="4"/>
  <c r="C123" i="5"/>
  <c r="D112" i="4"/>
  <c r="E123" i="5"/>
  <c r="E112" i="4"/>
  <c r="F123" i="5"/>
  <c r="F112" i="4"/>
  <c r="H123" i="5"/>
  <c r="I123" i="5"/>
  <c r="I42" i="2"/>
  <c r="I112" i="4"/>
  <c r="L123" i="5"/>
  <c r="J42" i="2"/>
  <c r="J112" i="4"/>
  <c r="N123" i="5"/>
  <c r="L112" i="4"/>
  <c r="Q123" i="5"/>
  <c r="M112" i="4"/>
  <c r="R123" i="5"/>
  <c r="T123" i="5"/>
  <c r="O42" i="2"/>
  <c r="O112" i="4"/>
  <c r="U123" i="5"/>
  <c r="P42" i="2"/>
  <c r="P112" i="4"/>
  <c r="W123" i="5"/>
  <c r="Q42" i="2"/>
  <c r="Q112" i="4"/>
  <c r="X123" i="5"/>
  <c r="S112" i="4"/>
  <c r="AA123" i="5"/>
  <c r="AI112" i="4"/>
  <c r="T112" i="4" a="1"/>
  <c r="T112" i="4"/>
  <c r="AC123" i="5"/>
  <c r="U112" i="4" a="1"/>
  <c r="U112" i="4"/>
  <c r="AD123" i="5"/>
  <c r="X42" i="2"/>
  <c r="X112" i="4"/>
  <c r="AI123" i="5"/>
  <c r="Y42" i="2"/>
  <c r="Y112" i="4"/>
  <c r="AJ123" i="5"/>
  <c r="Z42" i="2"/>
  <c r="Z112" i="4"/>
  <c r="AL123" i="5"/>
  <c r="Z123" i="5"/>
  <c r="AN123" i="5"/>
  <c r="AG124" i="5"/>
  <c r="AF124" i="5"/>
  <c r="B113" i="4"/>
  <c r="C113" i="4"/>
  <c r="C124" i="5"/>
  <c r="D113" i="4"/>
  <c r="E124" i="5"/>
  <c r="H113" i="4"/>
  <c r="K124" i="5"/>
  <c r="L113" i="4"/>
  <c r="Q124" i="5"/>
  <c r="M113" i="4"/>
  <c r="R124" i="5"/>
  <c r="T124" i="5"/>
  <c r="O113" i="4"/>
  <c r="U124" i="5"/>
  <c r="P113" i="4"/>
  <c r="W124" i="5"/>
  <c r="Q113" i="4"/>
  <c r="X124" i="5"/>
  <c r="AA124" i="5"/>
  <c r="AI113" i="4"/>
  <c r="T113" i="4" a="1"/>
  <c r="T113" i="4"/>
  <c r="AC124" i="5"/>
  <c r="U113" i="4" a="1"/>
  <c r="U113" i="4"/>
  <c r="AD124" i="5"/>
  <c r="X113" i="4"/>
  <c r="AI124" i="5"/>
  <c r="Y113" i="4"/>
  <c r="AJ124" i="5"/>
  <c r="Z113" i="4"/>
  <c r="AL124" i="5"/>
  <c r="F124" i="5"/>
  <c r="H124" i="5"/>
  <c r="I124" i="5"/>
  <c r="L124" i="5"/>
  <c r="N124" i="5"/>
  <c r="O124" i="5"/>
  <c r="Z124" i="5"/>
  <c r="AN124" i="5"/>
  <c r="AG125" i="5"/>
  <c r="AF125" i="5"/>
  <c r="B116" i="4"/>
  <c r="C116" i="4"/>
  <c r="C125" i="5"/>
  <c r="D116" i="4"/>
  <c r="E125" i="5"/>
  <c r="H116" i="4"/>
  <c r="K125" i="5"/>
  <c r="L116" i="4"/>
  <c r="Q125" i="5"/>
  <c r="M116" i="4"/>
  <c r="R125" i="5"/>
  <c r="T125" i="5"/>
  <c r="U125" i="5"/>
  <c r="P116" i="4"/>
  <c r="W125" i="5"/>
  <c r="Q116" i="4"/>
  <c r="X125" i="5"/>
  <c r="S116" i="4"/>
  <c r="AA125" i="5"/>
  <c r="AI116" i="4"/>
  <c r="T116" i="4" a="1"/>
  <c r="T116" i="4"/>
  <c r="AC125" i="5"/>
  <c r="U116" i="4" a="1"/>
  <c r="U116" i="4"/>
  <c r="AD125" i="5"/>
  <c r="X116" i="4"/>
  <c r="AI125" i="5"/>
  <c r="Y116" i="4"/>
  <c r="AJ125" i="5"/>
  <c r="Z116" i="4"/>
  <c r="AL125" i="5"/>
  <c r="F125" i="5"/>
  <c r="H125" i="5"/>
  <c r="I125" i="5"/>
  <c r="L125" i="5"/>
  <c r="N125" i="5"/>
  <c r="O125" i="5"/>
  <c r="Z125" i="5"/>
  <c r="AN125" i="5"/>
  <c r="AG126" i="5"/>
  <c r="AF126" i="5"/>
  <c r="B117" i="4"/>
  <c r="C117" i="4"/>
  <c r="C126" i="5"/>
  <c r="D117" i="4"/>
  <c r="E126" i="5"/>
  <c r="H117" i="4"/>
  <c r="K126" i="5"/>
  <c r="L117" i="4"/>
  <c r="Q126" i="5"/>
  <c r="M117" i="4"/>
  <c r="R126" i="5"/>
  <c r="T126" i="5"/>
  <c r="O117" i="4"/>
  <c r="U126" i="5"/>
  <c r="P117" i="4"/>
  <c r="W126" i="5"/>
  <c r="Q117" i="4"/>
  <c r="X126" i="5"/>
  <c r="S117" i="4"/>
  <c r="AA126" i="5"/>
  <c r="AI117" i="4"/>
  <c r="T117" i="4" a="1"/>
  <c r="T117" i="4"/>
  <c r="AC126" i="5"/>
  <c r="U117" i="4" a="1"/>
  <c r="U117" i="4"/>
  <c r="AD126" i="5"/>
  <c r="X117" i="4"/>
  <c r="AI126" i="5"/>
  <c r="Y117" i="4"/>
  <c r="AJ126" i="5"/>
  <c r="Z117" i="4"/>
  <c r="AL126" i="5"/>
  <c r="F126" i="5"/>
  <c r="H126" i="5"/>
  <c r="I126" i="5"/>
  <c r="L126" i="5"/>
  <c r="N126" i="5"/>
  <c r="O126" i="5"/>
  <c r="Z126" i="5"/>
  <c r="AN126" i="5"/>
  <c r="AG127" i="5"/>
  <c r="AF127" i="5"/>
  <c r="B118" i="4"/>
  <c r="C118" i="4"/>
  <c r="C127" i="5"/>
  <c r="D118" i="4"/>
  <c r="E127" i="5"/>
  <c r="K127" i="5"/>
  <c r="L118" i="4"/>
  <c r="Q127" i="5"/>
  <c r="M118" i="4"/>
  <c r="R127" i="5"/>
  <c r="T127" i="5"/>
  <c r="O118" i="4"/>
  <c r="U127" i="5"/>
  <c r="P118" i="4"/>
  <c r="W127" i="5"/>
  <c r="Q118" i="4"/>
  <c r="X127" i="5"/>
  <c r="AA127" i="5"/>
  <c r="AI118" i="4"/>
  <c r="T118" i="4" a="1"/>
  <c r="T118" i="4"/>
  <c r="AC127" i="5"/>
  <c r="U118" i="4" a="1"/>
  <c r="U118" i="4"/>
  <c r="AD127" i="5"/>
  <c r="X118" i="4"/>
  <c r="AI127" i="5"/>
  <c r="Y118" i="4"/>
  <c r="AJ127" i="5"/>
  <c r="Z118" i="4"/>
  <c r="AL127" i="5"/>
  <c r="F127" i="5"/>
  <c r="H127" i="5"/>
  <c r="I127" i="5"/>
  <c r="L127" i="5"/>
  <c r="N127" i="5"/>
  <c r="O127" i="5"/>
  <c r="Z127" i="5"/>
  <c r="AN127" i="5"/>
  <c r="AG128" i="5"/>
  <c r="AF128" i="5"/>
  <c r="B16" i="4"/>
  <c r="C16" i="4"/>
  <c r="C128" i="5"/>
  <c r="D16" i="4"/>
  <c r="E128" i="5"/>
  <c r="E16" i="4"/>
  <c r="F128" i="5"/>
  <c r="F16" i="4"/>
  <c r="H128" i="5"/>
  <c r="I128" i="5"/>
  <c r="H16" i="4"/>
  <c r="K128" i="5"/>
  <c r="L16" i="4"/>
  <c r="Q128" i="5"/>
  <c r="M16" i="4"/>
  <c r="R128" i="5"/>
  <c r="T128" i="5"/>
  <c r="U128" i="5"/>
  <c r="P16" i="4"/>
  <c r="W128" i="5"/>
  <c r="Q16" i="4"/>
  <c r="X128" i="5"/>
  <c r="S16" i="4"/>
  <c r="AA128" i="5"/>
  <c r="AI16" i="4"/>
  <c r="T16" i="4" a="1"/>
  <c r="T16" i="4"/>
  <c r="AC128" i="5"/>
  <c r="U16" i="4" a="1"/>
  <c r="U16" i="4"/>
  <c r="AD128" i="5"/>
  <c r="X16" i="4"/>
  <c r="AI128" i="5"/>
  <c r="Y16" i="4"/>
  <c r="AJ128" i="5"/>
  <c r="Z16" i="4"/>
  <c r="AL128" i="5"/>
  <c r="L128" i="5"/>
  <c r="N128" i="5"/>
  <c r="O128" i="5"/>
  <c r="Z128" i="5"/>
  <c r="AN128" i="5"/>
  <c r="B119" i="4"/>
  <c r="S119" i="4"/>
  <c r="AA129" i="5"/>
  <c r="P119" i="4"/>
  <c r="W129" i="5"/>
  <c r="AG129" i="5"/>
  <c r="AF129" i="5"/>
  <c r="C119" i="4"/>
  <c r="C129" i="5"/>
  <c r="D119" i="4"/>
  <c r="E129" i="5"/>
  <c r="E119" i="4"/>
  <c r="F129" i="5"/>
  <c r="F119" i="4"/>
  <c r="H129" i="5"/>
  <c r="I129" i="5"/>
  <c r="K129" i="5"/>
  <c r="L119" i="4"/>
  <c r="Q129" i="5"/>
  <c r="U129" i="5"/>
  <c r="Q119" i="4"/>
  <c r="X129" i="5"/>
  <c r="R119" i="4"/>
  <c r="Z129" i="5"/>
  <c r="AI119" i="4"/>
  <c r="T119" i="4" a="1"/>
  <c r="T119" i="4"/>
  <c r="AC129" i="5"/>
  <c r="U119" i="4" a="1"/>
  <c r="U119" i="4"/>
  <c r="AD129" i="5"/>
  <c r="X119" i="4"/>
  <c r="AI129" i="5"/>
  <c r="Y119" i="4"/>
  <c r="AJ129" i="5"/>
  <c r="Z119" i="4"/>
  <c r="AL129" i="5"/>
  <c r="R129" i="5"/>
  <c r="T129" i="5"/>
  <c r="L129" i="5"/>
  <c r="N129" i="5"/>
  <c r="O129" i="5"/>
  <c r="AN129" i="5"/>
  <c r="AG130" i="5"/>
  <c r="AF130" i="5"/>
  <c r="C120" i="4"/>
  <c r="C130" i="5"/>
  <c r="D120" i="4"/>
  <c r="E130" i="5"/>
  <c r="E120" i="4"/>
  <c r="F130" i="5"/>
  <c r="F120" i="4"/>
  <c r="H130" i="5"/>
  <c r="I130" i="5"/>
  <c r="H120" i="4"/>
  <c r="K130" i="5"/>
  <c r="L120" i="4"/>
  <c r="Q130" i="5"/>
  <c r="M120" i="4"/>
  <c r="R130" i="5"/>
  <c r="T130" i="5"/>
  <c r="U130" i="5"/>
  <c r="P120" i="4"/>
  <c r="W130" i="5"/>
  <c r="Q120" i="4"/>
  <c r="X130" i="5"/>
  <c r="S120" i="4"/>
  <c r="AA130" i="5"/>
  <c r="AI120" i="4"/>
  <c r="T120" i="4" a="1"/>
  <c r="T120" i="4"/>
  <c r="AC130" i="5"/>
  <c r="U120" i="4" a="1"/>
  <c r="U120" i="4"/>
  <c r="AD130" i="5"/>
  <c r="X120" i="4"/>
  <c r="AI130" i="5"/>
  <c r="Y120" i="4"/>
  <c r="AJ130" i="5"/>
  <c r="Z120" i="4"/>
  <c r="AL130" i="5"/>
  <c r="Z130" i="5"/>
  <c r="L130" i="5"/>
  <c r="N130" i="5"/>
  <c r="O130" i="5"/>
  <c r="AN130" i="5"/>
  <c r="AG131" i="5"/>
  <c r="AF131" i="5"/>
  <c r="B121" i="4"/>
  <c r="C121" i="4"/>
  <c r="C131" i="5"/>
  <c r="D121" i="4"/>
  <c r="E131" i="5"/>
  <c r="E121" i="4"/>
  <c r="F131" i="5"/>
  <c r="F121" i="4"/>
  <c r="H131" i="5"/>
  <c r="I131" i="5"/>
  <c r="H121" i="4"/>
  <c r="K131" i="5"/>
  <c r="L121" i="4"/>
  <c r="Q131" i="5"/>
  <c r="M121" i="4"/>
  <c r="R131" i="5"/>
  <c r="T131" i="5"/>
  <c r="O20" i="2"/>
  <c r="O121" i="4"/>
  <c r="U131" i="5"/>
  <c r="P121" i="4"/>
  <c r="W131" i="5"/>
  <c r="Q121" i="4"/>
  <c r="X131" i="5"/>
  <c r="S121" i="4"/>
  <c r="AA131" i="5"/>
  <c r="AI121" i="4"/>
  <c r="T121" i="4" a="1"/>
  <c r="T121" i="4"/>
  <c r="AC131" i="5"/>
  <c r="U121" i="4" a="1"/>
  <c r="U121" i="4"/>
  <c r="AD131" i="5"/>
  <c r="X121" i="4"/>
  <c r="AI131" i="5"/>
  <c r="Y121" i="4"/>
  <c r="AJ131" i="5"/>
  <c r="Z121" i="4"/>
  <c r="AL131" i="5"/>
  <c r="Z131" i="5"/>
  <c r="L131" i="5"/>
  <c r="N131" i="5"/>
  <c r="O131" i="5"/>
  <c r="AN131" i="5"/>
  <c r="AG132" i="5"/>
  <c r="AF132" i="5"/>
  <c r="B122" i="4"/>
  <c r="C122" i="4"/>
  <c r="C132" i="5"/>
  <c r="D122" i="4"/>
  <c r="E132" i="5"/>
  <c r="E122" i="4"/>
  <c r="F132" i="5"/>
  <c r="F122" i="4"/>
  <c r="H132" i="5"/>
  <c r="I132" i="5"/>
  <c r="K132" i="5"/>
  <c r="L122" i="4"/>
  <c r="Q132" i="5"/>
  <c r="M122" i="4"/>
  <c r="R132" i="5"/>
  <c r="T132" i="5"/>
  <c r="U132" i="5"/>
  <c r="P122" i="4"/>
  <c r="W132" i="5"/>
  <c r="Q122" i="4"/>
  <c r="X132" i="5"/>
  <c r="S122" i="4"/>
  <c r="AA132" i="5"/>
  <c r="AI122" i="4"/>
  <c r="T122" i="4" a="1"/>
  <c r="T122" i="4"/>
  <c r="AC132" i="5"/>
  <c r="U122" i="4" a="1"/>
  <c r="U122" i="4"/>
  <c r="AD132" i="5"/>
  <c r="X122" i="4"/>
  <c r="AI132" i="5"/>
  <c r="Y122" i="4"/>
  <c r="AJ132" i="5"/>
  <c r="Z122" i="4"/>
  <c r="AL132" i="5"/>
  <c r="Z132" i="5"/>
  <c r="L132" i="5"/>
  <c r="N132" i="5"/>
  <c r="O132" i="5"/>
  <c r="AN132" i="5"/>
  <c r="AA133" i="5"/>
  <c r="B124" i="4"/>
  <c r="P124" i="4"/>
  <c r="W133" i="5"/>
  <c r="O133" i="5"/>
  <c r="K133" i="5"/>
  <c r="AG133" i="5"/>
  <c r="AF133" i="5"/>
  <c r="C124" i="4"/>
  <c r="C133" i="5"/>
  <c r="D124" i="4"/>
  <c r="E133" i="5"/>
  <c r="I32" i="2"/>
  <c r="I44" i="2"/>
  <c r="I124" i="4"/>
  <c r="L133" i="5"/>
  <c r="J32" i="2"/>
  <c r="J44" i="2"/>
  <c r="J124" i="4"/>
  <c r="N133" i="5"/>
  <c r="L124" i="4"/>
  <c r="Q133" i="5"/>
  <c r="M124" i="4"/>
  <c r="R133" i="5"/>
  <c r="T133" i="5"/>
  <c r="U133" i="5"/>
  <c r="Q124" i="4"/>
  <c r="X133" i="5"/>
  <c r="R32" i="2"/>
  <c r="R44" i="2"/>
  <c r="R124" i="4"/>
  <c r="Z133" i="5"/>
  <c r="AI124" i="4"/>
  <c r="T124" i="4" a="1"/>
  <c r="T124" i="4"/>
  <c r="AC133" i="5"/>
  <c r="U124" i="4" a="1"/>
  <c r="U124" i="4"/>
  <c r="AD133" i="5"/>
  <c r="X124" i="4"/>
  <c r="AI133" i="5"/>
  <c r="Y124" i="4"/>
  <c r="AJ133" i="5"/>
  <c r="Z124" i="4"/>
  <c r="AL133" i="5"/>
  <c r="F133" i="5"/>
  <c r="H133" i="5"/>
  <c r="I133" i="5"/>
  <c r="AN133" i="5"/>
  <c r="O134" i="5"/>
  <c r="K134" i="5"/>
  <c r="AG134" i="5"/>
  <c r="AF134" i="5"/>
  <c r="B261" i="4"/>
  <c r="C261" i="4"/>
  <c r="C134" i="5"/>
  <c r="D261" i="4"/>
  <c r="E134" i="5"/>
  <c r="I261" i="4"/>
  <c r="L134" i="5"/>
  <c r="J261" i="4"/>
  <c r="N134" i="5"/>
  <c r="L261" i="4"/>
  <c r="Q134" i="5"/>
  <c r="M261" i="4"/>
  <c r="R134" i="5"/>
  <c r="T134" i="5"/>
  <c r="U134" i="5"/>
  <c r="P261" i="4"/>
  <c r="W134" i="5"/>
  <c r="Q261" i="4"/>
  <c r="X134" i="5"/>
  <c r="AA134" i="5"/>
  <c r="AI261" i="4"/>
  <c r="T261" i="4" a="1"/>
  <c r="T261" i="4"/>
  <c r="AC134" i="5"/>
  <c r="U261" i="4" a="1"/>
  <c r="U261" i="4"/>
  <c r="AD134" i="5"/>
  <c r="X261" i="4"/>
  <c r="AI134" i="5"/>
  <c r="Y261" i="4"/>
  <c r="AJ134" i="5"/>
  <c r="Z261" i="4"/>
  <c r="AL134" i="5"/>
  <c r="Z134" i="5"/>
  <c r="F134" i="5"/>
  <c r="H134" i="5"/>
  <c r="I134" i="5"/>
  <c r="AN134" i="5"/>
  <c r="AG135" i="5"/>
  <c r="AF135" i="5"/>
  <c r="B125" i="4"/>
  <c r="C125" i="4"/>
  <c r="C135" i="5"/>
  <c r="D125" i="4"/>
  <c r="E135" i="5"/>
  <c r="H125" i="4"/>
  <c r="K135" i="5"/>
  <c r="L125" i="4"/>
  <c r="Q135" i="5"/>
  <c r="M125" i="4"/>
  <c r="R135" i="5"/>
  <c r="T135" i="5"/>
  <c r="O125" i="4"/>
  <c r="U135" i="5"/>
  <c r="P125" i="4"/>
  <c r="W135" i="5"/>
  <c r="Q125" i="4"/>
  <c r="X135" i="5"/>
  <c r="S125" i="4"/>
  <c r="AA135" i="5"/>
  <c r="AI125" i="4"/>
  <c r="T125" i="4" a="1"/>
  <c r="T125" i="4"/>
  <c r="AC135" i="5"/>
  <c r="U125" i="4" a="1"/>
  <c r="U125" i="4"/>
  <c r="AD135" i="5"/>
  <c r="X125" i="4"/>
  <c r="AI135" i="5"/>
  <c r="Y125" i="4"/>
  <c r="AJ135" i="5"/>
  <c r="Z125" i="4"/>
  <c r="AL135" i="5"/>
  <c r="L135" i="5"/>
  <c r="N135" i="5"/>
  <c r="O135" i="5"/>
  <c r="Z135" i="5"/>
  <c r="F135" i="5"/>
  <c r="H135" i="5"/>
  <c r="I135" i="5"/>
  <c r="AN135" i="5"/>
  <c r="O136" i="5"/>
  <c r="B263" i="4"/>
  <c r="H263" i="4"/>
  <c r="K136" i="5"/>
  <c r="AG136" i="5"/>
  <c r="AF136" i="5"/>
  <c r="C263" i="4"/>
  <c r="C136" i="5"/>
  <c r="D263" i="4"/>
  <c r="E136" i="5"/>
  <c r="I39" i="2"/>
  <c r="I263" i="4"/>
  <c r="L136" i="5"/>
  <c r="J39" i="2"/>
  <c r="J263" i="4"/>
  <c r="N136" i="5"/>
  <c r="L263" i="4"/>
  <c r="Q136" i="5"/>
  <c r="M263" i="4"/>
  <c r="R136" i="5"/>
  <c r="T136" i="5"/>
  <c r="U136" i="5"/>
  <c r="P263" i="4"/>
  <c r="W136" i="5"/>
  <c r="Q263" i="4"/>
  <c r="X136" i="5"/>
  <c r="AA136" i="5"/>
  <c r="AI263" i="4"/>
  <c r="T263" i="4" a="1"/>
  <c r="T263" i="4"/>
  <c r="AC136" i="5"/>
  <c r="U263" i="4" a="1"/>
  <c r="U263" i="4"/>
  <c r="AD136" i="5"/>
  <c r="X263" i="4"/>
  <c r="AI136" i="5"/>
  <c r="Y263" i="4"/>
  <c r="AJ136" i="5"/>
  <c r="Z263" i="4"/>
  <c r="AL136" i="5"/>
  <c r="Z136" i="5"/>
  <c r="F136" i="5"/>
  <c r="H136" i="5"/>
  <c r="I136" i="5"/>
  <c r="AN136" i="5"/>
  <c r="B127" i="4"/>
  <c r="S127" i="4"/>
  <c r="AA137" i="5"/>
  <c r="P127" i="4"/>
  <c r="W137" i="5"/>
  <c r="AG137" i="5"/>
  <c r="AF137" i="5"/>
  <c r="C127" i="4"/>
  <c r="C137" i="5"/>
  <c r="D127" i="4"/>
  <c r="E137" i="5"/>
  <c r="K137" i="5"/>
  <c r="L127" i="4"/>
  <c r="Q137" i="5"/>
  <c r="U137" i="5"/>
  <c r="Q127" i="4"/>
  <c r="X137" i="5"/>
  <c r="R127" i="4"/>
  <c r="Z137" i="5"/>
  <c r="AI127" i="4"/>
  <c r="T127" i="4" a="1"/>
  <c r="T127" i="4"/>
  <c r="AC137" i="5"/>
  <c r="U127" i="4" a="1"/>
  <c r="U127" i="4"/>
  <c r="AD137" i="5"/>
  <c r="X127" i="4"/>
  <c r="AI137" i="5"/>
  <c r="Y127" i="4"/>
  <c r="AJ137" i="5"/>
  <c r="Z127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128" i="4"/>
  <c r="C31" i="2"/>
  <c r="C128" i="4"/>
  <c r="C138" i="5"/>
  <c r="D35" i="2"/>
  <c r="D31" i="2"/>
  <c r="D128" i="4"/>
  <c r="E138" i="5"/>
  <c r="H35" i="2"/>
  <c r="H31" i="2"/>
  <c r="H128" i="4"/>
  <c r="K138" i="5"/>
  <c r="L35" i="2"/>
  <c r="L31" i="2"/>
  <c r="L128" i="4"/>
  <c r="Q138" i="5"/>
  <c r="M35" i="2"/>
  <c r="M31" i="2"/>
  <c r="M128" i="4"/>
  <c r="R138" i="5"/>
  <c r="T138" i="5"/>
  <c r="O35" i="2"/>
  <c r="O31" i="2"/>
  <c r="O128" i="4"/>
  <c r="U138" i="5"/>
  <c r="P35" i="2"/>
  <c r="P31" i="2"/>
  <c r="P128" i="4"/>
  <c r="W138" i="5"/>
  <c r="Q35" i="2"/>
  <c r="Q31" i="2"/>
  <c r="Q128" i="4"/>
  <c r="X138" i="5"/>
  <c r="S35" i="2"/>
  <c r="S31" i="2"/>
  <c r="S128" i="4"/>
  <c r="AA138" i="5"/>
  <c r="AI128" i="4"/>
  <c r="T128" i="4" a="1"/>
  <c r="T128" i="4"/>
  <c r="AC138" i="5"/>
  <c r="U128" i="4" a="1"/>
  <c r="U128" i="4"/>
  <c r="AD138" i="5"/>
  <c r="X35" i="2"/>
  <c r="X31" i="2"/>
  <c r="X128" i="4"/>
  <c r="AI138" i="5"/>
  <c r="Y35" i="2"/>
  <c r="Y31" i="2"/>
  <c r="Y128" i="4"/>
  <c r="AJ138" i="5"/>
  <c r="Z35" i="2"/>
  <c r="Z31" i="2"/>
  <c r="Z128" i="4"/>
  <c r="AL138" i="5"/>
  <c r="L138" i="5"/>
  <c r="N138" i="5"/>
  <c r="O138" i="5"/>
  <c r="F138" i="5"/>
  <c r="H138" i="5"/>
  <c r="I138" i="5"/>
  <c r="Z138" i="5"/>
  <c r="AN138" i="5"/>
  <c r="AG139" i="5"/>
  <c r="AF139" i="5"/>
  <c r="B17" i="4"/>
  <c r="C17" i="4"/>
  <c r="C139" i="5"/>
  <c r="D17" i="4"/>
  <c r="E139" i="5"/>
  <c r="E35" i="2"/>
  <c r="E17" i="4"/>
  <c r="F139" i="5"/>
  <c r="F35" i="2"/>
  <c r="F17" i="4"/>
  <c r="H139" i="5"/>
  <c r="I139" i="5"/>
  <c r="K139" i="5"/>
  <c r="L17" i="4"/>
  <c r="Q139" i="5"/>
  <c r="M17" i="4"/>
  <c r="R139" i="5"/>
  <c r="T139" i="5"/>
  <c r="U139" i="5"/>
  <c r="P17" i="4"/>
  <c r="W139" i="5"/>
  <c r="Q17" i="4"/>
  <c r="X139" i="5"/>
  <c r="S17" i="4"/>
  <c r="AA139" i="5"/>
  <c r="AI17" i="4"/>
  <c r="T17" i="4" a="1"/>
  <c r="T17" i="4"/>
  <c r="AC139" i="5"/>
  <c r="U17" i="4" a="1"/>
  <c r="U17" i="4"/>
  <c r="AD139" i="5"/>
  <c r="X17" i="4"/>
  <c r="AI139" i="5"/>
  <c r="Y17" i="4"/>
  <c r="AJ139" i="5"/>
  <c r="Z17" i="4"/>
  <c r="AL139" i="5"/>
  <c r="L139" i="5"/>
  <c r="N139" i="5"/>
  <c r="O139" i="5"/>
  <c r="Z139" i="5"/>
  <c r="AN139" i="5"/>
  <c r="AG140" i="5"/>
  <c r="AF140" i="5"/>
  <c r="B18" i="4"/>
  <c r="C18" i="4"/>
  <c r="C140" i="5"/>
  <c r="D18" i="4"/>
  <c r="E140" i="5"/>
  <c r="E18" i="4"/>
  <c r="F140" i="5"/>
  <c r="F18" i="4"/>
  <c r="H140" i="5"/>
  <c r="I140" i="5"/>
  <c r="H18" i="4"/>
  <c r="K140" i="5"/>
  <c r="L18" i="4"/>
  <c r="Q140" i="5"/>
  <c r="M18" i="4"/>
  <c r="R140" i="5"/>
  <c r="T140" i="5"/>
  <c r="U140" i="5"/>
  <c r="P18" i="4"/>
  <c r="W140" i="5"/>
  <c r="Q18" i="4"/>
  <c r="X140" i="5"/>
  <c r="S18" i="4"/>
  <c r="AA140" i="5"/>
  <c r="AI18" i="4"/>
  <c r="T18" i="4" a="1"/>
  <c r="T18" i="4"/>
  <c r="AC140" i="5"/>
  <c r="U18" i="4" a="1"/>
  <c r="U18" i="4"/>
  <c r="AD140" i="5"/>
  <c r="X18" i="4"/>
  <c r="AI140" i="5"/>
  <c r="Y18" i="4"/>
  <c r="AJ140" i="5"/>
  <c r="Z18" i="4"/>
  <c r="AL140" i="5"/>
  <c r="L140" i="5"/>
  <c r="N140" i="5"/>
  <c r="O140" i="5"/>
  <c r="Z140" i="5"/>
  <c r="AN140" i="5"/>
  <c r="AG141" i="5"/>
  <c r="AF141" i="5"/>
  <c r="C129" i="4"/>
  <c r="C141" i="5"/>
  <c r="D129" i="4"/>
  <c r="E141" i="5"/>
  <c r="E129" i="4"/>
  <c r="F141" i="5"/>
  <c r="F129" i="4"/>
  <c r="H141" i="5"/>
  <c r="I141" i="5"/>
  <c r="H129" i="4"/>
  <c r="K141" i="5"/>
  <c r="L129" i="4"/>
  <c r="Q141" i="5"/>
  <c r="M129" i="4"/>
  <c r="R141" i="5"/>
  <c r="T141" i="5"/>
  <c r="O129" i="4"/>
  <c r="U141" i="5"/>
  <c r="P129" i="4"/>
  <c r="W141" i="5"/>
  <c r="Q129" i="4"/>
  <c r="X141" i="5"/>
  <c r="S129" i="4"/>
  <c r="AA141" i="5"/>
  <c r="AI129" i="4"/>
  <c r="T129" i="4" a="1"/>
  <c r="T129" i="4"/>
  <c r="AC141" i="5"/>
  <c r="U129" i="4" a="1"/>
  <c r="U129" i="4"/>
  <c r="AD141" i="5"/>
  <c r="X129" i="4"/>
  <c r="AI141" i="5"/>
  <c r="Y129" i="4"/>
  <c r="AJ141" i="5"/>
  <c r="Z129" i="4"/>
  <c r="AL141" i="5"/>
  <c r="L141" i="5"/>
  <c r="N141" i="5"/>
  <c r="O141" i="5"/>
  <c r="Z141" i="5"/>
  <c r="AN141" i="5"/>
  <c r="O142" i="5"/>
  <c r="K142" i="5"/>
  <c r="AG142" i="5"/>
  <c r="AF142" i="5"/>
  <c r="B130" i="4"/>
  <c r="C130" i="4"/>
  <c r="C142" i="5"/>
  <c r="D130" i="4"/>
  <c r="E142" i="5"/>
  <c r="I130" i="4"/>
  <c r="L142" i="5"/>
  <c r="J130" i="4"/>
  <c r="N142" i="5"/>
  <c r="L130" i="4"/>
  <c r="Q142" i="5"/>
  <c r="M130" i="4"/>
  <c r="R142" i="5"/>
  <c r="T142" i="5"/>
  <c r="U142" i="5"/>
  <c r="P130" i="4"/>
  <c r="W142" i="5"/>
  <c r="Q130" i="4"/>
  <c r="X142" i="5"/>
  <c r="AA142" i="5"/>
  <c r="AI130" i="4"/>
  <c r="T130" i="4" a="1"/>
  <c r="T130" i="4"/>
  <c r="AC142" i="5"/>
  <c r="U130" i="4" a="1"/>
  <c r="U130" i="4"/>
  <c r="AD142" i="5"/>
  <c r="X130" i="4"/>
  <c r="AI142" i="5"/>
  <c r="Y130" i="4"/>
  <c r="AJ142" i="5"/>
  <c r="Z130" i="4"/>
  <c r="AL142" i="5"/>
  <c r="F142" i="5"/>
  <c r="H142" i="5"/>
  <c r="I142" i="5"/>
  <c r="Z142" i="5"/>
  <c r="AN142" i="5"/>
  <c r="AG143" i="5"/>
  <c r="AF143" i="5"/>
  <c r="B131" i="4"/>
  <c r="C131" i="4"/>
  <c r="C143" i="5"/>
  <c r="D131" i="4"/>
  <c r="E143" i="5"/>
  <c r="H131" i="4"/>
  <c r="K143" i="5"/>
  <c r="L131" i="4"/>
  <c r="Q143" i="5"/>
  <c r="M131" i="4"/>
  <c r="R143" i="5"/>
  <c r="T143" i="5"/>
  <c r="U143" i="5"/>
  <c r="P131" i="4"/>
  <c r="W143" i="5"/>
  <c r="Q131" i="4"/>
  <c r="X143" i="5"/>
  <c r="S131" i="4"/>
  <c r="AA143" i="5"/>
  <c r="AI131" i="4"/>
  <c r="T131" i="4" a="1"/>
  <c r="T131" i="4"/>
  <c r="AC143" i="5"/>
  <c r="U131" i="4" a="1"/>
  <c r="U131" i="4"/>
  <c r="AD143" i="5"/>
  <c r="X131" i="4"/>
  <c r="AI143" i="5"/>
  <c r="Y131" i="4"/>
  <c r="AJ143" i="5"/>
  <c r="Z131" i="4"/>
  <c r="AL143" i="5"/>
  <c r="F143" i="5"/>
  <c r="H143" i="5"/>
  <c r="I143" i="5"/>
  <c r="L143" i="5"/>
  <c r="N143" i="5"/>
  <c r="O143" i="5"/>
  <c r="Z143" i="5"/>
  <c r="AN143" i="5"/>
  <c r="O144" i="5"/>
  <c r="H284" i="4"/>
  <c r="K144" i="5"/>
  <c r="AG144" i="5"/>
  <c r="AF144" i="5"/>
  <c r="C284" i="4"/>
  <c r="C144" i="5"/>
  <c r="D284" i="4"/>
  <c r="E144" i="5"/>
  <c r="E284" i="4"/>
  <c r="F144" i="5"/>
  <c r="F284" i="4"/>
  <c r="H144" i="5"/>
  <c r="I144" i="5"/>
  <c r="I30" i="2"/>
  <c r="I284" i="4"/>
  <c r="L144" i="5"/>
  <c r="J30" i="2"/>
  <c r="J284" i="4"/>
  <c r="N144" i="5"/>
  <c r="L284" i="4"/>
  <c r="Q144" i="5"/>
  <c r="M284" i="4"/>
  <c r="R144" i="5"/>
  <c r="T144" i="5"/>
  <c r="O284" i="4"/>
  <c r="U144" i="5"/>
  <c r="P284" i="4"/>
  <c r="W144" i="5"/>
  <c r="Q284" i="4"/>
  <c r="X144" i="5"/>
  <c r="AA144" i="5"/>
  <c r="AI284" i="4"/>
  <c r="T284" i="4" a="1"/>
  <c r="T284" i="4"/>
  <c r="AC144" i="5"/>
  <c r="U284" i="4" a="1"/>
  <c r="U284" i="4"/>
  <c r="AD144" i="5"/>
  <c r="X284" i="4"/>
  <c r="AI144" i="5"/>
  <c r="Y284" i="4"/>
  <c r="AJ144" i="5"/>
  <c r="Z284" i="4"/>
  <c r="AL144" i="5"/>
  <c r="Z144" i="5"/>
  <c r="AN144" i="5"/>
  <c r="AG145" i="5"/>
  <c r="AF145" i="5"/>
  <c r="B132" i="4"/>
  <c r="C132" i="4"/>
  <c r="C145" i="5"/>
  <c r="D132" i="4"/>
  <c r="E145" i="5"/>
  <c r="E132" i="4"/>
  <c r="F145" i="5"/>
  <c r="F132" i="4"/>
  <c r="H145" i="5"/>
  <c r="I145" i="5"/>
  <c r="H132" i="4"/>
  <c r="K145" i="5"/>
  <c r="L132" i="4"/>
  <c r="Q145" i="5"/>
  <c r="M132" i="4"/>
  <c r="R145" i="5"/>
  <c r="T145" i="5"/>
  <c r="O132" i="4"/>
  <c r="U145" i="5"/>
  <c r="P132" i="4"/>
  <c r="W145" i="5"/>
  <c r="Q132" i="4"/>
  <c r="X145" i="5"/>
  <c r="S132" i="4"/>
  <c r="AA145" i="5"/>
  <c r="AI132" i="4"/>
  <c r="T132" i="4" a="1"/>
  <c r="T132" i="4"/>
  <c r="AC145" i="5"/>
  <c r="U132" i="4" a="1"/>
  <c r="U132" i="4"/>
  <c r="AD145" i="5"/>
  <c r="X132" i="4"/>
  <c r="AI145" i="5"/>
  <c r="Y132" i="4"/>
  <c r="AJ145" i="5"/>
  <c r="Z132" i="4"/>
  <c r="AL145" i="5"/>
  <c r="L145" i="5"/>
  <c r="N145" i="5"/>
  <c r="O145" i="5"/>
  <c r="Z145" i="5"/>
  <c r="AN145" i="5"/>
  <c r="AG146" i="5"/>
  <c r="AF146" i="5"/>
  <c r="B264" i="4"/>
  <c r="C264" i="4"/>
  <c r="C146" i="5"/>
  <c r="D264" i="4"/>
  <c r="E146" i="5"/>
  <c r="E264" i="4"/>
  <c r="F146" i="5"/>
  <c r="F264" i="4"/>
  <c r="H146" i="5"/>
  <c r="I146" i="5"/>
  <c r="H264" i="4"/>
  <c r="K146" i="5"/>
  <c r="L264" i="4"/>
  <c r="Q146" i="5"/>
  <c r="M264" i="4"/>
  <c r="R146" i="5"/>
  <c r="T146" i="5"/>
  <c r="O264" i="4"/>
  <c r="U146" i="5"/>
  <c r="P264" i="4"/>
  <c r="W146" i="5"/>
  <c r="Q264" i="4"/>
  <c r="X146" i="5"/>
  <c r="S264" i="4"/>
  <c r="AA146" i="5"/>
  <c r="AI264" i="4"/>
  <c r="T264" i="4" a="1"/>
  <c r="T264" i="4"/>
  <c r="AC146" i="5"/>
  <c r="U264" i="4" a="1"/>
  <c r="U264" i="4"/>
  <c r="AD146" i="5"/>
  <c r="X264" i="4"/>
  <c r="AI146" i="5"/>
  <c r="Y264" i="4"/>
  <c r="AJ146" i="5"/>
  <c r="Z264" i="4"/>
  <c r="AL146" i="5"/>
  <c r="L146" i="5"/>
  <c r="N146" i="5"/>
  <c r="O146" i="5"/>
  <c r="Z146" i="5"/>
  <c r="AN146" i="5"/>
  <c r="O147" i="5"/>
  <c r="K147" i="5"/>
  <c r="AG147" i="5"/>
  <c r="AF147" i="5"/>
  <c r="B265" i="4"/>
  <c r="C265" i="4"/>
  <c r="C147" i="5"/>
  <c r="D265" i="4"/>
  <c r="E147" i="5"/>
  <c r="I265" i="4"/>
  <c r="L147" i="5"/>
  <c r="J265" i="4"/>
  <c r="N147" i="5"/>
  <c r="L265" i="4"/>
  <c r="Q147" i="5"/>
  <c r="M265" i="4"/>
  <c r="R147" i="5"/>
  <c r="T147" i="5"/>
  <c r="U147" i="5"/>
  <c r="P265" i="4"/>
  <c r="W147" i="5"/>
  <c r="Q265" i="4"/>
  <c r="X147" i="5"/>
  <c r="AA147" i="5"/>
  <c r="AI265" i="4"/>
  <c r="T265" i="4" a="1"/>
  <c r="T265" i="4"/>
  <c r="AC147" i="5"/>
  <c r="U265" i="4" a="1"/>
  <c r="U265" i="4"/>
  <c r="AD147" i="5"/>
  <c r="X265" i="4"/>
  <c r="AI147" i="5"/>
  <c r="Y265" i="4"/>
  <c r="AJ147" i="5"/>
  <c r="Z265" i="4"/>
  <c r="AL147" i="5"/>
  <c r="F147" i="5"/>
  <c r="H147" i="5"/>
  <c r="I147" i="5"/>
  <c r="Z147" i="5"/>
  <c r="AN147" i="5"/>
  <c r="O148" i="5"/>
  <c r="K148" i="5"/>
  <c r="AG148" i="5"/>
  <c r="AF148" i="5"/>
  <c r="B288" i="4"/>
  <c r="C288" i="4"/>
  <c r="C148" i="5"/>
  <c r="D288" i="4"/>
  <c r="E148" i="5"/>
  <c r="E288" i="4"/>
  <c r="F148" i="5"/>
  <c r="F288" i="4"/>
  <c r="H148" i="5"/>
  <c r="I148" i="5"/>
  <c r="I288" i="4"/>
  <c r="L148" i="5"/>
  <c r="J288" i="4"/>
  <c r="N148" i="5"/>
  <c r="L288" i="4"/>
  <c r="Q148" i="5"/>
  <c r="M288" i="4"/>
  <c r="R148" i="5"/>
  <c r="T148" i="5"/>
  <c r="U148" i="5"/>
  <c r="P288" i="4"/>
  <c r="W148" i="5"/>
  <c r="Q288" i="4"/>
  <c r="X148" i="5"/>
  <c r="S288" i="4"/>
  <c r="AA148" i="5"/>
  <c r="AI288" i="4"/>
  <c r="T288" i="4" a="1"/>
  <c r="T288" i="4"/>
  <c r="AC148" i="5"/>
  <c r="U288" i="4" a="1"/>
  <c r="U288" i="4"/>
  <c r="AD148" i="5"/>
  <c r="X288" i="4"/>
  <c r="AI148" i="5"/>
  <c r="Y288" i="4"/>
  <c r="AJ148" i="5"/>
  <c r="Z288" i="4"/>
  <c r="AL148" i="5"/>
  <c r="Z148" i="5"/>
  <c r="AN148" i="5"/>
  <c r="B134" i="4"/>
  <c r="S134" i="4"/>
  <c r="AA149" i="5"/>
  <c r="P134" i="4"/>
  <c r="W149" i="5"/>
  <c r="AG149" i="5"/>
  <c r="AF149" i="5"/>
  <c r="C134" i="4"/>
  <c r="C149" i="5"/>
  <c r="D134" i="4"/>
  <c r="E149" i="5"/>
  <c r="K149" i="5"/>
  <c r="L134" i="4"/>
  <c r="Q149" i="5"/>
  <c r="U149" i="5"/>
  <c r="Q134" i="4"/>
  <c r="X149" i="5"/>
  <c r="R134" i="4"/>
  <c r="Z149" i="5"/>
  <c r="AI134" i="4"/>
  <c r="T134" i="4" a="1"/>
  <c r="T134" i="4"/>
  <c r="AC149" i="5"/>
  <c r="U134" i="4" a="1"/>
  <c r="U134" i="4"/>
  <c r="AD149" i="5"/>
  <c r="X134" i="4"/>
  <c r="AI149" i="5"/>
  <c r="Y134" i="4"/>
  <c r="AJ149" i="5"/>
  <c r="Z134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" i="4"/>
  <c r="C2" i="4"/>
  <c r="C150" i="5"/>
  <c r="D2" i="4"/>
  <c r="E150" i="5"/>
  <c r="E2" i="4"/>
  <c r="F150" i="5"/>
  <c r="F2" i="4"/>
  <c r="H150" i="5"/>
  <c r="I150" i="5"/>
  <c r="H2" i="4"/>
  <c r="K150" i="5"/>
  <c r="L2" i="4"/>
  <c r="Q150" i="5"/>
  <c r="M2" i="4"/>
  <c r="R150" i="5"/>
  <c r="T150" i="5"/>
  <c r="O2" i="4"/>
  <c r="U150" i="5"/>
  <c r="P2" i="4"/>
  <c r="W150" i="5"/>
  <c r="Q2" i="4"/>
  <c r="X150" i="5"/>
  <c r="AA150" i="5"/>
  <c r="AI2" i="4"/>
  <c r="T2" i="4" a="1"/>
  <c r="T2" i="4"/>
  <c r="AC150" i="5"/>
  <c r="U2" i="4" a="1"/>
  <c r="U2" i="4"/>
  <c r="AD150" i="5"/>
  <c r="X2" i="4"/>
  <c r="AI150" i="5"/>
  <c r="Y2" i="4"/>
  <c r="AJ150" i="5"/>
  <c r="Z2" i="4"/>
  <c r="AL150" i="5"/>
  <c r="L150" i="5"/>
  <c r="N150" i="5"/>
  <c r="O150" i="5"/>
  <c r="Z150" i="5"/>
  <c r="AN150" i="5"/>
  <c r="O151" i="5"/>
  <c r="B266" i="4"/>
  <c r="H266" i="4"/>
  <c r="K151" i="5"/>
  <c r="AG151" i="5"/>
  <c r="AF151" i="5"/>
  <c r="C266" i="4"/>
  <c r="C151" i="5"/>
  <c r="D266" i="4"/>
  <c r="E151" i="5"/>
  <c r="I40" i="2"/>
  <c r="I266" i="4"/>
  <c r="L151" i="5"/>
  <c r="J40" i="2"/>
  <c r="J266" i="4"/>
  <c r="N151" i="5"/>
  <c r="L266" i="4"/>
  <c r="Q151" i="5"/>
  <c r="M266" i="4"/>
  <c r="R151" i="5"/>
  <c r="T151" i="5"/>
  <c r="U151" i="5"/>
  <c r="P266" i="4"/>
  <c r="W151" i="5"/>
  <c r="Q266" i="4"/>
  <c r="X151" i="5"/>
  <c r="S266" i="4"/>
  <c r="AA151" i="5"/>
  <c r="AI266" i="4"/>
  <c r="T266" i="4" a="1"/>
  <c r="T266" i="4"/>
  <c r="AC151" i="5"/>
  <c r="U266" i="4" a="1"/>
  <c r="U266" i="4"/>
  <c r="AD151" i="5"/>
  <c r="X266" i="4"/>
  <c r="AI151" i="5"/>
  <c r="Y266" i="4"/>
  <c r="AJ151" i="5"/>
  <c r="Z266" i="4"/>
  <c r="AL151" i="5"/>
  <c r="F151" i="5"/>
  <c r="H151" i="5"/>
  <c r="I151" i="5"/>
  <c r="Z151" i="5"/>
  <c r="AN151" i="5"/>
  <c r="S34" i="2"/>
  <c r="B136" i="4"/>
  <c r="S136" i="4"/>
  <c r="AA152" i="5"/>
  <c r="P34" i="2"/>
  <c r="P136" i="4"/>
  <c r="W152" i="5"/>
  <c r="AG152" i="5"/>
  <c r="AF152" i="5"/>
  <c r="C34" i="2"/>
  <c r="C136" i="4"/>
  <c r="C152" i="5"/>
  <c r="D34" i="2"/>
  <c r="D136" i="4"/>
  <c r="E152" i="5"/>
  <c r="E34" i="2"/>
  <c r="E136" i="4"/>
  <c r="F152" i="5"/>
  <c r="F34" i="2"/>
  <c r="F136" i="4"/>
  <c r="H152" i="5"/>
  <c r="I152" i="5"/>
  <c r="K152" i="5"/>
  <c r="L34" i="2"/>
  <c r="L136" i="4"/>
  <c r="Q152" i="5"/>
  <c r="M34" i="2"/>
  <c r="M136" i="4"/>
  <c r="R152" i="5"/>
  <c r="T152" i="5"/>
  <c r="O34" i="2"/>
  <c r="O136" i="4"/>
  <c r="U152" i="5"/>
  <c r="Q34" i="2"/>
  <c r="Q136" i="4"/>
  <c r="X152" i="5"/>
  <c r="R34" i="2"/>
  <c r="R35" i="2"/>
  <c r="R136" i="4"/>
  <c r="Z152" i="5"/>
  <c r="AI136" i="4"/>
  <c r="T136" i="4" a="1"/>
  <c r="T136" i="4"/>
  <c r="AC152" i="5"/>
  <c r="U136" i="4" a="1"/>
  <c r="U136" i="4"/>
  <c r="AD152" i="5"/>
  <c r="X34" i="2"/>
  <c r="X136" i="4"/>
  <c r="AI152" i="5"/>
  <c r="Y34" i="2"/>
  <c r="Y136" i="4"/>
  <c r="AJ152" i="5"/>
  <c r="Z34" i="2"/>
  <c r="Z136" i="4"/>
  <c r="AL152" i="5"/>
  <c r="L152" i="5"/>
  <c r="N152" i="5"/>
  <c r="O152" i="5"/>
  <c r="AN152" i="5"/>
  <c r="O153" i="5"/>
  <c r="B138" i="4"/>
  <c r="H138" i="4"/>
  <c r="K153" i="5"/>
  <c r="AG153" i="5"/>
  <c r="AF153" i="5"/>
  <c r="C138" i="4"/>
  <c r="C153" i="5"/>
  <c r="D138" i="4"/>
  <c r="E153" i="5"/>
  <c r="I138" i="4"/>
  <c r="L153" i="5"/>
  <c r="J138" i="4"/>
  <c r="N153" i="5"/>
  <c r="L138" i="4"/>
  <c r="Q153" i="5"/>
  <c r="M138" i="4"/>
  <c r="R153" i="5"/>
  <c r="T153" i="5"/>
  <c r="U153" i="5"/>
  <c r="P138" i="4"/>
  <c r="W153" i="5"/>
  <c r="Q138" i="4"/>
  <c r="X153" i="5"/>
  <c r="S138" i="4"/>
  <c r="AA153" i="5"/>
  <c r="AI138" i="4"/>
  <c r="T138" i="4" a="1"/>
  <c r="T138" i="4"/>
  <c r="AC153" i="5"/>
  <c r="U138" i="4" a="1"/>
  <c r="U138" i="4"/>
  <c r="AD153" i="5"/>
  <c r="X138" i="4"/>
  <c r="AI153" i="5"/>
  <c r="Y138" i="4"/>
  <c r="AJ153" i="5"/>
  <c r="Z138" i="4"/>
  <c r="AL153" i="5"/>
  <c r="F153" i="5"/>
  <c r="H153" i="5"/>
  <c r="I153" i="5"/>
  <c r="Z153" i="5"/>
  <c r="AN153" i="5"/>
  <c r="AG154" i="5"/>
  <c r="AF154" i="5"/>
  <c r="B139" i="4"/>
  <c r="C139" i="4"/>
  <c r="C154" i="5"/>
  <c r="D139" i="4"/>
  <c r="E154" i="5"/>
  <c r="H139" i="4"/>
  <c r="K154" i="5"/>
  <c r="L139" i="4"/>
  <c r="Q154" i="5"/>
  <c r="M139" i="4"/>
  <c r="R154" i="5"/>
  <c r="T154" i="5"/>
  <c r="O139" i="4"/>
  <c r="U154" i="5"/>
  <c r="P139" i="4"/>
  <c r="W154" i="5"/>
  <c r="Q139" i="4"/>
  <c r="X154" i="5"/>
  <c r="AA154" i="5"/>
  <c r="AI139" i="4"/>
  <c r="T139" i="4" a="1"/>
  <c r="T139" i="4"/>
  <c r="AC154" i="5"/>
  <c r="U139" i="4" a="1"/>
  <c r="U139" i="4"/>
  <c r="AD154" i="5"/>
  <c r="X139" i="4"/>
  <c r="AI154" i="5"/>
  <c r="Y139" i="4"/>
  <c r="AJ154" i="5"/>
  <c r="Z139" i="4"/>
  <c r="AL154" i="5"/>
  <c r="F154" i="5"/>
  <c r="H154" i="5"/>
  <c r="I154" i="5"/>
  <c r="L154" i="5"/>
  <c r="N154" i="5"/>
  <c r="O154" i="5"/>
  <c r="Z154" i="5"/>
  <c r="AN154" i="5"/>
  <c r="AG155" i="5"/>
  <c r="AF155" i="5"/>
  <c r="B19" i="4"/>
  <c r="C19" i="4"/>
  <c r="C155" i="5"/>
  <c r="D19" i="4"/>
  <c r="E155" i="5"/>
  <c r="E19" i="4"/>
  <c r="F155" i="5"/>
  <c r="F19" i="4"/>
  <c r="H155" i="5"/>
  <c r="I155" i="5"/>
  <c r="H19" i="4"/>
  <c r="K155" i="5"/>
  <c r="L19" i="4"/>
  <c r="Q155" i="5"/>
  <c r="M19" i="4"/>
  <c r="R155" i="5"/>
  <c r="T155" i="5"/>
  <c r="O19" i="4"/>
  <c r="U155" i="5"/>
  <c r="P19" i="4"/>
  <c r="W155" i="5"/>
  <c r="Q19" i="4"/>
  <c r="X155" i="5"/>
  <c r="S19" i="4"/>
  <c r="AA155" i="5"/>
  <c r="AI19" i="4"/>
  <c r="T19" i="4" a="1"/>
  <c r="T19" i="4"/>
  <c r="AC155" i="5"/>
  <c r="U19" i="4" a="1"/>
  <c r="U19" i="4"/>
  <c r="AD155" i="5"/>
  <c r="X19" i="4"/>
  <c r="AI155" i="5"/>
  <c r="Y19" i="4"/>
  <c r="AJ155" i="5"/>
  <c r="Z19" i="4"/>
  <c r="AL155" i="5"/>
  <c r="L155" i="5"/>
  <c r="N155" i="5"/>
  <c r="O155" i="5"/>
  <c r="Z155" i="5"/>
  <c r="AN155" i="5"/>
  <c r="AA156" i="5"/>
  <c r="B140" i="4"/>
  <c r="P140" i="4"/>
  <c r="W156" i="5"/>
  <c r="O156" i="5"/>
  <c r="H140" i="4"/>
  <c r="K156" i="5"/>
  <c r="AG156" i="5"/>
  <c r="AF156" i="5"/>
  <c r="C140" i="4"/>
  <c r="C156" i="5"/>
  <c r="D140" i="4"/>
  <c r="E156" i="5"/>
  <c r="I140" i="4"/>
  <c r="L156" i="5"/>
  <c r="J140" i="4"/>
  <c r="N156" i="5"/>
  <c r="L140" i="4"/>
  <c r="Q156" i="5"/>
  <c r="M140" i="4"/>
  <c r="R156" i="5"/>
  <c r="T156" i="5"/>
  <c r="O140" i="4"/>
  <c r="U156" i="5"/>
  <c r="Q140" i="4"/>
  <c r="X156" i="5"/>
  <c r="R40" i="2"/>
  <c r="R140" i="4"/>
  <c r="Z156" i="5"/>
  <c r="AI140" i="4"/>
  <c r="T140" i="4" a="1"/>
  <c r="T140" i="4"/>
  <c r="AC156" i="5"/>
  <c r="U140" i="4" a="1"/>
  <c r="U140" i="4"/>
  <c r="AD156" i="5"/>
  <c r="X140" i="4"/>
  <c r="AI156" i="5"/>
  <c r="Y140" i="4"/>
  <c r="AJ156" i="5"/>
  <c r="Z140" i="4"/>
  <c r="AL156" i="5"/>
  <c r="F156" i="5"/>
  <c r="H156" i="5"/>
  <c r="I156" i="5"/>
  <c r="AN156" i="5"/>
  <c r="AG157" i="5"/>
  <c r="AF157" i="5"/>
  <c r="B141" i="4"/>
  <c r="C141" i="4"/>
  <c r="C157" i="5"/>
  <c r="D141" i="4"/>
  <c r="E157" i="5"/>
  <c r="H141" i="4"/>
  <c r="K157" i="5"/>
  <c r="L141" i="4"/>
  <c r="Q157" i="5"/>
  <c r="M141" i="4"/>
  <c r="R157" i="5"/>
  <c r="T157" i="5"/>
  <c r="U157" i="5"/>
  <c r="P141" i="4"/>
  <c r="W157" i="5"/>
  <c r="Q141" i="4"/>
  <c r="X157" i="5"/>
  <c r="S141" i="4"/>
  <c r="AA157" i="5"/>
  <c r="AI141" i="4"/>
  <c r="T141" i="4" a="1"/>
  <c r="T141" i="4"/>
  <c r="AC157" i="5"/>
  <c r="U141" i="4" a="1"/>
  <c r="U141" i="4"/>
  <c r="AD157" i="5"/>
  <c r="X141" i="4"/>
  <c r="AI157" i="5"/>
  <c r="Y141" i="4"/>
  <c r="AJ157" i="5"/>
  <c r="Z141" i="4"/>
  <c r="AL157" i="5"/>
  <c r="F157" i="5"/>
  <c r="H157" i="5"/>
  <c r="I157" i="5"/>
  <c r="L157" i="5"/>
  <c r="N157" i="5"/>
  <c r="O157" i="5"/>
  <c r="Z157" i="5"/>
  <c r="AN157" i="5"/>
  <c r="AG158" i="5"/>
  <c r="AF158" i="5"/>
  <c r="B142" i="4"/>
  <c r="C142" i="4"/>
  <c r="C158" i="5"/>
  <c r="D142" i="4"/>
  <c r="E158" i="5"/>
  <c r="E142" i="4"/>
  <c r="F158" i="5"/>
  <c r="F142" i="4"/>
  <c r="H158" i="5"/>
  <c r="I158" i="5"/>
  <c r="H142" i="4"/>
  <c r="K158" i="5"/>
  <c r="L142" i="4"/>
  <c r="Q158" i="5"/>
  <c r="M142" i="4"/>
  <c r="R158" i="5"/>
  <c r="T158" i="5"/>
  <c r="O142" i="4"/>
  <c r="U158" i="5"/>
  <c r="P142" i="4"/>
  <c r="W158" i="5"/>
  <c r="Q142" i="4"/>
  <c r="X158" i="5"/>
  <c r="S142" i="4"/>
  <c r="AA158" i="5"/>
  <c r="AI142" i="4"/>
  <c r="T142" i="4" a="1"/>
  <c r="T142" i="4"/>
  <c r="AC158" i="5"/>
  <c r="U142" i="4" a="1"/>
  <c r="U142" i="4"/>
  <c r="AD158" i="5"/>
  <c r="X142" i="4"/>
  <c r="AI158" i="5"/>
  <c r="Y142" i="4"/>
  <c r="AJ158" i="5"/>
  <c r="Z142" i="4"/>
  <c r="AL158" i="5"/>
  <c r="L158" i="5"/>
  <c r="N158" i="5"/>
  <c r="O158" i="5"/>
  <c r="Z158" i="5"/>
  <c r="AN158" i="5"/>
  <c r="AG159" i="5"/>
  <c r="AF159" i="5"/>
  <c r="B143" i="4"/>
  <c r="C143" i="4"/>
  <c r="C159" i="5"/>
  <c r="D143" i="4"/>
  <c r="E159" i="5"/>
  <c r="E143" i="4"/>
  <c r="F159" i="5"/>
  <c r="F143" i="4"/>
  <c r="H159" i="5"/>
  <c r="I159" i="5"/>
  <c r="H143" i="4"/>
  <c r="K159" i="5"/>
  <c r="L143" i="4"/>
  <c r="Q159" i="5"/>
  <c r="M143" i="4"/>
  <c r="R159" i="5"/>
  <c r="T159" i="5"/>
  <c r="O143" i="4"/>
  <c r="U159" i="5"/>
  <c r="P143" i="4"/>
  <c r="W159" i="5"/>
  <c r="Q143" i="4"/>
  <c r="X159" i="5"/>
  <c r="S143" i="4"/>
  <c r="AA159" i="5"/>
  <c r="AI143" i="4"/>
  <c r="T143" i="4" a="1"/>
  <c r="T143" i="4"/>
  <c r="AC159" i="5"/>
  <c r="U143" i="4" a="1"/>
  <c r="U143" i="4"/>
  <c r="AD159" i="5"/>
  <c r="X143" i="4"/>
  <c r="AI159" i="5"/>
  <c r="Y143" i="4"/>
  <c r="AJ159" i="5"/>
  <c r="Z143" i="4"/>
  <c r="AL159" i="5"/>
  <c r="L159" i="5"/>
  <c r="N159" i="5"/>
  <c r="O159" i="5"/>
  <c r="Z159" i="5"/>
  <c r="AN159" i="5"/>
  <c r="AG160" i="5"/>
  <c r="AF160" i="5"/>
  <c r="B144" i="4"/>
  <c r="C144" i="4"/>
  <c r="C160" i="5"/>
  <c r="D144" i="4"/>
  <c r="E160" i="5"/>
  <c r="E144" i="4"/>
  <c r="F160" i="5"/>
  <c r="F144" i="4"/>
  <c r="H160" i="5"/>
  <c r="I160" i="5"/>
  <c r="H144" i="4"/>
  <c r="K160" i="5"/>
  <c r="L144" i="4"/>
  <c r="Q160" i="5"/>
  <c r="M144" i="4"/>
  <c r="R160" i="5"/>
  <c r="T160" i="5"/>
  <c r="O144" i="4"/>
  <c r="U160" i="5"/>
  <c r="P144" i="4"/>
  <c r="W160" i="5"/>
  <c r="Q144" i="4"/>
  <c r="X160" i="5"/>
  <c r="S144" i="4"/>
  <c r="AA160" i="5"/>
  <c r="AI144" i="4"/>
  <c r="T144" i="4" a="1"/>
  <c r="T144" i="4"/>
  <c r="AC160" i="5"/>
  <c r="U144" i="4" a="1"/>
  <c r="U144" i="4"/>
  <c r="AD160" i="5"/>
  <c r="X144" i="4"/>
  <c r="AI160" i="5"/>
  <c r="Y144" i="4"/>
  <c r="AJ160" i="5"/>
  <c r="Z144" i="4"/>
  <c r="AL160" i="5"/>
  <c r="L160" i="5"/>
  <c r="N160" i="5"/>
  <c r="O160" i="5"/>
  <c r="Z160" i="5"/>
  <c r="AN160" i="5"/>
  <c r="AG161" i="5"/>
  <c r="AF161" i="5"/>
  <c r="B145" i="4"/>
  <c r="C145" i="4"/>
  <c r="C161" i="5"/>
  <c r="D145" i="4"/>
  <c r="E161" i="5"/>
  <c r="H145" i="4"/>
  <c r="K161" i="5"/>
  <c r="L145" i="4"/>
  <c r="Q161" i="5"/>
  <c r="M145" i="4"/>
  <c r="R161" i="5"/>
  <c r="N27" i="2"/>
  <c r="N145" i="4"/>
  <c r="T161" i="5"/>
  <c r="O145" i="4"/>
  <c r="U161" i="5"/>
  <c r="P145" i="4"/>
  <c r="W161" i="5"/>
  <c r="Q145" i="4"/>
  <c r="X161" i="5"/>
  <c r="AA161" i="5"/>
  <c r="AI145" i="4"/>
  <c r="T145" i="4" a="1"/>
  <c r="T145" i="4"/>
  <c r="AC161" i="5"/>
  <c r="U145" i="4" a="1"/>
  <c r="U145" i="4"/>
  <c r="AD161" i="5"/>
  <c r="X145" i="4"/>
  <c r="AI161" i="5"/>
  <c r="Y145" i="4"/>
  <c r="AJ161" i="5"/>
  <c r="Z145" i="4"/>
  <c r="AL161" i="5"/>
  <c r="F161" i="5"/>
  <c r="H161" i="5"/>
  <c r="I161" i="5"/>
  <c r="L161" i="5"/>
  <c r="N161" i="5"/>
  <c r="O161" i="5"/>
  <c r="Z161" i="5"/>
  <c r="AN161" i="5"/>
  <c r="AG162" i="5"/>
  <c r="AF162" i="5"/>
  <c r="B146" i="4"/>
  <c r="C146" i="4"/>
  <c r="C162" i="5"/>
  <c r="D146" i="4"/>
  <c r="E162" i="5"/>
  <c r="H146" i="4"/>
  <c r="K162" i="5"/>
  <c r="L146" i="4"/>
  <c r="Q162" i="5"/>
  <c r="M146" i="4"/>
  <c r="R162" i="5"/>
  <c r="T162" i="5"/>
  <c r="U162" i="5"/>
  <c r="P146" i="4"/>
  <c r="W162" i="5"/>
  <c r="Q146" i="4"/>
  <c r="X162" i="5"/>
  <c r="AA162" i="5"/>
  <c r="AI146" i="4"/>
  <c r="T146" i="4" a="1"/>
  <c r="T146" i="4"/>
  <c r="AC162" i="5"/>
  <c r="U146" i="4" a="1"/>
  <c r="U146" i="4"/>
  <c r="AD162" i="5"/>
  <c r="Y146" i="4"/>
  <c r="AJ162" i="5"/>
  <c r="Z146" i="4"/>
  <c r="AL162" i="5"/>
  <c r="F162" i="5"/>
  <c r="H162" i="5"/>
  <c r="I162" i="5"/>
  <c r="L162" i="5"/>
  <c r="N162" i="5"/>
  <c r="O162" i="5"/>
  <c r="Z162" i="5"/>
  <c r="AN162" i="5"/>
  <c r="AG163" i="5"/>
  <c r="AF163" i="5"/>
  <c r="B149" i="4"/>
  <c r="C149" i="4"/>
  <c r="C163" i="5"/>
  <c r="D149" i="4"/>
  <c r="E163" i="5"/>
  <c r="H149" i="4"/>
  <c r="K163" i="5"/>
  <c r="L149" i="4"/>
  <c r="Q163" i="5"/>
  <c r="M149" i="4"/>
  <c r="R163" i="5"/>
  <c r="T163" i="5"/>
  <c r="O149" i="4"/>
  <c r="U163" i="5"/>
  <c r="P149" i="4"/>
  <c r="W163" i="5"/>
  <c r="Q149" i="4"/>
  <c r="X163" i="5"/>
  <c r="S149" i="4"/>
  <c r="AA163" i="5"/>
  <c r="AI149" i="4"/>
  <c r="T149" i="4" a="1"/>
  <c r="T149" i="4"/>
  <c r="AC163" i="5"/>
  <c r="U149" i="4" a="1"/>
  <c r="U149" i="4"/>
  <c r="AD163" i="5"/>
  <c r="X149" i="4"/>
  <c r="AI163" i="5"/>
  <c r="Y149" i="4"/>
  <c r="AJ163" i="5"/>
  <c r="Z149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150" i="4"/>
  <c r="C150" i="4"/>
  <c r="C164" i="5"/>
  <c r="D150" i="4"/>
  <c r="E164" i="5"/>
  <c r="E150" i="4"/>
  <c r="F164" i="5"/>
  <c r="F150" i="4"/>
  <c r="H164" i="5"/>
  <c r="I164" i="5"/>
  <c r="I18" i="2"/>
  <c r="I150" i="4"/>
  <c r="L164" i="5"/>
  <c r="J18" i="2"/>
  <c r="J150" i="4"/>
  <c r="N164" i="5"/>
  <c r="L150" i="4"/>
  <c r="Q164" i="5"/>
  <c r="M150" i="4"/>
  <c r="R164" i="5"/>
  <c r="T164" i="5"/>
  <c r="O150" i="4"/>
  <c r="U164" i="5"/>
  <c r="P150" i="4"/>
  <c r="W164" i="5"/>
  <c r="Q150" i="4"/>
  <c r="X164" i="5"/>
  <c r="S150" i="4"/>
  <c r="AA164" i="5"/>
  <c r="AI150" i="4"/>
  <c r="T150" i="4" a="1"/>
  <c r="T150" i="4"/>
  <c r="AC164" i="5"/>
  <c r="U150" i="4" a="1"/>
  <c r="U150" i="4"/>
  <c r="AD164" i="5"/>
  <c r="X150" i="4"/>
  <c r="AI164" i="5"/>
  <c r="Y150" i="4"/>
  <c r="AJ164" i="5"/>
  <c r="Z150" i="4"/>
  <c r="AL164" i="5"/>
  <c r="Z164" i="5"/>
  <c r="AN164" i="5"/>
  <c r="O165" i="5"/>
  <c r="B151" i="4"/>
  <c r="H151" i="4"/>
  <c r="K165" i="5"/>
  <c r="AG165" i="5"/>
  <c r="AF165" i="5"/>
  <c r="C151" i="4"/>
  <c r="C165" i="5"/>
  <c r="D151" i="4"/>
  <c r="E165" i="5"/>
  <c r="E15" i="2"/>
  <c r="E151" i="4"/>
  <c r="F165" i="5"/>
  <c r="F15" i="2"/>
  <c r="F151" i="4"/>
  <c r="H165" i="5"/>
  <c r="I165" i="5"/>
  <c r="L165" i="5"/>
  <c r="J15" i="2"/>
  <c r="J151" i="4"/>
  <c r="N165" i="5"/>
  <c r="L151" i="4"/>
  <c r="Q165" i="5"/>
  <c r="M151" i="4"/>
  <c r="R165" i="5"/>
  <c r="T165" i="5"/>
  <c r="O151" i="4"/>
  <c r="U165" i="5"/>
  <c r="P151" i="4"/>
  <c r="W165" i="5"/>
  <c r="Q151" i="4"/>
  <c r="X165" i="5"/>
  <c r="S151" i="4"/>
  <c r="AA165" i="5"/>
  <c r="AI151" i="4"/>
  <c r="T151" i="4" a="1"/>
  <c r="T151" i="4"/>
  <c r="AC165" i="5"/>
  <c r="U151" i="4" a="1"/>
  <c r="U151" i="4"/>
  <c r="AD165" i="5"/>
  <c r="X151" i="4"/>
  <c r="AI165" i="5"/>
  <c r="Y151" i="4"/>
  <c r="AJ165" i="5"/>
  <c r="Z151" i="4"/>
  <c r="AL165" i="5"/>
  <c r="Z165" i="5"/>
  <c r="AN165" i="5"/>
  <c r="O166" i="5"/>
  <c r="B267" i="4"/>
  <c r="H267" i="4"/>
  <c r="K166" i="5"/>
  <c r="AG166" i="5"/>
  <c r="AF166" i="5"/>
  <c r="C267" i="4"/>
  <c r="C166" i="5"/>
  <c r="D267" i="4"/>
  <c r="E166" i="5"/>
  <c r="E267" i="4"/>
  <c r="F166" i="5"/>
  <c r="F267" i="4"/>
  <c r="H166" i="5"/>
  <c r="I166" i="5"/>
  <c r="I16" i="2"/>
  <c r="I267" i="4"/>
  <c r="L166" i="5"/>
  <c r="J16" i="2"/>
  <c r="J267" i="4"/>
  <c r="N166" i="5"/>
  <c r="L267" i="4"/>
  <c r="Q166" i="5"/>
  <c r="M267" i="4"/>
  <c r="R166" i="5"/>
  <c r="T166" i="5"/>
  <c r="O267" i="4"/>
  <c r="U166" i="5"/>
  <c r="P267" i="4"/>
  <c r="W166" i="5"/>
  <c r="Q267" i="4"/>
  <c r="X166" i="5"/>
  <c r="AA166" i="5"/>
  <c r="AI267" i="4"/>
  <c r="T267" i="4" a="1"/>
  <c r="T267" i="4"/>
  <c r="AC166" i="5"/>
  <c r="U267" i="4" a="1"/>
  <c r="U267" i="4"/>
  <c r="AD166" i="5"/>
  <c r="AI166" i="5"/>
  <c r="Y267" i="4"/>
  <c r="AJ166" i="5"/>
  <c r="Z267" i="4"/>
  <c r="AL166" i="5"/>
  <c r="Z166" i="5"/>
  <c r="AN166" i="5"/>
  <c r="AG167" i="5"/>
  <c r="AF167" i="5"/>
  <c r="B155" i="4"/>
  <c r="C155" i="4"/>
  <c r="C167" i="5"/>
  <c r="D155" i="4"/>
  <c r="E167" i="5"/>
  <c r="K167" i="5"/>
  <c r="L155" i="4"/>
  <c r="Q167" i="5"/>
  <c r="M155" i="4"/>
  <c r="R167" i="5"/>
  <c r="T167" i="5"/>
  <c r="U167" i="5"/>
  <c r="P155" i="4"/>
  <c r="W167" i="5"/>
  <c r="Q155" i="4"/>
  <c r="X167" i="5"/>
  <c r="S155" i="4"/>
  <c r="AA167" i="5"/>
  <c r="AI155" i="4"/>
  <c r="T155" i="4" a="1"/>
  <c r="T155" i="4"/>
  <c r="AC167" i="5"/>
  <c r="U155" i="4" a="1"/>
  <c r="U155" i="4"/>
  <c r="AD167" i="5"/>
  <c r="X155" i="4"/>
  <c r="AI167" i="5"/>
  <c r="Y155" i="4"/>
  <c r="AJ167" i="5"/>
  <c r="Z155" i="4"/>
  <c r="AL167" i="5"/>
  <c r="F167" i="5"/>
  <c r="H167" i="5"/>
  <c r="I167" i="5"/>
  <c r="L167" i="5"/>
  <c r="N167" i="5"/>
  <c r="O167" i="5"/>
  <c r="Z167" i="5"/>
  <c r="AN167" i="5"/>
  <c r="AG168" i="5"/>
  <c r="AF168" i="5"/>
  <c r="B156" i="4"/>
  <c r="C156" i="4"/>
  <c r="C168" i="5"/>
  <c r="D156" i="4"/>
  <c r="E168" i="5"/>
  <c r="K168" i="5"/>
  <c r="L156" i="4"/>
  <c r="Q168" i="5"/>
  <c r="M156" i="4"/>
  <c r="R168" i="5"/>
  <c r="T168" i="5"/>
  <c r="U168" i="5"/>
  <c r="P156" i="4"/>
  <c r="W168" i="5"/>
  <c r="Q156" i="4"/>
  <c r="X168" i="5"/>
  <c r="S156" i="4"/>
  <c r="AA168" i="5"/>
  <c r="AI156" i="4"/>
  <c r="T156" i="4" a="1"/>
  <c r="T156" i="4"/>
  <c r="AC168" i="5"/>
  <c r="U156" i="4" a="1"/>
  <c r="U156" i="4"/>
  <c r="AD168" i="5"/>
  <c r="X156" i="4"/>
  <c r="AI168" i="5"/>
  <c r="Y156" i="4"/>
  <c r="AJ168" i="5"/>
  <c r="Z156" i="4"/>
  <c r="AL168" i="5"/>
  <c r="F168" i="5"/>
  <c r="H168" i="5"/>
  <c r="I168" i="5"/>
  <c r="L168" i="5"/>
  <c r="N168" i="5"/>
  <c r="O168" i="5"/>
  <c r="Z168" i="5"/>
  <c r="AN168" i="5"/>
  <c r="AG169" i="5"/>
  <c r="AF169" i="5"/>
  <c r="B157" i="4"/>
  <c r="C157" i="4"/>
  <c r="C169" i="5"/>
  <c r="E169" i="5"/>
  <c r="K169" i="5"/>
  <c r="L157" i="4"/>
  <c r="Q169" i="5"/>
  <c r="M157" i="4"/>
  <c r="R169" i="5"/>
  <c r="T169" i="5"/>
  <c r="O157" i="4"/>
  <c r="U169" i="5"/>
  <c r="P157" i="4"/>
  <c r="W169" i="5"/>
  <c r="Q157" i="4"/>
  <c r="X169" i="5"/>
  <c r="S157" i="4"/>
  <c r="AA169" i="5"/>
  <c r="AI157" i="4"/>
  <c r="T157" i="4" a="1"/>
  <c r="T157" i="4"/>
  <c r="AC169" i="5"/>
  <c r="U157" i="4" a="1"/>
  <c r="U157" i="4"/>
  <c r="AD169" i="5"/>
  <c r="X157" i="4"/>
  <c r="AI169" i="5"/>
  <c r="Y157" i="4"/>
  <c r="AJ169" i="5"/>
  <c r="Z157" i="4"/>
  <c r="AL169" i="5"/>
  <c r="F169" i="5"/>
  <c r="H169" i="5"/>
  <c r="I169" i="5"/>
  <c r="L169" i="5"/>
  <c r="N169" i="5"/>
  <c r="O169" i="5"/>
  <c r="Z169" i="5"/>
  <c r="AN169" i="5"/>
  <c r="AG170" i="5"/>
  <c r="AF170" i="5"/>
  <c r="B158" i="4"/>
  <c r="C158" i="4"/>
  <c r="C170" i="5"/>
  <c r="D158" i="4"/>
  <c r="E170" i="5"/>
  <c r="H158" i="4"/>
  <c r="K170" i="5"/>
  <c r="L158" i="4"/>
  <c r="Q170" i="5"/>
  <c r="M158" i="4"/>
  <c r="R170" i="5"/>
  <c r="T170" i="5"/>
  <c r="O158" i="4"/>
  <c r="U170" i="5"/>
  <c r="P158" i="4"/>
  <c r="W170" i="5"/>
  <c r="Q158" i="4"/>
  <c r="X170" i="5"/>
  <c r="S158" i="4"/>
  <c r="AA170" i="5"/>
  <c r="AI158" i="4"/>
  <c r="T158" i="4" a="1"/>
  <c r="T158" i="4"/>
  <c r="AC170" i="5"/>
  <c r="U158" i="4" a="1"/>
  <c r="U158" i="4"/>
  <c r="AD170" i="5"/>
  <c r="X158" i="4"/>
  <c r="AI170" i="5"/>
  <c r="Y158" i="4"/>
  <c r="AJ170" i="5"/>
  <c r="Z158" i="4"/>
  <c r="AL170" i="5"/>
  <c r="F170" i="5"/>
  <c r="H170" i="5"/>
  <c r="I170" i="5"/>
  <c r="L170" i="5"/>
  <c r="N170" i="5"/>
  <c r="O170" i="5"/>
  <c r="Z170" i="5"/>
  <c r="AN170" i="5"/>
  <c r="AG171" i="5"/>
  <c r="AF171" i="5"/>
  <c r="B159" i="4"/>
  <c r="C159" i="4"/>
  <c r="C171" i="5"/>
  <c r="D159" i="4"/>
  <c r="E171" i="5"/>
  <c r="K171" i="5"/>
  <c r="L159" i="4"/>
  <c r="Q171" i="5"/>
  <c r="M159" i="4"/>
  <c r="R171" i="5"/>
  <c r="T171" i="5"/>
  <c r="U171" i="5"/>
  <c r="P159" i="4"/>
  <c r="W171" i="5"/>
  <c r="Q159" i="4"/>
  <c r="X171" i="5"/>
  <c r="S159" i="4"/>
  <c r="AA171" i="5"/>
  <c r="AI159" i="4"/>
  <c r="T159" i="4" a="1"/>
  <c r="T159" i="4"/>
  <c r="AC171" i="5"/>
  <c r="U159" i="4" a="1"/>
  <c r="U159" i="4"/>
  <c r="AD171" i="5"/>
  <c r="X159" i="4"/>
  <c r="AI171" i="5"/>
  <c r="Y159" i="4"/>
  <c r="AJ171" i="5"/>
  <c r="Z159" i="4"/>
  <c r="AL171" i="5"/>
  <c r="F171" i="5"/>
  <c r="H171" i="5"/>
  <c r="I171" i="5"/>
  <c r="L171" i="5"/>
  <c r="N171" i="5"/>
  <c r="O171" i="5"/>
  <c r="Z171" i="5"/>
  <c r="AN171" i="5"/>
  <c r="AG172" i="5"/>
  <c r="AF172" i="5"/>
  <c r="B279" i="4"/>
  <c r="C279" i="4"/>
  <c r="C172" i="5"/>
  <c r="D279" i="4"/>
  <c r="E172" i="5"/>
  <c r="K172" i="5"/>
  <c r="L279" i="4"/>
  <c r="Q172" i="5"/>
  <c r="M279" i="4"/>
  <c r="R172" i="5"/>
  <c r="T172" i="5"/>
  <c r="U172" i="5"/>
  <c r="P279" i="4"/>
  <c r="W172" i="5"/>
  <c r="Q279" i="4"/>
  <c r="X172" i="5"/>
  <c r="AA172" i="5"/>
  <c r="AI279" i="4"/>
  <c r="T279" i="4" a="1"/>
  <c r="T279" i="4"/>
  <c r="AC172" i="5"/>
  <c r="U279" i="4" a="1"/>
  <c r="U279" i="4"/>
  <c r="AD172" i="5"/>
  <c r="AI172" i="5"/>
  <c r="Y279" i="4"/>
  <c r="AJ172" i="5"/>
  <c r="Z279" i="4"/>
  <c r="AL172" i="5"/>
  <c r="F172" i="5"/>
  <c r="H172" i="5"/>
  <c r="I172" i="5"/>
  <c r="L172" i="5"/>
  <c r="N172" i="5"/>
  <c r="O172" i="5"/>
  <c r="Z172" i="5"/>
  <c r="AN172" i="5"/>
  <c r="B20" i="4"/>
  <c r="S20" i="4"/>
  <c r="AA173" i="5"/>
  <c r="P20" i="4"/>
  <c r="W173" i="5"/>
  <c r="O173" i="5"/>
  <c r="K173" i="5"/>
  <c r="AG173" i="5"/>
  <c r="AF173" i="5"/>
  <c r="C20" i="4"/>
  <c r="C173" i="5"/>
  <c r="D20" i="4"/>
  <c r="E173" i="5"/>
  <c r="E20" i="4"/>
  <c r="F173" i="5"/>
  <c r="F20" i="4"/>
  <c r="H173" i="5"/>
  <c r="I173" i="5"/>
  <c r="L20" i="4"/>
  <c r="Q173" i="5"/>
  <c r="M20" i="4"/>
  <c r="R173" i="5"/>
  <c r="T173" i="5"/>
  <c r="O20" i="4"/>
  <c r="U173" i="5"/>
  <c r="Q20" i="4"/>
  <c r="X173" i="5"/>
  <c r="R18" i="2"/>
  <c r="R20" i="4"/>
  <c r="Z173" i="5"/>
  <c r="AI20" i="4"/>
  <c r="T20" i="4" a="1"/>
  <c r="T20" i="4"/>
  <c r="AC173" i="5"/>
  <c r="U20" i="4" a="1"/>
  <c r="U20" i="4"/>
  <c r="AD173" i="5"/>
  <c r="X20" i="4"/>
  <c r="AI173" i="5"/>
  <c r="Y20" i="4"/>
  <c r="AJ173" i="5"/>
  <c r="Z20" i="4"/>
  <c r="AL173" i="5"/>
  <c r="AN173" i="5"/>
  <c r="B4" i="4"/>
  <c r="S4" i="4"/>
  <c r="AA174" i="5"/>
  <c r="P4" i="4"/>
  <c r="W174" i="5"/>
  <c r="O174" i="5"/>
  <c r="H2" i="2"/>
  <c r="H4" i="4"/>
  <c r="K174" i="5"/>
  <c r="AG174" i="5"/>
  <c r="AF174" i="5"/>
  <c r="C4" i="4"/>
  <c r="C174" i="5"/>
  <c r="D4" i="4"/>
  <c r="E174" i="5"/>
  <c r="E2" i="2"/>
  <c r="E4" i="4"/>
  <c r="F174" i="5"/>
  <c r="F2" i="2"/>
  <c r="F4" i="4"/>
  <c r="H174" i="5"/>
  <c r="I174" i="5"/>
  <c r="I2" i="2"/>
  <c r="I4" i="4"/>
  <c r="L174" i="5"/>
  <c r="J2" i="2"/>
  <c r="J4" i="4"/>
  <c r="N174" i="5"/>
  <c r="L4" i="4"/>
  <c r="Q174" i="5"/>
  <c r="M4" i="4"/>
  <c r="R174" i="5"/>
  <c r="T174" i="5"/>
  <c r="U174" i="5"/>
  <c r="Q4" i="4"/>
  <c r="X174" i="5"/>
  <c r="R2" i="2"/>
  <c r="R4" i="4"/>
  <c r="Z174" i="5"/>
  <c r="AI4" i="4"/>
  <c r="T4" i="4" a="1"/>
  <c r="T4" i="4"/>
  <c r="AC174" i="5"/>
  <c r="U4" i="4" a="1"/>
  <c r="U4" i="4"/>
  <c r="AD174" i="5"/>
  <c r="X4" i="4"/>
  <c r="AI174" i="5"/>
  <c r="Y4" i="4"/>
  <c r="AJ174" i="5"/>
  <c r="Z4" i="4"/>
  <c r="AL174" i="5"/>
  <c r="AN174" i="5"/>
  <c r="AA175" i="5"/>
  <c r="B160" i="4"/>
  <c r="P160" i="4"/>
  <c r="W175" i="5"/>
  <c r="O175" i="5"/>
  <c r="K175" i="5"/>
  <c r="AG175" i="5"/>
  <c r="AF175" i="5"/>
  <c r="C160" i="4"/>
  <c r="C175" i="5"/>
  <c r="D160" i="4"/>
  <c r="E175" i="5"/>
  <c r="L175" i="5"/>
  <c r="N175" i="5"/>
  <c r="L160" i="4"/>
  <c r="Q175" i="5"/>
  <c r="O160" i="4"/>
  <c r="U175" i="5"/>
  <c r="Q160" i="4"/>
  <c r="X175" i="5"/>
  <c r="R160" i="4"/>
  <c r="Z175" i="5"/>
  <c r="AI160" i="4"/>
  <c r="T160" i="4" a="1"/>
  <c r="T160" i="4"/>
  <c r="AC175" i="5"/>
  <c r="AD175" i="5"/>
  <c r="X160" i="4"/>
  <c r="AI175" i="5"/>
  <c r="Y160" i="4"/>
  <c r="AJ175" i="5"/>
  <c r="Z160" i="4"/>
  <c r="AL175" i="5"/>
  <c r="F175" i="5"/>
  <c r="R175" i="5"/>
  <c r="T175" i="5"/>
  <c r="H175" i="5"/>
  <c r="I175" i="5"/>
  <c r="AN175" i="5"/>
  <c r="AA176" i="5"/>
  <c r="B161" i="4"/>
  <c r="P161" i="4"/>
  <c r="W176" i="5"/>
  <c r="O176" i="5"/>
  <c r="K176" i="5"/>
  <c r="AG176" i="5"/>
  <c r="AF176" i="5"/>
  <c r="C161" i="4"/>
  <c r="C176" i="5"/>
  <c r="D161" i="4"/>
  <c r="E176" i="5"/>
  <c r="L176" i="5"/>
  <c r="N176" i="5"/>
  <c r="L161" i="4"/>
  <c r="Q176" i="5"/>
  <c r="O161" i="4"/>
  <c r="U176" i="5"/>
  <c r="Q161" i="4"/>
  <c r="X176" i="5"/>
  <c r="R161" i="4"/>
  <c r="Z176" i="5"/>
  <c r="AI161" i="4"/>
  <c r="T161" i="4" a="1"/>
  <c r="T161" i="4"/>
  <c r="AC176" i="5"/>
  <c r="AD176" i="5"/>
  <c r="X161" i="4"/>
  <c r="AI176" i="5"/>
  <c r="Y161" i="4"/>
  <c r="AJ176" i="5"/>
  <c r="Z161" i="4"/>
  <c r="AL176" i="5"/>
  <c r="F176" i="5"/>
  <c r="R176" i="5"/>
  <c r="T176" i="5"/>
  <c r="H176" i="5"/>
  <c r="I176" i="5"/>
  <c r="AN176" i="5"/>
  <c r="AA177" i="5"/>
  <c r="B162" i="4"/>
  <c r="P162" i="4"/>
  <c r="W177" i="5"/>
  <c r="O177" i="5"/>
  <c r="H162" i="4"/>
  <c r="K177" i="5"/>
  <c r="AG177" i="5"/>
  <c r="AF177" i="5"/>
  <c r="C162" i="4"/>
  <c r="C177" i="5"/>
  <c r="D162" i="4"/>
  <c r="E177" i="5"/>
  <c r="L177" i="5"/>
  <c r="J162" i="4"/>
  <c r="N177" i="5"/>
  <c r="L162" i="4"/>
  <c r="Q177" i="5"/>
  <c r="M162" i="4"/>
  <c r="R177" i="5"/>
  <c r="T177" i="5"/>
  <c r="O162" i="4"/>
  <c r="U177" i="5"/>
  <c r="Q162" i="4"/>
  <c r="X177" i="5"/>
  <c r="R162" i="4"/>
  <c r="Z177" i="5"/>
  <c r="AI162" i="4"/>
  <c r="T162" i="4" a="1"/>
  <c r="T162" i="4"/>
  <c r="AC177" i="5"/>
  <c r="AD177" i="5"/>
  <c r="X162" i="4"/>
  <c r="AI177" i="5"/>
  <c r="Y162" i="4"/>
  <c r="AJ177" i="5"/>
  <c r="Z162" i="4"/>
  <c r="AL177" i="5"/>
  <c r="F177" i="5"/>
  <c r="H177" i="5"/>
  <c r="I177" i="5"/>
  <c r="AN177" i="5"/>
  <c r="AG178" i="5"/>
  <c r="AF178" i="5"/>
  <c r="B285" i="4"/>
  <c r="C285" i="4"/>
  <c r="C178" i="5"/>
  <c r="D285" i="4"/>
  <c r="E178" i="5"/>
  <c r="H285" i="4"/>
  <c r="K178" i="5"/>
  <c r="L285" i="4"/>
  <c r="Q178" i="5"/>
  <c r="M285" i="4"/>
  <c r="R178" i="5"/>
  <c r="T178" i="5"/>
  <c r="U178" i="5"/>
  <c r="P285" i="4"/>
  <c r="W178" i="5"/>
  <c r="Q285" i="4"/>
  <c r="X178" i="5"/>
  <c r="S285" i="4"/>
  <c r="AA178" i="5"/>
  <c r="AI285" i="4"/>
  <c r="T285" i="4" a="1"/>
  <c r="T285" i="4"/>
  <c r="AC178" i="5"/>
  <c r="U285" i="4" a="1"/>
  <c r="U285" i="4"/>
  <c r="AD178" i="5"/>
  <c r="X285" i="4"/>
  <c r="AI178" i="5"/>
  <c r="Y285" i="4"/>
  <c r="AJ178" i="5"/>
  <c r="Z285" i="4"/>
  <c r="AL178" i="5"/>
  <c r="F178" i="5"/>
  <c r="L178" i="5"/>
  <c r="N178" i="5"/>
  <c r="O178" i="5"/>
  <c r="Z178" i="5"/>
  <c r="H178" i="5"/>
  <c r="I178" i="5"/>
  <c r="AN178" i="5"/>
  <c r="AG179" i="5"/>
  <c r="AF179" i="5"/>
  <c r="B21" i="4"/>
  <c r="C21" i="4"/>
  <c r="C179" i="5"/>
  <c r="D21" i="4"/>
  <c r="E179" i="5"/>
  <c r="E21" i="4"/>
  <c r="F179" i="5"/>
  <c r="F21" i="4"/>
  <c r="H179" i="5"/>
  <c r="I179" i="5"/>
  <c r="H21" i="4"/>
  <c r="K179" i="5"/>
  <c r="L21" i="4"/>
  <c r="Q179" i="5"/>
  <c r="M21" i="4"/>
  <c r="R179" i="5"/>
  <c r="T179" i="5"/>
  <c r="O21" i="4"/>
  <c r="U179" i="5"/>
  <c r="P21" i="4"/>
  <c r="W179" i="5"/>
  <c r="Q21" i="4"/>
  <c r="X179" i="5"/>
  <c r="S21" i="4"/>
  <c r="AA179" i="5"/>
  <c r="AI21" i="4"/>
  <c r="T21" i="4" a="1"/>
  <c r="T21" i="4"/>
  <c r="AC179" i="5"/>
  <c r="U21" i="4" a="1"/>
  <c r="U21" i="4"/>
  <c r="AD179" i="5"/>
  <c r="X21" i="4"/>
  <c r="AI179" i="5"/>
  <c r="Y21" i="4"/>
  <c r="AJ179" i="5"/>
  <c r="Z21" i="4"/>
  <c r="AL179" i="5"/>
  <c r="L179" i="5"/>
  <c r="N179" i="5"/>
  <c r="O179" i="5"/>
  <c r="Z179" i="5"/>
  <c r="AN179" i="5"/>
  <c r="B22" i="4"/>
  <c r="S22" i="4"/>
  <c r="AA180" i="5"/>
  <c r="P22" i="4"/>
  <c r="W180" i="5"/>
  <c r="O180" i="5"/>
  <c r="K180" i="5"/>
  <c r="AG180" i="5"/>
  <c r="AF180" i="5"/>
  <c r="C22" i="4"/>
  <c r="C180" i="5"/>
  <c r="D22" i="4"/>
  <c r="E180" i="5"/>
  <c r="E22" i="4"/>
  <c r="F180" i="5"/>
  <c r="F22" i="4"/>
  <c r="H180" i="5"/>
  <c r="I180" i="5"/>
  <c r="I22" i="4"/>
  <c r="L180" i="5"/>
  <c r="J22" i="4"/>
  <c r="N180" i="5"/>
  <c r="L22" i="4"/>
  <c r="Q180" i="5"/>
  <c r="M22" i="4"/>
  <c r="R180" i="5"/>
  <c r="T180" i="5"/>
  <c r="U180" i="5"/>
  <c r="Q22" i="4"/>
  <c r="X180" i="5"/>
  <c r="R22" i="4"/>
  <c r="Z180" i="5"/>
  <c r="AI22" i="4"/>
  <c r="T22" i="4" a="1"/>
  <c r="T22" i="4"/>
  <c r="AC180" i="5"/>
  <c r="U22" i="4" a="1"/>
  <c r="U22" i="4"/>
  <c r="AD180" i="5"/>
  <c r="AI180" i="5"/>
  <c r="Y22" i="4"/>
  <c r="AJ180" i="5"/>
  <c r="Z22" i="4"/>
  <c r="AL180" i="5"/>
  <c r="AN180" i="5"/>
  <c r="B23" i="4"/>
  <c r="S23" i="4"/>
  <c r="AA181" i="5"/>
  <c r="P23" i="4"/>
  <c r="W181" i="5"/>
  <c r="O181" i="5"/>
  <c r="H23" i="4"/>
  <c r="K181" i="5"/>
  <c r="AG181" i="5"/>
  <c r="AF181" i="5"/>
  <c r="C23" i="4"/>
  <c r="C181" i="5"/>
  <c r="D23" i="4"/>
  <c r="E181" i="5"/>
  <c r="E23" i="4"/>
  <c r="F181" i="5"/>
  <c r="F23" i="4"/>
  <c r="H181" i="5"/>
  <c r="I181" i="5"/>
  <c r="I22" i="2"/>
  <c r="I23" i="4"/>
  <c r="L181" i="5"/>
  <c r="J22" i="2"/>
  <c r="J23" i="4"/>
  <c r="N181" i="5"/>
  <c r="L23" i="4"/>
  <c r="Q181" i="5"/>
  <c r="M23" i="4"/>
  <c r="R181" i="5"/>
  <c r="T181" i="5"/>
  <c r="U181" i="5"/>
  <c r="Q23" i="4"/>
  <c r="X181" i="5"/>
  <c r="R22" i="2"/>
  <c r="R23" i="4"/>
  <c r="Z181" i="5"/>
  <c r="AI23" i="4"/>
  <c r="T23" i="4" a="1"/>
  <c r="T23" i="4"/>
  <c r="AC181" i="5"/>
  <c r="U23" i="4" a="1"/>
  <c r="U23" i="4"/>
  <c r="AD181" i="5"/>
  <c r="X23" i="4"/>
  <c r="AI181" i="5"/>
  <c r="Y23" i="4"/>
  <c r="AJ181" i="5"/>
  <c r="Z23" i="4"/>
  <c r="AL181" i="5"/>
  <c r="AN181" i="5"/>
  <c r="B24" i="4"/>
  <c r="S24" i="4"/>
  <c r="AA182" i="5"/>
  <c r="P24" i="4"/>
  <c r="W182" i="5"/>
  <c r="O182" i="5"/>
  <c r="H24" i="4"/>
  <c r="K182" i="5"/>
  <c r="AG182" i="5"/>
  <c r="AF182" i="5"/>
  <c r="C24" i="4"/>
  <c r="C182" i="5"/>
  <c r="D24" i="4"/>
  <c r="E182" i="5"/>
  <c r="E24" i="4"/>
  <c r="F182" i="5"/>
  <c r="F24" i="4"/>
  <c r="H182" i="5"/>
  <c r="I182" i="5"/>
  <c r="I24" i="4"/>
  <c r="L182" i="5"/>
  <c r="J24" i="4"/>
  <c r="N182" i="5"/>
  <c r="L24" i="4"/>
  <c r="Q182" i="5"/>
  <c r="M24" i="4"/>
  <c r="R182" i="5"/>
  <c r="T182" i="5"/>
  <c r="U182" i="5"/>
  <c r="Q24" i="4"/>
  <c r="X182" i="5"/>
  <c r="R24" i="4"/>
  <c r="Z182" i="5"/>
  <c r="AI24" i="4"/>
  <c r="T24" i="4" a="1"/>
  <c r="T24" i="4"/>
  <c r="AC182" i="5"/>
  <c r="U24" i="4" a="1"/>
  <c r="U24" i="4"/>
  <c r="AD182" i="5"/>
  <c r="AI182" i="5"/>
  <c r="Y24" i="4"/>
  <c r="AJ182" i="5"/>
  <c r="Z24" i="4"/>
  <c r="AL182" i="5"/>
  <c r="AN182" i="5"/>
  <c r="B25" i="4"/>
  <c r="S25" i="4"/>
  <c r="AA183" i="5"/>
  <c r="P25" i="4"/>
  <c r="W183" i="5"/>
  <c r="O183" i="5"/>
  <c r="K183" i="5"/>
  <c r="AG183" i="5"/>
  <c r="AF183" i="5"/>
  <c r="C25" i="4"/>
  <c r="C183" i="5"/>
  <c r="D25" i="4"/>
  <c r="E183" i="5"/>
  <c r="E25" i="4"/>
  <c r="F183" i="5"/>
  <c r="F25" i="4"/>
  <c r="H183" i="5"/>
  <c r="I183" i="5"/>
  <c r="I25" i="4"/>
  <c r="L183" i="5"/>
  <c r="J25" i="4"/>
  <c r="N183" i="5"/>
  <c r="L25" i="4"/>
  <c r="Q183" i="5"/>
  <c r="M25" i="4"/>
  <c r="R183" i="5"/>
  <c r="T183" i="5"/>
  <c r="U183" i="5"/>
  <c r="Q25" i="4"/>
  <c r="X183" i="5"/>
  <c r="R25" i="4"/>
  <c r="Z183" i="5"/>
  <c r="AI25" i="4"/>
  <c r="T25" i="4" a="1"/>
  <c r="T25" i="4"/>
  <c r="AC183" i="5"/>
  <c r="U25" i="4" a="1"/>
  <c r="U25" i="4"/>
  <c r="AD183" i="5"/>
  <c r="X25" i="4"/>
  <c r="AI183" i="5"/>
  <c r="Y25" i="4"/>
  <c r="AJ183" i="5"/>
  <c r="Z25" i="4"/>
  <c r="AL183" i="5"/>
  <c r="AN183" i="5"/>
  <c r="B26" i="4"/>
  <c r="S26" i="4"/>
  <c r="AA184" i="5"/>
  <c r="P26" i="4"/>
  <c r="W184" i="5"/>
  <c r="O184" i="5"/>
  <c r="K184" i="5"/>
  <c r="AG184" i="5"/>
  <c r="AF184" i="5"/>
  <c r="C26" i="4"/>
  <c r="C184" i="5"/>
  <c r="D26" i="4"/>
  <c r="E184" i="5"/>
  <c r="E26" i="4"/>
  <c r="F184" i="5"/>
  <c r="F26" i="4"/>
  <c r="H184" i="5"/>
  <c r="I184" i="5"/>
  <c r="I26" i="4"/>
  <c r="L184" i="5"/>
  <c r="J26" i="4"/>
  <c r="N184" i="5"/>
  <c r="L26" i="4"/>
  <c r="Q184" i="5"/>
  <c r="M26" i="4"/>
  <c r="R184" i="5"/>
  <c r="T184" i="5"/>
  <c r="U184" i="5"/>
  <c r="Q26" i="4"/>
  <c r="X184" i="5"/>
  <c r="R26" i="4"/>
  <c r="Z184" i="5"/>
  <c r="AI26" i="4"/>
  <c r="T26" i="4" a="1"/>
  <c r="T26" i="4"/>
  <c r="AC184" i="5"/>
  <c r="U26" i="4" a="1"/>
  <c r="U26" i="4"/>
  <c r="AD184" i="5"/>
  <c r="X26" i="4"/>
  <c r="AI184" i="5"/>
  <c r="Y26" i="4"/>
  <c r="AJ184" i="5"/>
  <c r="Z26" i="4"/>
  <c r="AL184" i="5"/>
  <c r="AN184" i="5"/>
  <c r="B27" i="4"/>
  <c r="S27" i="4"/>
  <c r="AA185" i="5"/>
  <c r="P27" i="4"/>
  <c r="W185" i="5"/>
  <c r="O185" i="5"/>
  <c r="H27" i="4"/>
  <c r="K185" i="5"/>
  <c r="AG185" i="5"/>
  <c r="AF185" i="5"/>
  <c r="C27" i="4"/>
  <c r="C185" i="5"/>
  <c r="D27" i="4"/>
  <c r="E185" i="5"/>
  <c r="E27" i="4"/>
  <c r="F185" i="5"/>
  <c r="F27" i="4"/>
  <c r="H185" i="5"/>
  <c r="I185" i="5"/>
  <c r="I27" i="4"/>
  <c r="L185" i="5"/>
  <c r="J27" i="4"/>
  <c r="N185" i="5"/>
  <c r="L27" i="4"/>
  <c r="Q185" i="5"/>
  <c r="M27" i="4"/>
  <c r="R185" i="5"/>
  <c r="T185" i="5"/>
  <c r="O27" i="4"/>
  <c r="U185" i="5"/>
  <c r="Q27" i="4"/>
  <c r="X185" i="5"/>
  <c r="R27" i="4"/>
  <c r="Z185" i="5"/>
  <c r="AI27" i="4"/>
  <c r="T27" i="4" a="1"/>
  <c r="T27" i="4"/>
  <c r="AC185" i="5"/>
  <c r="U27" i="4" a="1"/>
  <c r="U27" i="4"/>
  <c r="AD185" i="5"/>
  <c r="AI185" i="5"/>
  <c r="Y27" i="4"/>
  <c r="AJ185" i="5"/>
  <c r="Z27" i="4"/>
  <c r="AL185" i="5"/>
  <c r="AN185" i="5"/>
  <c r="B28" i="4"/>
  <c r="S28" i="4"/>
  <c r="AA186" i="5"/>
  <c r="P28" i="4"/>
  <c r="W186" i="5"/>
  <c r="O186" i="5"/>
  <c r="K186" i="5"/>
  <c r="AG186" i="5"/>
  <c r="AF186" i="5"/>
  <c r="C28" i="4"/>
  <c r="C186" i="5"/>
  <c r="D28" i="4"/>
  <c r="E186" i="5"/>
  <c r="E28" i="4"/>
  <c r="F186" i="5"/>
  <c r="F28" i="4"/>
  <c r="H186" i="5"/>
  <c r="I186" i="5"/>
  <c r="I28" i="4"/>
  <c r="L186" i="5"/>
  <c r="J28" i="4"/>
  <c r="N186" i="5"/>
  <c r="L28" i="4"/>
  <c r="Q186" i="5"/>
  <c r="M28" i="4"/>
  <c r="R186" i="5"/>
  <c r="T186" i="5"/>
  <c r="U186" i="5"/>
  <c r="Q28" i="4"/>
  <c r="X186" i="5"/>
  <c r="R28" i="4"/>
  <c r="Z186" i="5"/>
  <c r="AI28" i="4"/>
  <c r="T28" i="4" a="1"/>
  <c r="T28" i="4"/>
  <c r="AC186" i="5"/>
  <c r="U28" i="4" a="1"/>
  <c r="U28" i="4"/>
  <c r="AD186" i="5"/>
  <c r="X28" i="4"/>
  <c r="AI186" i="5"/>
  <c r="Y28" i="4"/>
  <c r="AJ186" i="5"/>
  <c r="Z28" i="4"/>
  <c r="AL186" i="5"/>
  <c r="AN186" i="5"/>
  <c r="B29" i="4"/>
  <c r="S29" i="4"/>
  <c r="AA187" i="5"/>
  <c r="P29" i="4"/>
  <c r="W187" i="5"/>
  <c r="O187" i="5"/>
  <c r="K187" i="5"/>
  <c r="AG187" i="5"/>
  <c r="AF187" i="5"/>
  <c r="C29" i="4"/>
  <c r="C187" i="5"/>
  <c r="D29" i="4"/>
  <c r="E187" i="5"/>
  <c r="E29" i="4"/>
  <c r="F187" i="5"/>
  <c r="F29" i="4"/>
  <c r="H187" i="5"/>
  <c r="I187" i="5"/>
  <c r="I34" i="2"/>
  <c r="I29" i="4"/>
  <c r="L187" i="5"/>
  <c r="J34" i="2"/>
  <c r="J29" i="4"/>
  <c r="N187" i="5"/>
  <c r="L29" i="4"/>
  <c r="Q187" i="5"/>
  <c r="M29" i="4"/>
  <c r="R187" i="5"/>
  <c r="T187" i="5"/>
  <c r="U187" i="5"/>
  <c r="Q29" i="4"/>
  <c r="X187" i="5"/>
  <c r="R29" i="4"/>
  <c r="Z187" i="5"/>
  <c r="AI29" i="4"/>
  <c r="T29" i="4" a="1"/>
  <c r="T29" i="4"/>
  <c r="AC187" i="5"/>
  <c r="U29" i="4" a="1"/>
  <c r="U29" i="4"/>
  <c r="AD187" i="5"/>
  <c r="AI187" i="5"/>
  <c r="Y29" i="4"/>
  <c r="AJ187" i="5"/>
  <c r="Z29" i="4"/>
  <c r="AL187" i="5"/>
  <c r="AN187" i="5"/>
  <c r="AA188" i="5"/>
  <c r="B163" i="4"/>
  <c r="P163" i="4"/>
  <c r="W188" i="5"/>
  <c r="O188" i="5"/>
  <c r="K188" i="5"/>
  <c r="AG188" i="5"/>
  <c r="AF188" i="5"/>
  <c r="C163" i="4"/>
  <c r="C188" i="5"/>
  <c r="D163" i="4"/>
  <c r="E188" i="5"/>
  <c r="L188" i="5"/>
  <c r="N188" i="5"/>
  <c r="L163" i="4"/>
  <c r="Q188" i="5"/>
  <c r="O163" i="4"/>
  <c r="U188" i="5"/>
  <c r="Q163" i="4"/>
  <c r="X188" i="5"/>
  <c r="R163" i="4"/>
  <c r="Z188" i="5"/>
  <c r="AI163" i="4"/>
  <c r="T163" i="4" a="1"/>
  <c r="T163" i="4"/>
  <c r="AC188" i="5"/>
  <c r="AD188" i="5"/>
  <c r="X163" i="4"/>
  <c r="AI188" i="5"/>
  <c r="Y163" i="4"/>
  <c r="AJ188" i="5"/>
  <c r="Z163" i="4"/>
  <c r="AL188" i="5"/>
  <c r="R188" i="5"/>
  <c r="T188" i="5"/>
  <c r="F188" i="5"/>
  <c r="H188" i="5"/>
  <c r="I188" i="5"/>
  <c r="AN188" i="5"/>
  <c r="AG189" i="5"/>
  <c r="AF189" i="5"/>
  <c r="B164" i="4"/>
  <c r="C164" i="4"/>
  <c r="C189" i="5"/>
  <c r="D164" i="4"/>
  <c r="E189" i="5"/>
  <c r="K189" i="5"/>
  <c r="L164" i="4"/>
  <c r="Q189" i="5"/>
  <c r="M164" i="4"/>
  <c r="R189" i="5"/>
  <c r="T189" i="5"/>
  <c r="O164" i="4"/>
  <c r="U189" i="5"/>
  <c r="P164" i="4"/>
  <c r="W189" i="5"/>
  <c r="Q164" i="4"/>
  <c r="X189" i="5"/>
  <c r="S164" i="4"/>
  <c r="AA189" i="5"/>
  <c r="AI164" i="4"/>
  <c r="T164" i="4" a="1"/>
  <c r="T164" i="4"/>
  <c r="AC189" i="5"/>
  <c r="U164" i="4" a="1"/>
  <c r="U164" i="4"/>
  <c r="AD189" i="5"/>
  <c r="X164" i="4"/>
  <c r="AI189" i="5"/>
  <c r="Y164" i="4"/>
  <c r="AJ189" i="5"/>
  <c r="Z164" i="4"/>
  <c r="AL189" i="5"/>
  <c r="F189" i="5"/>
  <c r="H189" i="5"/>
  <c r="I189" i="5"/>
  <c r="L189" i="5"/>
  <c r="N189" i="5"/>
  <c r="O189" i="5"/>
  <c r="Z189" i="5"/>
  <c r="AN189" i="5"/>
  <c r="AG190" i="5"/>
  <c r="AF190" i="5"/>
  <c r="B165" i="4"/>
  <c r="C165" i="4"/>
  <c r="C190" i="5"/>
  <c r="D165" i="4"/>
  <c r="E190" i="5"/>
  <c r="H165" i="4"/>
  <c r="K190" i="5"/>
  <c r="L165" i="4"/>
  <c r="Q190" i="5"/>
  <c r="R190" i="5"/>
  <c r="T190" i="5"/>
  <c r="O165" i="4"/>
  <c r="U190" i="5"/>
  <c r="P165" i="4"/>
  <c r="W190" i="5"/>
  <c r="Q165" i="4"/>
  <c r="X190" i="5"/>
  <c r="AA190" i="5"/>
  <c r="AI165" i="4"/>
  <c r="T165" i="4" a="1"/>
  <c r="T165" i="4"/>
  <c r="AC190" i="5"/>
  <c r="U165" i="4" a="1"/>
  <c r="U165" i="4"/>
  <c r="AD190" i="5"/>
  <c r="X165" i="4"/>
  <c r="AI190" i="5"/>
  <c r="Y165" i="4"/>
  <c r="AJ190" i="5"/>
  <c r="Z165" i="4"/>
  <c r="AL190" i="5"/>
  <c r="F190" i="5"/>
  <c r="H190" i="5"/>
  <c r="I190" i="5"/>
  <c r="L190" i="5"/>
  <c r="N190" i="5"/>
  <c r="O190" i="5"/>
  <c r="Z190" i="5"/>
  <c r="AN190" i="5"/>
  <c r="AG191" i="5"/>
  <c r="AF191" i="5"/>
  <c r="B166" i="4"/>
  <c r="C166" i="4"/>
  <c r="C191" i="5"/>
  <c r="D166" i="4"/>
  <c r="E191" i="5"/>
  <c r="H166" i="4"/>
  <c r="K191" i="5"/>
  <c r="L166" i="4"/>
  <c r="Q191" i="5"/>
  <c r="M166" i="4"/>
  <c r="R191" i="5"/>
  <c r="T191" i="5"/>
  <c r="O166" i="4"/>
  <c r="U191" i="5"/>
  <c r="P166" i="4"/>
  <c r="W191" i="5"/>
  <c r="Q166" i="4"/>
  <c r="X191" i="5"/>
  <c r="AA191" i="5"/>
  <c r="AI166" i="4"/>
  <c r="T166" i="4" a="1"/>
  <c r="T166" i="4"/>
  <c r="AC191" i="5"/>
  <c r="U166" i="4" a="1"/>
  <c r="U166" i="4"/>
  <c r="AD191" i="5"/>
  <c r="X166" i="4"/>
  <c r="AI191" i="5"/>
  <c r="Y166" i="4"/>
  <c r="AJ191" i="5"/>
  <c r="Z166" i="4"/>
  <c r="AL191" i="5"/>
  <c r="F191" i="5"/>
  <c r="H191" i="5"/>
  <c r="I191" i="5"/>
  <c r="L191" i="5"/>
  <c r="N191" i="5"/>
  <c r="O191" i="5"/>
  <c r="Z191" i="5"/>
  <c r="AN191" i="5"/>
  <c r="AG192" i="5"/>
  <c r="AF192" i="5"/>
  <c r="B167" i="4"/>
  <c r="C167" i="4"/>
  <c r="C192" i="5"/>
  <c r="D167" i="4"/>
  <c r="E192" i="5"/>
  <c r="H167" i="4"/>
  <c r="K192" i="5"/>
  <c r="L167" i="4"/>
  <c r="Q192" i="5"/>
  <c r="M167" i="4"/>
  <c r="R192" i="5"/>
  <c r="T192" i="5"/>
  <c r="O167" i="4"/>
  <c r="U192" i="5"/>
  <c r="P167" i="4"/>
  <c r="W192" i="5"/>
  <c r="Q167" i="4"/>
  <c r="X192" i="5"/>
  <c r="AA192" i="5"/>
  <c r="AI167" i="4"/>
  <c r="T167" i="4" a="1"/>
  <c r="T167" i="4"/>
  <c r="AC192" i="5"/>
  <c r="U167" i="4" a="1"/>
  <c r="U167" i="4"/>
  <c r="AD192" i="5"/>
  <c r="X167" i="4"/>
  <c r="AI192" i="5"/>
  <c r="Y167" i="4"/>
  <c r="AJ192" i="5"/>
  <c r="Z167" i="4"/>
  <c r="AL192" i="5"/>
  <c r="F192" i="5"/>
  <c r="H192" i="5"/>
  <c r="I192" i="5"/>
  <c r="L192" i="5"/>
  <c r="N192" i="5"/>
  <c r="O192" i="5"/>
  <c r="Z192" i="5"/>
  <c r="AN192" i="5"/>
  <c r="AG193" i="5"/>
  <c r="AF193" i="5"/>
  <c r="B171" i="4"/>
  <c r="C171" i="4"/>
  <c r="C193" i="5"/>
  <c r="D171" i="4"/>
  <c r="E193" i="5"/>
  <c r="H171" i="4"/>
  <c r="K193" i="5"/>
  <c r="L171" i="4"/>
  <c r="Q193" i="5"/>
  <c r="M171" i="4"/>
  <c r="R193" i="5"/>
  <c r="T193" i="5"/>
  <c r="U193" i="5"/>
  <c r="P171" i="4"/>
  <c r="W193" i="5"/>
  <c r="Q171" i="4"/>
  <c r="X193" i="5"/>
  <c r="S171" i="4"/>
  <c r="AA193" i="5"/>
  <c r="AI171" i="4"/>
  <c r="T171" i="4" a="1"/>
  <c r="T171" i="4"/>
  <c r="AC193" i="5"/>
  <c r="U171" i="4" a="1"/>
  <c r="U171" i="4"/>
  <c r="AD193" i="5"/>
  <c r="X171" i="4"/>
  <c r="AI193" i="5"/>
  <c r="Y171" i="4"/>
  <c r="AJ193" i="5"/>
  <c r="Z171" i="4"/>
  <c r="AL193" i="5"/>
  <c r="F193" i="5"/>
  <c r="H193" i="5"/>
  <c r="I193" i="5"/>
  <c r="L193" i="5"/>
  <c r="N193" i="5"/>
  <c r="O193" i="5"/>
  <c r="Z193" i="5"/>
  <c r="AN193" i="5"/>
  <c r="AG194" i="5"/>
  <c r="AF194" i="5"/>
  <c r="B172" i="4"/>
  <c r="C172" i="4"/>
  <c r="C194" i="5"/>
  <c r="D172" i="4"/>
  <c r="E194" i="5"/>
  <c r="K194" i="5"/>
  <c r="L172" i="4"/>
  <c r="Q194" i="5"/>
  <c r="M172" i="4"/>
  <c r="R194" i="5"/>
  <c r="T194" i="5"/>
  <c r="O172" i="4"/>
  <c r="U194" i="5"/>
  <c r="P172" i="4"/>
  <c r="W194" i="5"/>
  <c r="Q172" i="4"/>
  <c r="X194" i="5"/>
  <c r="S172" i="4"/>
  <c r="AA194" i="5"/>
  <c r="AI172" i="4"/>
  <c r="T172" i="4" a="1"/>
  <c r="T172" i="4"/>
  <c r="AC194" i="5"/>
  <c r="U172" i="4" a="1"/>
  <c r="U172" i="4"/>
  <c r="AD194" i="5"/>
  <c r="X172" i="4"/>
  <c r="AI194" i="5"/>
  <c r="Y172" i="4"/>
  <c r="AJ194" i="5"/>
  <c r="Z172" i="4"/>
  <c r="AL194" i="5"/>
  <c r="F194" i="5"/>
  <c r="H194" i="5"/>
  <c r="I194" i="5"/>
  <c r="L194" i="5"/>
  <c r="N194" i="5"/>
  <c r="O194" i="5"/>
  <c r="Z194" i="5"/>
  <c r="AN194" i="5"/>
  <c r="AG195" i="5"/>
  <c r="AF195" i="5"/>
  <c r="B173" i="4"/>
  <c r="C173" i="4"/>
  <c r="C195" i="5"/>
  <c r="D173" i="4"/>
  <c r="E195" i="5"/>
  <c r="K195" i="5"/>
  <c r="L173" i="4"/>
  <c r="Q195" i="5"/>
  <c r="M173" i="4"/>
  <c r="R195" i="5"/>
  <c r="T195" i="5"/>
  <c r="O173" i="4"/>
  <c r="U195" i="5"/>
  <c r="P173" i="4"/>
  <c r="W195" i="5"/>
  <c r="Q173" i="4"/>
  <c r="X195" i="5"/>
  <c r="S173" i="4"/>
  <c r="AA195" i="5"/>
  <c r="AI173" i="4"/>
  <c r="T173" i="4" a="1"/>
  <c r="T173" i="4"/>
  <c r="AC195" i="5"/>
  <c r="U173" i="4" a="1"/>
  <c r="U173" i="4"/>
  <c r="AD195" i="5"/>
  <c r="X173" i="4"/>
  <c r="AI195" i="5"/>
  <c r="Y173" i="4"/>
  <c r="AJ195" i="5"/>
  <c r="Z173" i="4"/>
  <c r="AL195" i="5"/>
  <c r="F195" i="5"/>
  <c r="H195" i="5"/>
  <c r="I195" i="5"/>
  <c r="L195" i="5"/>
  <c r="N195" i="5"/>
  <c r="O195" i="5"/>
  <c r="Z195" i="5"/>
  <c r="AN195" i="5"/>
  <c r="AG196" i="5"/>
  <c r="AF196" i="5"/>
  <c r="C286" i="4"/>
  <c r="C196" i="5"/>
  <c r="D286" i="4"/>
  <c r="E196" i="5"/>
  <c r="H286" i="4"/>
  <c r="K196" i="5"/>
  <c r="L286" i="4"/>
  <c r="Q196" i="5"/>
  <c r="M286" i="4"/>
  <c r="R196" i="5"/>
  <c r="T196" i="5"/>
  <c r="O286" i="4"/>
  <c r="U196" i="5"/>
  <c r="P286" i="4"/>
  <c r="W196" i="5"/>
  <c r="Q286" i="4"/>
  <c r="X196" i="5"/>
  <c r="S286" i="4"/>
  <c r="AA196" i="5"/>
  <c r="AI286" i="4"/>
  <c r="T286" i="4" a="1"/>
  <c r="T286" i="4"/>
  <c r="AC196" i="5"/>
  <c r="U286" i="4" a="1"/>
  <c r="U286" i="4"/>
  <c r="AD196" i="5"/>
  <c r="X286" i="4"/>
  <c r="AI196" i="5"/>
  <c r="Y286" i="4"/>
  <c r="AJ196" i="5"/>
  <c r="Z286" i="4"/>
  <c r="AL196" i="5"/>
  <c r="F196" i="5"/>
  <c r="H196" i="5"/>
  <c r="I196" i="5"/>
  <c r="L196" i="5"/>
  <c r="N196" i="5"/>
  <c r="O196" i="5"/>
  <c r="Z196" i="5"/>
  <c r="AN196" i="5"/>
  <c r="AG197" i="5"/>
  <c r="AF197" i="5"/>
  <c r="C287" i="4"/>
  <c r="C197" i="5"/>
  <c r="D287" i="4"/>
  <c r="E197" i="5"/>
  <c r="H287" i="4"/>
  <c r="K197" i="5"/>
  <c r="I287" i="4"/>
  <c r="L197" i="5"/>
  <c r="J287" i="4"/>
  <c r="N197" i="5"/>
  <c r="O197" i="5"/>
  <c r="L287" i="4"/>
  <c r="Q197" i="5"/>
  <c r="M287" i="4"/>
  <c r="R197" i="5"/>
  <c r="T197" i="5"/>
  <c r="O287" i="4"/>
  <c r="U197" i="5"/>
  <c r="P287" i="4"/>
  <c r="W197" i="5"/>
  <c r="Q287" i="4"/>
  <c r="X197" i="5"/>
  <c r="S287" i="4"/>
  <c r="AA197" i="5"/>
  <c r="AI287" i="4"/>
  <c r="T287" i="4" a="1"/>
  <c r="T287" i="4"/>
  <c r="AC197" i="5"/>
  <c r="U287" i="4" a="1"/>
  <c r="U287" i="4"/>
  <c r="AD197" i="5"/>
  <c r="X287" i="4"/>
  <c r="AI197" i="5"/>
  <c r="Y287" i="4"/>
  <c r="AJ197" i="5"/>
  <c r="Z287" i="4"/>
  <c r="AL197" i="5"/>
  <c r="F197" i="5"/>
  <c r="H197" i="5"/>
  <c r="I197" i="5"/>
  <c r="Z197" i="5"/>
  <c r="AN197" i="5"/>
  <c r="AG198" i="5"/>
  <c r="AF198" i="5"/>
  <c r="C269" i="4"/>
  <c r="C198" i="5"/>
  <c r="D269" i="4"/>
  <c r="E198" i="5"/>
  <c r="E269" i="4"/>
  <c r="F198" i="5"/>
  <c r="F269" i="4"/>
  <c r="H198" i="5"/>
  <c r="I198" i="5"/>
  <c r="H269" i="4"/>
  <c r="K198" i="5"/>
  <c r="L269" i="4"/>
  <c r="Q198" i="5"/>
  <c r="M269" i="4"/>
  <c r="R198" i="5"/>
  <c r="T198" i="5"/>
  <c r="O269" i="4"/>
  <c r="U198" i="5"/>
  <c r="P269" i="4"/>
  <c r="W198" i="5"/>
  <c r="Q269" i="4"/>
  <c r="X198" i="5"/>
  <c r="S269" i="4"/>
  <c r="AA198" i="5"/>
  <c r="AI269" i="4"/>
  <c r="T269" i="4" a="1"/>
  <c r="T269" i="4"/>
  <c r="AC198" i="5"/>
  <c r="U269" i="4" a="1"/>
  <c r="U269" i="4"/>
  <c r="AD198" i="5"/>
  <c r="X269" i="4"/>
  <c r="AI198" i="5"/>
  <c r="Y269" i="4"/>
  <c r="AJ198" i="5"/>
  <c r="Z269" i="4"/>
  <c r="AL198" i="5"/>
  <c r="L198" i="5"/>
  <c r="N198" i="5"/>
  <c r="O198" i="5"/>
  <c r="Z198" i="5"/>
  <c r="AN198" i="5"/>
  <c r="AG199" i="5"/>
  <c r="AF199" i="5"/>
  <c r="B182" i="4"/>
  <c r="C182" i="4"/>
  <c r="C199" i="5"/>
  <c r="E199" i="5"/>
  <c r="F199" i="5"/>
  <c r="H199" i="5"/>
  <c r="I199" i="5"/>
  <c r="H182" i="4"/>
  <c r="K199" i="5"/>
  <c r="L182" i="4"/>
  <c r="Q199" i="5"/>
  <c r="M182" i="4"/>
  <c r="R199" i="5"/>
  <c r="T199" i="5"/>
  <c r="O182" i="4"/>
  <c r="U199" i="5"/>
  <c r="P182" i="4"/>
  <c r="W199" i="5"/>
  <c r="Q182" i="4"/>
  <c r="X199" i="5"/>
  <c r="S182" i="4"/>
  <c r="AA199" i="5"/>
  <c r="AI182" i="4"/>
  <c r="T182" i="4" a="1"/>
  <c r="T182" i="4"/>
  <c r="AC199" i="5"/>
  <c r="U182" i="4" a="1"/>
  <c r="U182" i="4"/>
  <c r="AD199" i="5"/>
  <c r="X182" i="4"/>
  <c r="AI199" i="5"/>
  <c r="Y182" i="4"/>
  <c r="AJ199" i="5"/>
  <c r="Z182" i="4"/>
  <c r="AL199" i="5"/>
  <c r="L199" i="5"/>
  <c r="N199" i="5"/>
  <c r="O199" i="5"/>
  <c r="Z199" i="5"/>
  <c r="AN199" i="5"/>
  <c r="AG200" i="5"/>
  <c r="AF200" i="5"/>
  <c r="B184" i="4"/>
  <c r="C184" i="4"/>
  <c r="C200" i="5"/>
  <c r="D184" i="4"/>
  <c r="E200" i="5"/>
  <c r="L184" i="4"/>
  <c r="Q200" i="5"/>
  <c r="M184" i="4"/>
  <c r="R200" i="5"/>
  <c r="T200" i="5"/>
  <c r="O184" i="4"/>
  <c r="U200" i="5"/>
  <c r="P184" i="4"/>
  <c r="W200" i="5"/>
  <c r="Q184" i="4"/>
  <c r="X200" i="5"/>
  <c r="S184" i="4"/>
  <c r="AA200" i="5"/>
  <c r="AI184" i="4"/>
  <c r="T184" i="4" a="1"/>
  <c r="T184" i="4"/>
  <c r="AC200" i="5"/>
  <c r="U184" i="4" a="1"/>
  <c r="U184" i="4"/>
  <c r="AD200" i="5"/>
  <c r="X184" i="4"/>
  <c r="AI200" i="5"/>
  <c r="Y184" i="4"/>
  <c r="AJ200" i="5"/>
  <c r="Z184" i="4"/>
  <c r="AL200" i="5"/>
  <c r="L200" i="5"/>
  <c r="N200" i="5"/>
  <c r="O200" i="5"/>
  <c r="F200" i="5"/>
  <c r="H200" i="5"/>
  <c r="I200" i="5"/>
  <c r="Z200" i="5"/>
  <c r="AN200" i="5"/>
  <c r="AG201" i="5"/>
  <c r="AF201" i="5"/>
  <c r="B186" i="4"/>
  <c r="C186" i="4"/>
  <c r="C201" i="5"/>
  <c r="D186" i="4"/>
  <c r="E201" i="5"/>
  <c r="K201" i="5"/>
  <c r="L186" i="4"/>
  <c r="Q201" i="5"/>
  <c r="M186" i="4"/>
  <c r="R201" i="5"/>
  <c r="N35" i="2"/>
  <c r="N186" i="4"/>
  <c r="T201" i="5"/>
  <c r="O186" i="4"/>
  <c r="U201" i="5"/>
  <c r="P186" i="4"/>
  <c r="W201" i="5"/>
  <c r="Q186" i="4"/>
  <c r="X201" i="5"/>
  <c r="S186" i="4"/>
  <c r="AA201" i="5"/>
  <c r="AI186" i="4"/>
  <c r="T186" i="4" a="1"/>
  <c r="T186" i="4"/>
  <c r="AC201" i="5"/>
  <c r="U186" i="4" a="1"/>
  <c r="U186" i="4"/>
  <c r="AD201" i="5"/>
  <c r="X186" i="4"/>
  <c r="AI201" i="5"/>
  <c r="Y186" i="4"/>
  <c r="AJ201" i="5"/>
  <c r="Z186" i="4"/>
  <c r="AL201" i="5"/>
  <c r="L201" i="5"/>
  <c r="N201" i="5"/>
  <c r="O201" i="5"/>
  <c r="F201" i="5"/>
  <c r="H201" i="5"/>
  <c r="I201" i="5"/>
  <c r="Z201" i="5"/>
  <c r="AN201" i="5"/>
  <c r="AG202" i="5"/>
  <c r="AF202" i="5"/>
  <c r="B187" i="4"/>
  <c r="C187" i="4"/>
  <c r="C202" i="5"/>
  <c r="D187" i="4"/>
  <c r="E202" i="5"/>
  <c r="K202" i="5"/>
  <c r="I35" i="2"/>
  <c r="I187" i="4"/>
  <c r="L202" i="5"/>
  <c r="J35" i="2"/>
  <c r="J187" i="4"/>
  <c r="N202" i="5"/>
  <c r="O202" i="5"/>
  <c r="L187" i="4"/>
  <c r="Q202" i="5"/>
  <c r="M187" i="4"/>
  <c r="R202" i="5"/>
  <c r="N187" i="4"/>
  <c r="T202" i="5"/>
  <c r="O187" i="4"/>
  <c r="U202" i="5"/>
  <c r="P187" i="4"/>
  <c r="W202" i="5"/>
  <c r="Q187" i="4"/>
  <c r="X202" i="5"/>
  <c r="S187" i="4"/>
  <c r="AA202" i="5"/>
  <c r="AI187" i="4"/>
  <c r="T187" i="4" a="1"/>
  <c r="T187" i="4"/>
  <c r="AC202" i="5"/>
  <c r="U187" i="4" a="1"/>
  <c r="U187" i="4"/>
  <c r="AD202" i="5"/>
  <c r="X187" i="4"/>
  <c r="AI202" i="5"/>
  <c r="Y187" i="4"/>
  <c r="AJ202" i="5"/>
  <c r="Z187" i="4"/>
  <c r="AL202" i="5"/>
  <c r="F202" i="5"/>
  <c r="H202" i="5"/>
  <c r="I202" i="5"/>
  <c r="Z202" i="5"/>
  <c r="AN202" i="5"/>
  <c r="AG203" i="5"/>
  <c r="AF203" i="5"/>
  <c r="B188" i="4"/>
  <c r="C188" i="4"/>
  <c r="C203" i="5"/>
  <c r="D188" i="4"/>
  <c r="E203" i="5"/>
  <c r="K203" i="5"/>
  <c r="L188" i="4"/>
  <c r="Q203" i="5"/>
  <c r="M188" i="4"/>
  <c r="R203" i="5"/>
  <c r="N188" i="4"/>
  <c r="T203" i="5"/>
  <c r="O188" i="4"/>
  <c r="U203" i="5"/>
  <c r="P188" i="4"/>
  <c r="W203" i="5"/>
  <c r="Q188" i="4"/>
  <c r="X203" i="5"/>
  <c r="S188" i="4"/>
  <c r="AA203" i="5"/>
  <c r="AI188" i="4"/>
  <c r="T188" i="4" a="1"/>
  <c r="T188" i="4"/>
  <c r="AC203" i="5"/>
  <c r="U188" i="4" a="1"/>
  <c r="U188" i="4"/>
  <c r="AD203" i="5"/>
  <c r="X188" i="4"/>
  <c r="AI203" i="5"/>
  <c r="Y188" i="4"/>
  <c r="AJ203" i="5"/>
  <c r="Z188" i="4"/>
  <c r="AL203" i="5"/>
  <c r="L203" i="5"/>
  <c r="N203" i="5"/>
  <c r="O203" i="5"/>
  <c r="F203" i="5"/>
  <c r="H203" i="5"/>
  <c r="I203" i="5"/>
  <c r="Z203" i="5"/>
  <c r="AN203" i="5"/>
  <c r="AG204" i="5"/>
  <c r="AF204" i="5"/>
  <c r="B189" i="4"/>
  <c r="C189" i="4"/>
  <c r="C204" i="5"/>
  <c r="D189" i="4"/>
  <c r="E204" i="5"/>
  <c r="K204" i="5"/>
  <c r="L189" i="4"/>
  <c r="Q204" i="5"/>
  <c r="M189" i="4"/>
  <c r="R204" i="5"/>
  <c r="T204" i="5"/>
  <c r="U204" i="5"/>
  <c r="P189" i="4"/>
  <c r="W204" i="5"/>
  <c r="Q189" i="4"/>
  <c r="X204" i="5"/>
  <c r="S189" i="4"/>
  <c r="AA204" i="5"/>
  <c r="AI189" i="4"/>
  <c r="T189" i="4" a="1"/>
  <c r="T189" i="4"/>
  <c r="AC204" i="5"/>
  <c r="U189" i="4" a="1"/>
  <c r="U189" i="4"/>
  <c r="AD204" i="5"/>
  <c r="X189" i="4"/>
  <c r="AI204" i="5"/>
  <c r="Y189" i="4"/>
  <c r="AJ204" i="5"/>
  <c r="Z189" i="4"/>
  <c r="AL204" i="5"/>
  <c r="L204" i="5"/>
  <c r="N204" i="5"/>
  <c r="O204" i="5"/>
  <c r="F204" i="5"/>
  <c r="H204" i="5"/>
  <c r="I204" i="5"/>
  <c r="Z204" i="5"/>
  <c r="AN204" i="5"/>
  <c r="AG205" i="5"/>
  <c r="AF205" i="5"/>
  <c r="B190" i="4"/>
  <c r="C190" i="4"/>
  <c r="C205" i="5"/>
  <c r="D190" i="4"/>
  <c r="E205" i="5"/>
  <c r="K205" i="5"/>
  <c r="I190" i="4"/>
  <c r="L205" i="5"/>
  <c r="J190" i="4"/>
  <c r="N205" i="5"/>
  <c r="O205" i="5"/>
  <c r="L190" i="4"/>
  <c r="Q205" i="5"/>
  <c r="M190" i="4"/>
  <c r="R205" i="5"/>
  <c r="N34" i="2"/>
  <c r="N190" i="4"/>
  <c r="T205" i="5"/>
  <c r="O190" i="4"/>
  <c r="U205" i="5"/>
  <c r="P190" i="4"/>
  <c r="W205" i="5"/>
  <c r="Q190" i="4"/>
  <c r="X205" i="5"/>
  <c r="S190" i="4"/>
  <c r="AA205" i="5"/>
  <c r="AI190" i="4"/>
  <c r="T190" i="4" a="1"/>
  <c r="T190" i="4"/>
  <c r="AC205" i="5"/>
  <c r="U190" i="4" a="1"/>
  <c r="U190" i="4"/>
  <c r="AD205" i="5"/>
  <c r="X190" i="4"/>
  <c r="AI205" i="5"/>
  <c r="Y190" i="4"/>
  <c r="AJ205" i="5"/>
  <c r="Z190" i="4"/>
  <c r="AL205" i="5"/>
  <c r="F205" i="5"/>
  <c r="H205" i="5"/>
  <c r="I205" i="5"/>
  <c r="Z205" i="5"/>
  <c r="AN205" i="5"/>
  <c r="AG206" i="5"/>
  <c r="AF206" i="5"/>
  <c r="C33" i="2"/>
  <c r="B191" i="4"/>
  <c r="C191" i="4"/>
  <c r="C206" i="5"/>
  <c r="D33" i="2"/>
  <c r="D191" i="4"/>
  <c r="E206" i="5"/>
  <c r="K206" i="5"/>
  <c r="L33" i="2"/>
  <c r="L191" i="4"/>
  <c r="Q206" i="5"/>
  <c r="M33" i="2"/>
  <c r="M191" i="4"/>
  <c r="R206" i="5"/>
  <c r="N33" i="2"/>
  <c r="N191" i="4"/>
  <c r="T206" i="5"/>
  <c r="O33" i="2"/>
  <c r="O191" i="4"/>
  <c r="U206" i="5"/>
  <c r="P33" i="2"/>
  <c r="P191" i="4"/>
  <c r="W206" i="5"/>
  <c r="Q33" i="2"/>
  <c r="Q191" i="4"/>
  <c r="X206" i="5"/>
  <c r="S33" i="2"/>
  <c r="S191" i="4"/>
  <c r="AA206" i="5"/>
  <c r="AI191" i="4"/>
  <c r="T191" i="4" a="1"/>
  <c r="T191" i="4"/>
  <c r="AC206" i="5"/>
  <c r="U191" i="4" a="1"/>
  <c r="U191" i="4"/>
  <c r="AD206" i="5"/>
  <c r="X33" i="2"/>
  <c r="X191" i="4"/>
  <c r="AI206" i="5"/>
  <c r="Y33" i="2"/>
  <c r="Y191" i="4"/>
  <c r="AJ206" i="5"/>
  <c r="Z33" i="2"/>
  <c r="Z191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195" i="4"/>
  <c r="C195" i="4"/>
  <c r="C207" i="5"/>
  <c r="D37" i="2"/>
  <c r="D195" i="4"/>
  <c r="E207" i="5"/>
  <c r="H37" i="2"/>
  <c r="H195" i="4"/>
  <c r="K207" i="5"/>
  <c r="I37" i="2"/>
  <c r="I195" i="4"/>
  <c r="L207" i="5"/>
  <c r="J37" i="2"/>
  <c r="J195" i="4"/>
  <c r="N207" i="5"/>
  <c r="O207" i="5"/>
  <c r="L37" i="2"/>
  <c r="L195" i="4"/>
  <c r="Q207" i="5"/>
  <c r="M37" i="2"/>
  <c r="M195" i="4"/>
  <c r="R207" i="5"/>
  <c r="N37" i="2"/>
  <c r="N195" i="4"/>
  <c r="T207" i="5"/>
  <c r="O37" i="2"/>
  <c r="O195" i="4"/>
  <c r="U207" i="5"/>
  <c r="P37" i="2"/>
  <c r="P195" i="4"/>
  <c r="W207" i="5"/>
  <c r="Q37" i="2"/>
  <c r="Q195" i="4"/>
  <c r="X207" i="5"/>
  <c r="S37" i="2"/>
  <c r="S195" i="4"/>
  <c r="AA207" i="5"/>
  <c r="X37" i="2"/>
  <c r="X195" i="4"/>
  <c r="AI207" i="5"/>
  <c r="Y37" i="2"/>
  <c r="Y195" i="4"/>
  <c r="AJ207" i="5"/>
  <c r="Z37" i="2"/>
  <c r="Z195" i="4"/>
  <c r="AL207" i="5"/>
  <c r="F207" i="5"/>
  <c r="H207" i="5"/>
  <c r="I207" i="5"/>
  <c r="Z207" i="5"/>
  <c r="AN207" i="5"/>
  <c r="AG208" i="5"/>
  <c r="AF208" i="5"/>
  <c r="C200" i="4"/>
  <c r="C208" i="5"/>
  <c r="D200" i="4"/>
  <c r="E208" i="5"/>
  <c r="H200" i="4"/>
  <c r="K208" i="5"/>
  <c r="L200" i="4"/>
  <c r="Q208" i="5"/>
  <c r="M200" i="4"/>
  <c r="R208" i="5"/>
  <c r="T208" i="5"/>
  <c r="O200" i="4"/>
  <c r="U208" i="5"/>
  <c r="P200" i="4"/>
  <c r="W208" i="5"/>
  <c r="Q200" i="4"/>
  <c r="X208" i="5"/>
  <c r="S200" i="4"/>
  <c r="AA208" i="5"/>
  <c r="AI200" i="4"/>
  <c r="T200" i="4" a="1"/>
  <c r="T200" i="4"/>
  <c r="AC208" i="5"/>
  <c r="U200" i="4" a="1"/>
  <c r="U200" i="4"/>
  <c r="AD208" i="5"/>
  <c r="X200" i="4"/>
  <c r="AI208" i="5"/>
  <c r="Y200" i="4"/>
  <c r="AJ208" i="5"/>
  <c r="Z200" i="4"/>
  <c r="AL208" i="5"/>
  <c r="F208" i="5"/>
  <c r="H208" i="5"/>
  <c r="I208" i="5"/>
  <c r="L208" i="5"/>
  <c r="N208" i="5"/>
  <c r="O208" i="5"/>
  <c r="Z208" i="5"/>
  <c r="AN208" i="5"/>
  <c r="AG209" i="5"/>
  <c r="AF209" i="5"/>
  <c r="C201" i="4"/>
  <c r="C209" i="5"/>
  <c r="D201" i="4"/>
  <c r="E209" i="5"/>
  <c r="E201" i="4"/>
  <c r="F209" i="5"/>
  <c r="F201" i="4"/>
  <c r="H209" i="5"/>
  <c r="I209" i="5"/>
  <c r="H201" i="4"/>
  <c r="K209" i="5"/>
  <c r="L201" i="4"/>
  <c r="Q209" i="5"/>
  <c r="M201" i="4"/>
  <c r="R209" i="5"/>
  <c r="T209" i="5"/>
  <c r="O201" i="4"/>
  <c r="U209" i="5"/>
  <c r="P201" i="4"/>
  <c r="W209" i="5"/>
  <c r="Q201" i="4"/>
  <c r="X209" i="5"/>
  <c r="S201" i="4"/>
  <c r="AA209" i="5"/>
  <c r="AI201" i="4"/>
  <c r="T201" i="4" a="1"/>
  <c r="T201" i="4"/>
  <c r="AC209" i="5"/>
  <c r="U201" i="4" a="1"/>
  <c r="U201" i="4"/>
  <c r="AD209" i="5"/>
  <c r="X201" i="4"/>
  <c r="AI209" i="5"/>
  <c r="Y201" i="4"/>
  <c r="AJ209" i="5"/>
  <c r="Z201" i="4"/>
  <c r="AL209" i="5"/>
  <c r="L209" i="5"/>
  <c r="N209" i="5"/>
  <c r="O209" i="5"/>
  <c r="Z209" i="5"/>
  <c r="AN209" i="5"/>
  <c r="AG210" i="5"/>
  <c r="AF210" i="5"/>
  <c r="B203" i="4"/>
  <c r="C203" i="4"/>
  <c r="C210" i="5"/>
  <c r="D203" i="4"/>
  <c r="E210" i="5"/>
  <c r="E203" i="4"/>
  <c r="F210" i="5"/>
  <c r="F203" i="4"/>
  <c r="H210" i="5"/>
  <c r="I210" i="5"/>
  <c r="H203" i="4"/>
  <c r="K210" i="5"/>
  <c r="L203" i="4"/>
  <c r="Q210" i="5"/>
  <c r="M203" i="4"/>
  <c r="R210" i="5"/>
  <c r="N203" i="4"/>
  <c r="T210" i="5"/>
  <c r="O203" i="4"/>
  <c r="U210" i="5"/>
  <c r="P203" i="4"/>
  <c r="W210" i="5"/>
  <c r="Q203" i="4"/>
  <c r="X210" i="5"/>
  <c r="S203" i="4"/>
  <c r="AA210" i="5"/>
  <c r="AC210" i="5"/>
  <c r="AD210" i="5"/>
  <c r="X203" i="4"/>
  <c r="AI210" i="5"/>
  <c r="Y203" i="4"/>
  <c r="AJ210" i="5"/>
  <c r="Z203" i="4"/>
  <c r="AL210" i="5"/>
  <c r="L210" i="5"/>
  <c r="N210" i="5"/>
  <c r="O210" i="5"/>
  <c r="Z210" i="5"/>
  <c r="AN210" i="5"/>
  <c r="AG211" i="5"/>
  <c r="AF211" i="5"/>
  <c r="C204" i="4"/>
  <c r="C211" i="5"/>
  <c r="D204" i="4"/>
  <c r="E211" i="5"/>
  <c r="E204" i="4"/>
  <c r="F211" i="5"/>
  <c r="F204" i="4"/>
  <c r="H211" i="5"/>
  <c r="I211" i="5"/>
  <c r="H204" i="4"/>
  <c r="K211" i="5"/>
  <c r="L204" i="4"/>
  <c r="Q211" i="5"/>
  <c r="M204" i="4"/>
  <c r="R211" i="5"/>
  <c r="T211" i="5"/>
  <c r="O204" i="4"/>
  <c r="U211" i="5"/>
  <c r="P204" i="4"/>
  <c r="W211" i="5"/>
  <c r="Q204" i="4"/>
  <c r="X211" i="5"/>
  <c r="S204" i="4"/>
  <c r="AA211" i="5"/>
  <c r="AI204" i="4"/>
  <c r="T204" i="4" a="1"/>
  <c r="T204" i="4"/>
  <c r="AC211" i="5"/>
  <c r="U204" i="4" a="1"/>
  <c r="U204" i="4"/>
  <c r="AD211" i="5"/>
  <c r="X204" i="4"/>
  <c r="AI211" i="5"/>
  <c r="Y204" i="4"/>
  <c r="AJ211" i="5"/>
  <c r="Z204" i="4"/>
  <c r="AL211" i="5"/>
  <c r="L211" i="5"/>
  <c r="N211" i="5"/>
  <c r="O211" i="5"/>
  <c r="Z211" i="5"/>
  <c r="AN211" i="5"/>
  <c r="AG212" i="5"/>
  <c r="AF212" i="5"/>
  <c r="C205" i="4"/>
  <c r="C212" i="5"/>
  <c r="D205" i="4"/>
  <c r="E212" i="5"/>
  <c r="E205" i="4"/>
  <c r="F212" i="5"/>
  <c r="F205" i="4"/>
  <c r="H212" i="5"/>
  <c r="I212" i="5"/>
  <c r="H205" i="4"/>
  <c r="K212" i="5"/>
  <c r="L205" i="4"/>
  <c r="Q212" i="5"/>
  <c r="M205" i="4"/>
  <c r="R212" i="5"/>
  <c r="T212" i="5"/>
  <c r="U212" i="5"/>
  <c r="P205" i="4"/>
  <c r="W212" i="5"/>
  <c r="Q205" i="4"/>
  <c r="X212" i="5"/>
  <c r="S205" i="4"/>
  <c r="AA212" i="5"/>
  <c r="AI205" i="4"/>
  <c r="T205" i="4" a="1"/>
  <c r="T205" i="4"/>
  <c r="AC212" i="5"/>
  <c r="U205" i="4" a="1"/>
  <c r="U205" i="4"/>
  <c r="AD212" i="5"/>
  <c r="X205" i="4"/>
  <c r="AI212" i="5"/>
  <c r="Y205" i="4"/>
  <c r="AJ212" i="5"/>
  <c r="Z205" i="4"/>
  <c r="AL212" i="5"/>
  <c r="L212" i="5"/>
  <c r="N212" i="5"/>
  <c r="O212" i="5"/>
  <c r="Z212" i="5"/>
  <c r="AN212" i="5"/>
  <c r="AG213" i="5"/>
  <c r="AF213" i="5"/>
  <c r="B207" i="4"/>
  <c r="C207" i="4"/>
  <c r="C213" i="5"/>
  <c r="D207" i="4"/>
  <c r="E213" i="5"/>
  <c r="E207" i="4"/>
  <c r="F213" i="5"/>
  <c r="F207" i="4"/>
  <c r="H213" i="5"/>
  <c r="I213" i="5"/>
  <c r="H207" i="4"/>
  <c r="K213" i="5"/>
  <c r="L207" i="4"/>
  <c r="Q213" i="5"/>
  <c r="M207" i="4"/>
  <c r="R213" i="5"/>
  <c r="T213" i="5"/>
  <c r="O207" i="4"/>
  <c r="U213" i="5"/>
  <c r="P207" i="4"/>
  <c r="W213" i="5"/>
  <c r="Q207" i="4"/>
  <c r="X213" i="5"/>
  <c r="S207" i="4"/>
  <c r="AA213" i="5"/>
  <c r="AI207" i="4"/>
  <c r="T207" i="4" a="1"/>
  <c r="T207" i="4"/>
  <c r="AC213" i="5"/>
  <c r="U207" i="4" a="1"/>
  <c r="U207" i="4"/>
  <c r="AD213" i="5"/>
  <c r="X207" i="4"/>
  <c r="AI213" i="5"/>
  <c r="Y207" i="4"/>
  <c r="AJ213" i="5"/>
  <c r="Z207" i="4"/>
  <c r="AL213" i="5"/>
  <c r="L213" i="5"/>
  <c r="N213" i="5"/>
  <c r="O213" i="5"/>
  <c r="Z213" i="5"/>
  <c r="AN213" i="5"/>
  <c r="AG214" i="5"/>
  <c r="AF214" i="5"/>
  <c r="B270" i="4"/>
  <c r="C270" i="4"/>
  <c r="C214" i="5"/>
  <c r="D270" i="4"/>
  <c r="E214" i="5"/>
  <c r="E270" i="4"/>
  <c r="F214" i="5"/>
  <c r="F270" i="4"/>
  <c r="H214" i="5"/>
  <c r="I214" i="5"/>
  <c r="H270" i="4"/>
  <c r="K214" i="5"/>
  <c r="L270" i="4"/>
  <c r="Q214" i="5"/>
  <c r="M270" i="4"/>
  <c r="R214" i="5"/>
  <c r="T214" i="5"/>
  <c r="O270" i="4"/>
  <c r="U214" i="5"/>
  <c r="P270" i="4"/>
  <c r="W214" i="5"/>
  <c r="Q270" i="4"/>
  <c r="X214" i="5"/>
  <c r="S270" i="4"/>
  <c r="AA214" i="5"/>
  <c r="AI270" i="4"/>
  <c r="T270" i="4" a="1"/>
  <c r="T270" i="4"/>
  <c r="AC214" i="5"/>
  <c r="U270" i="4" a="1"/>
  <c r="U270" i="4"/>
  <c r="AD214" i="5"/>
  <c r="X270" i="4"/>
  <c r="AI214" i="5"/>
  <c r="Y270" i="4"/>
  <c r="AJ214" i="5"/>
  <c r="Z270" i="4"/>
  <c r="AL214" i="5"/>
  <c r="L214" i="5"/>
  <c r="N214" i="5"/>
  <c r="O214" i="5"/>
  <c r="Z214" i="5"/>
  <c r="AN214" i="5"/>
  <c r="O215" i="5"/>
  <c r="B31" i="4"/>
  <c r="H31" i="4"/>
  <c r="K215" i="5"/>
  <c r="AG215" i="5"/>
  <c r="AF215" i="5"/>
  <c r="C31" i="4"/>
  <c r="C215" i="5"/>
  <c r="D31" i="4"/>
  <c r="E215" i="5"/>
  <c r="E31" i="4"/>
  <c r="F215" i="5"/>
  <c r="F31" i="4"/>
  <c r="H215" i="5"/>
  <c r="I215" i="5"/>
  <c r="I31" i="4"/>
  <c r="L215" i="5"/>
  <c r="J31" i="4"/>
  <c r="N215" i="5"/>
  <c r="L31" i="4"/>
  <c r="Q215" i="5"/>
  <c r="M31" i="4"/>
  <c r="R215" i="5"/>
  <c r="N31" i="4"/>
  <c r="T215" i="5"/>
  <c r="O31" i="4"/>
  <c r="U215" i="5"/>
  <c r="P31" i="4"/>
  <c r="W215" i="5"/>
  <c r="Q31" i="4"/>
  <c r="X215" i="5"/>
  <c r="S31" i="4"/>
  <c r="AA215" i="5"/>
  <c r="AI31" i="4"/>
  <c r="T31" i="4" a="1"/>
  <c r="T31" i="4"/>
  <c r="AC215" i="5"/>
  <c r="U31" i="4" a="1"/>
  <c r="U31" i="4"/>
  <c r="AD215" i="5"/>
  <c r="X31" i="4"/>
  <c r="AI215" i="5"/>
  <c r="Y31" i="4"/>
  <c r="AJ215" i="5"/>
  <c r="Z31" i="4"/>
  <c r="AL215" i="5"/>
  <c r="Z215" i="5"/>
  <c r="AN215" i="5"/>
  <c r="O216" i="5"/>
  <c r="B32" i="4"/>
  <c r="H32" i="4"/>
  <c r="K216" i="5"/>
  <c r="AG216" i="5"/>
  <c r="AF216" i="5"/>
  <c r="C32" i="4"/>
  <c r="C216" i="5"/>
  <c r="D32" i="4"/>
  <c r="E216" i="5"/>
  <c r="E32" i="4"/>
  <c r="F216" i="5"/>
  <c r="F32" i="4"/>
  <c r="H216" i="5"/>
  <c r="I216" i="5"/>
  <c r="L32" i="4"/>
  <c r="Q216" i="5"/>
  <c r="M32" i="4"/>
  <c r="R216" i="5"/>
  <c r="T216" i="5"/>
  <c r="O32" i="4"/>
  <c r="U216" i="5"/>
  <c r="P32" i="4"/>
  <c r="W216" i="5"/>
  <c r="Q32" i="4"/>
  <c r="X216" i="5"/>
  <c r="S32" i="4"/>
  <c r="AA216" i="5"/>
  <c r="AI32" i="4"/>
  <c r="T32" i="4" a="1"/>
  <c r="T32" i="4"/>
  <c r="AC216" i="5"/>
  <c r="U32" i="4" a="1"/>
  <c r="U32" i="4"/>
  <c r="AD216" i="5"/>
  <c r="X32" i="4"/>
  <c r="AI216" i="5"/>
  <c r="Y32" i="4"/>
  <c r="AJ216" i="5"/>
  <c r="Z32" i="4"/>
  <c r="AL216" i="5"/>
  <c r="Z216" i="5"/>
  <c r="AN216" i="5"/>
  <c r="O217" i="5"/>
  <c r="B33" i="4"/>
  <c r="H33" i="4"/>
  <c r="K217" i="5"/>
  <c r="AG217" i="5"/>
  <c r="AF217" i="5"/>
  <c r="C33" i="4"/>
  <c r="C217" i="5"/>
  <c r="D33" i="4"/>
  <c r="E217" i="5"/>
  <c r="E33" i="4"/>
  <c r="F217" i="5"/>
  <c r="F33" i="4"/>
  <c r="H217" i="5"/>
  <c r="I217" i="5"/>
  <c r="I33" i="4"/>
  <c r="L217" i="5"/>
  <c r="J33" i="4"/>
  <c r="N217" i="5"/>
  <c r="L33" i="4"/>
  <c r="Q217" i="5"/>
  <c r="M33" i="4"/>
  <c r="R217" i="5"/>
  <c r="T217" i="5"/>
  <c r="O33" i="4"/>
  <c r="U217" i="5"/>
  <c r="P33" i="4"/>
  <c r="W217" i="5"/>
  <c r="Q33" i="4"/>
  <c r="X217" i="5"/>
  <c r="S33" i="4"/>
  <c r="AA217" i="5"/>
  <c r="AI33" i="4"/>
  <c r="T33" i="4" a="1"/>
  <c r="T33" i="4"/>
  <c r="AC217" i="5"/>
  <c r="U33" i="4" a="1"/>
  <c r="U33" i="4"/>
  <c r="AD217" i="5"/>
  <c r="X33" i="4"/>
  <c r="AI217" i="5"/>
  <c r="Y33" i="4"/>
  <c r="AJ217" i="5"/>
  <c r="Z33" i="4"/>
  <c r="AL217" i="5"/>
  <c r="Z217" i="5"/>
  <c r="AN217" i="5"/>
  <c r="AG218" i="5"/>
  <c r="AF218" i="5"/>
  <c r="B209" i="4"/>
  <c r="C209" i="4"/>
  <c r="C218" i="5"/>
  <c r="D209" i="4"/>
  <c r="E218" i="5"/>
  <c r="H209" i="4"/>
  <c r="K218" i="5"/>
  <c r="L209" i="4"/>
  <c r="Q218" i="5"/>
  <c r="M209" i="4"/>
  <c r="R218" i="5"/>
  <c r="N209" i="4"/>
  <c r="T218" i="5"/>
  <c r="O209" i="4"/>
  <c r="U218" i="5"/>
  <c r="P209" i="4"/>
  <c r="W218" i="5"/>
  <c r="Q209" i="4"/>
  <c r="X218" i="5"/>
  <c r="S209" i="4"/>
  <c r="AA218" i="5"/>
  <c r="AI209" i="4"/>
  <c r="T209" i="4" a="1"/>
  <c r="T209" i="4"/>
  <c r="AC218" i="5"/>
  <c r="U209" i="4" a="1"/>
  <c r="U209" i="4"/>
  <c r="AD218" i="5"/>
  <c r="X209" i="4"/>
  <c r="AI218" i="5"/>
  <c r="Y209" i="4"/>
  <c r="AJ218" i="5"/>
  <c r="Z209" i="4"/>
  <c r="AL218" i="5"/>
  <c r="F218" i="5"/>
  <c r="H218" i="5"/>
  <c r="I218" i="5"/>
  <c r="L218" i="5"/>
  <c r="N218" i="5"/>
  <c r="O218" i="5"/>
  <c r="Z218" i="5"/>
  <c r="AN218" i="5"/>
  <c r="AG219" i="5"/>
  <c r="AF219" i="5"/>
  <c r="B34" i="4"/>
  <c r="C34" i="4"/>
  <c r="C219" i="5"/>
  <c r="D34" i="4"/>
  <c r="E219" i="5"/>
  <c r="E34" i="4"/>
  <c r="F219" i="5"/>
  <c r="F34" i="4"/>
  <c r="H219" i="5"/>
  <c r="I219" i="5"/>
  <c r="H34" i="4"/>
  <c r="K219" i="5"/>
  <c r="L34" i="4"/>
  <c r="Q219" i="5"/>
  <c r="M34" i="4"/>
  <c r="R219" i="5"/>
  <c r="T219" i="5"/>
  <c r="O34" i="4"/>
  <c r="U219" i="5"/>
  <c r="P34" i="4"/>
  <c r="W219" i="5"/>
  <c r="Q34" i="4"/>
  <c r="X219" i="5"/>
  <c r="AA219" i="5"/>
  <c r="AI34" i="4"/>
  <c r="T34" i="4" a="1"/>
  <c r="T34" i="4"/>
  <c r="AC219" i="5"/>
  <c r="U34" i="4" a="1"/>
  <c r="U34" i="4"/>
  <c r="AD219" i="5"/>
  <c r="X34" i="4"/>
  <c r="AI219" i="5"/>
  <c r="L219" i="5"/>
  <c r="N219" i="5"/>
  <c r="O219" i="5"/>
  <c r="Z219" i="5"/>
  <c r="AN219" i="5"/>
  <c r="AG220" i="5"/>
  <c r="AF220" i="5"/>
  <c r="B35" i="4"/>
  <c r="C35" i="4"/>
  <c r="C220" i="5"/>
  <c r="D35" i="4"/>
  <c r="E220" i="5"/>
  <c r="E35" i="4"/>
  <c r="F220" i="5"/>
  <c r="F35" i="4"/>
  <c r="H220" i="5"/>
  <c r="I220" i="5"/>
  <c r="H35" i="4"/>
  <c r="K220" i="5"/>
  <c r="L35" i="4"/>
  <c r="Q220" i="5"/>
  <c r="M35" i="4"/>
  <c r="R220" i="5"/>
  <c r="T220" i="5"/>
  <c r="O35" i="4"/>
  <c r="U220" i="5"/>
  <c r="P35" i="4"/>
  <c r="W220" i="5"/>
  <c r="Q35" i="4"/>
  <c r="X220" i="5"/>
  <c r="S35" i="4"/>
  <c r="AA220" i="5"/>
  <c r="AI35" i="4"/>
  <c r="T35" i="4" a="1"/>
  <c r="T35" i="4"/>
  <c r="AC220" i="5"/>
  <c r="U35" i="4" a="1"/>
  <c r="U35" i="4"/>
  <c r="AD220" i="5"/>
  <c r="X35" i="4"/>
  <c r="AI220" i="5"/>
  <c r="Y35" i="4"/>
  <c r="AJ220" i="5"/>
  <c r="Z35" i="4"/>
  <c r="AL220" i="5"/>
  <c r="L220" i="5"/>
  <c r="N220" i="5"/>
  <c r="O220" i="5"/>
  <c r="Z220" i="5"/>
  <c r="AN220" i="5"/>
  <c r="O221" i="5"/>
  <c r="B297" i="4"/>
  <c r="H297" i="4"/>
  <c r="K221" i="5"/>
  <c r="AG221" i="5"/>
  <c r="AF221" i="5"/>
  <c r="C297" i="4"/>
  <c r="C221" i="5"/>
  <c r="D297" i="4"/>
  <c r="E221" i="5"/>
  <c r="E297" i="4"/>
  <c r="F221" i="5"/>
  <c r="F297" i="4"/>
  <c r="H221" i="5"/>
  <c r="I221" i="5"/>
  <c r="I15" i="2"/>
  <c r="I297" i="4"/>
  <c r="L221" i="5"/>
  <c r="J297" i="4"/>
  <c r="N221" i="5"/>
  <c r="L297" i="4"/>
  <c r="Q221" i="5"/>
  <c r="M297" i="4"/>
  <c r="R221" i="5"/>
  <c r="T221" i="5"/>
  <c r="O297" i="4"/>
  <c r="U221" i="5"/>
  <c r="P297" i="4"/>
  <c r="W221" i="5"/>
  <c r="Q297" i="4"/>
  <c r="X221" i="5"/>
  <c r="S297" i="4"/>
  <c r="AA221" i="5"/>
  <c r="AI297" i="4"/>
  <c r="T297" i="4" a="1"/>
  <c r="T297" i="4"/>
  <c r="AC221" i="5"/>
  <c r="U297" i="4" a="1"/>
  <c r="U297" i="4"/>
  <c r="AD221" i="5"/>
  <c r="X297" i="4"/>
  <c r="AI221" i="5"/>
  <c r="Y297" i="4"/>
  <c r="AJ221" i="5"/>
  <c r="Z297" i="4"/>
  <c r="AL221" i="5"/>
  <c r="Z221" i="5"/>
  <c r="AN221" i="5"/>
  <c r="AG222" i="5"/>
  <c r="AF222" i="5"/>
  <c r="B36" i="4"/>
  <c r="C36" i="4"/>
  <c r="C222" i="5"/>
  <c r="D36" i="4"/>
  <c r="E222" i="5"/>
  <c r="E36" i="4"/>
  <c r="F222" i="5"/>
  <c r="F36" i="4"/>
  <c r="H222" i="5"/>
  <c r="I222" i="5"/>
  <c r="H36" i="4"/>
  <c r="K222" i="5"/>
  <c r="L36" i="4"/>
  <c r="Q222" i="5"/>
  <c r="M36" i="4"/>
  <c r="R222" i="5"/>
  <c r="T222" i="5"/>
  <c r="O36" i="4"/>
  <c r="U222" i="5"/>
  <c r="P36" i="4"/>
  <c r="W222" i="5"/>
  <c r="Q36" i="4"/>
  <c r="X222" i="5"/>
  <c r="S36" i="4"/>
  <c r="AA222" i="5"/>
  <c r="AI36" i="4"/>
  <c r="T36" i="4" a="1"/>
  <c r="T36" i="4"/>
  <c r="AC222" i="5"/>
  <c r="U36" i="4" a="1"/>
  <c r="U36" i="4"/>
  <c r="AD222" i="5"/>
  <c r="AI222" i="5"/>
  <c r="Y36" i="4"/>
  <c r="AJ222" i="5"/>
  <c r="Z36" i="4"/>
  <c r="AL222" i="5"/>
  <c r="L222" i="5"/>
  <c r="N222" i="5"/>
  <c r="O222" i="5"/>
  <c r="Z222" i="5"/>
  <c r="AN222" i="5"/>
  <c r="AG223" i="5"/>
  <c r="AF223" i="5"/>
  <c r="B296" i="4"/>
  <c r="C296" i="4"/>
  <c r="C223" i="5"/>
  <c r="D296" i="4"/>
  <c r="E223" i="5"/>
  <c r="K223" i="5"/>
  <c r="L296" i="4"/>
  <c r="Q223" i="5"/>
  <c r="M21" i="2"/>
  <c r="M296" i="4"/>
  <c r="R223" i="5"/>
  <c r="T223" i="5"/>
  <c r="O296" i="4"/>
  <c r="U223" i="5"/>
  <c r="P296" i="4"/>
  <c r="W223" i="5"/>
  <c r="X223" i="5"/>
  <c r="S296" i="4"/>
  <c r="AA223" i="5"/>
  <c r="AI296" i="4"/>
  <c r="T296" i="4" a="1"/>
  <c r="T296" i="4"/>
  <c r="AC223" i="5"/>
  <c r="U296" i="4" a="1"/>
  <c r="U296" i="4"/>
  <c r="AD223" i="5"/>
  <c r="X296" i="4"/>
  <c r="AI223" i="5"/>
  <c r="Y296" i="4"/>
  <c r="AJ223" i="5"/>
  <c r="Z296" i="4"/>
  <c r="AL223" i="5"/>
  <c r="F223" i="5"/>
  <c r="H223" i="5"/>
  <c r="I223" i="5"/>
  <c r="L223" i="5"/>
  <c r="N223" i="5"/>
  <c r="O223" i="5"/>
  <c r="Z223" i="5"/>
  <c r="AN223" i="5"/>
  <c r="O224" i="5"/>
  <c r="B298" i="4"/>
  <c r="H298" i="4"/>
  <c r="K224" i="5"/>
  <c r="AG224" i="5"/>
  <c r="AF224" i="5"/>
  <c r="C298" i="4"/>
  <c r="C224" i="5"/>
  <c r="D298" i="4"/>
  <c r="E224" i="5"/>
  <c r="I298" i="4"/>
  <c r="L224" i="5"/>
  <c r="J298" i="4"/>
  <c r="N224" i="5"/>
  <c r="L298" i="4"/>
  <c r="Q224" i="5"/>
  <c r="M298" i="4"/>
  <c r="R224" i="5"/>
  <c r="T224" i="5"/>
  <c r="O298" i="4"/>
  <c r="U224" i="5"/>
  <c r="P298" i="4"/>
  <c r="W224" i="5"/>
  <c r="Q298" i="4"/>
  <c r="X224" i="5"/>
  <c r="AA224" i="5"/>
  <c r="AI298" i="4"/>
  <c r="T298" i="4" a="1"/>
  <c r="T298" i="4"/>
  <c r="AC224" i="5"/>
  <c r="U298" i="4" a="1"/>
  <c r="U298" i="4"/>
  <c r="AD224" i="5"/>
  <c r="X298" i="4"/>
  <c r="AI224" i="5"/>
  <c r="Y298" i="4"/>
  <c r="AJ224" i="5"/>
  <c r="Z298" i="4"/>
  <c r="AL224" i="5"/>
  <c r="F224" i="5"/>
  <c r="H224" i="5"/>
  <c r="I224" i="5"/>
  <c r="Z224" i="5"/>
  <c r="AN224" i="5"/>
  <c r="AG225" i="5"/>
  <c r="AF225" i="5"/>
  <c r="B293" i="4"/>
  <c r="C293" i="4"/>
  <c r="C225" i="5"/>
  <c r="D293" i="4"/>
  <c r="E225" i="5"/>
  <c r="E29" i="2"/>
  <c r="E293" i="4"/>
  <c r="F225" i="5"/>
  <c r="F29" i="2"/>
  <c r="F293" i="4"/>
  <c r="H225" i="5"/>
  <c r="I225" i="5"/>
  <c r="H293" i="4"/>
  <c r="K225" i="5"/>
  <c r="L293" i="4"/>
  <c r="Q225" i="5"/>
  <c r="M293" i="4"/>
  <c r="R225" i="5"/>
  <c r="T225" i="5"/>
  <c r="O293" i="4"/>
  <c r="U225" i="5"/>
  <c r="P293" i="4"/>
  <c r="W225" i="5"/>
  <c r="S293" i="4"/>
  <c r="AA225" i="5"/>
  <c r="AI293" i="4"/>
  <c r="T293" i="4" a="1"/>
  <c r="T293" i="4"/>
  <c r="AC225" i="5"/>
  <c r="U293" i="4" a="1"/>
  <c r="U293" i="4"/>
  <c r="AD225" i="5"/>
  <c r="X293" i="4"/>
  <c r="AI225" i="5"/>
  <c r="Y293" i="4"/>
  <c r="AJ225" i="5"/>
  <c r="Z293" i="4"/>
  <c r="AL225" i="5"/>
  <c r="L225" i="5"/>
  <c r="N225" i="5"/>
  <c r="O225" i="5"/>
  <c r="X225" i="5"/>
  <c r="Z225" i="5"/>
  <c r="AN225" i="5"/>
  <c r="O226" i="5"/>
  <c r="H280" i="4"/>
  <c r="K226" i="5"/>
  <c r="AG226" i="5"/>
  <c r="AF226" i="5"/>
  <c r="C280" i="4"/>
  <c r="C226" i="5"/>
  <c r="D280" i="4"/>
  <c r="E226" i="5"/>
  <c r="E280" i="4"/>
  <c r="F226" i="5"/>
  <c r="F280" i="4"/>
  <c r="H226" i="5"/>
  <c r="I226" i="5"/>
  <c r="I280" i="4"/>
  <c r="L226" i="5"/>
  <c r="J280" i="4"/>
  <c r="N226" i="5"/>
  <c r="L280" i="4"/>
  <c r="Q226" i="5"/>
  <c r="M280" i="4"/>
  <c r="R226" i="5"/>
  <c r="T226" i="5"/>
  <c r="U226" i="5"/>
  <c r="P280" i="4"/>
  <c r="W226" i="5"/>
  <c r="Q280" i="4"/>
  <c r="X226" i="5"/>
  <c r="R280" i="4"/>
  <c r="Z226" i="5"/>
  <c r="S280" i="4"/>
  <c r="AA226" i="5"/>
  <c r="AI280" i="4"/>
  <c r="T280" i="4" a="1"/>
  <c r="T280" i="4"/>
  <c r="AC226" i="5"/>
  <c r="U280" i="4" a="1"/>
  <c r="U280" i="4"/>
  <c r="AD226" i="5"/>
  <c r="X280" i="4"/>
  <c r="AI226" i="5"/>
  <c r="Y280" i="4"/>
  <c r="AJ226" i="5"/>
  <c r="Z280" i="4"/>
  <c r="AL226" i="5"/>
  <c r="AN226" i="5"/>
  <c r="AG227" i="5"/>
  <c r="AF227" i="5"/>
  <c r="B294" i="4"/>
  <c r="C294" i="4"/>
  <c r="C227" i="5"/>
  <c r="D294" i="4"/>
  <c r="E227" i="5"/>
  <c r="H294" i="4"/>
  <c r="K227" i="5"/>
  <c r="L294" i="4"/>
  <c r="Q227" i="5"/>
  <c r="M294" i="4"/>
  <c r="R227" i="5"/>
  <c r="T227" i="5"/>
  <c r="O294" i="4"/>
  <c r="U227" i="5"/>
  <c r="P294" i="4"/>
  <c r="W227" i="5"/>
  <c r="X227" i="5"/>
  <c r="AA227" i="5"/>
  <c r="AI294" i="4"/>
  <c r="T294" i="4" a="1"/>
  <c r="T294" i="4"/>
  <c r="AC227" i="5"/>
  <c r="U294" i="4" a="1"/>
  <c r="U294" i="4"/>
  <c r="AD227" i="5"/>
  <c r="AI227" i="5"/>
  <c r="Y294" i="4"/>
  <c r="AJ227" i="5"/>
  <c r="Z29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71" i="4"/>
  <c r="C271" i="4"/>
  <c r="C228" i="5"/>
  <c r="D271" i="4"/>
  <c r="E228" i="5"/>
  <c r="E271" i="4"/>
  <c r="F228" i="5"/>
  <c r="F271" i="4"/>
  <c r="H228" i="5"/>
  <c r="I228" i="5"/>
  <c r="I19" i="2"/>
  <c r="I271" i="4"/>
  <c r="L228" i="5"/>
  <c r="J19" i="2"/>
  <c r="J271" i="4"/>
  <c r="N228" i="5"/>
  <c r="L271" i="4"/>
  <c r="Q228" i="5"/>
  <c r="M271" i="4"/>
  <c r="R228" i="5"/>
  <c r="T228" i="5"/>
  <c r="O271" i="4"/>
  <c r="U228" i="5"/>
  <c r="P271" i="4"/>
  <c r="W228" i="5"/>
  <c r="Q271" i="4"/>
  <c r="X228" i="5"/>
  <c r="S271" i="4"/>
  <c r="AA228" i="5"/>
  <c r="AI271" i="4"/>
  <c r="T271" i="4" a="1"/>
  <c r="T271" i="4"/>
  <c r="AC228" i="5"/>
  <c r="U271" i="4" a="1"/>
  <c r="U271" i="4"/>
  <c r="AD228" i="5"/>
  <c r="AI228" i="5"/>
  <c r="Y271" i="4"/>
  <c r="AJ228" i="5"/>
  <c r="Z271" i="4"/>
  <c r="AL228" i="5"/>
  <c r="Z228" i="5"/>
  <c r="AN228" i="5"/>
  <c r="AG229" i="5"/>
  <c r="AF229" i="5"/>
  <c r="B214" i="4"/>
  <c r="C214" i="4"/>
  <c r="C229" i="5"/>
  <c r="D214" i="4"/>
  <c r="E229" i="5"/>
  <c r="E214" i="4"/>
  <c r="F229" i="5"/>
  <c r="F214" i="4"/>
  <c r="H229" i="5"/>
  <c r="I229" i="5"/>
  <c r="H214" i="4"/>
  <c r="K229" i="5"/>
  <c r="L214" i="4"/>
  <c r="Q229" i="5"/>
  <c r="M214" i="4"/>
  <c r="R229" i="5"/>
  <c r="T229" i="5"/>
  <c r="O214" i="4"/>
  <c r="U229" i="5"/>
  <c r="P214" i="4"/>
  <c r="W229" i="5"/>
  <c r="Q214" i="4"/>
  <c r="X229" i="5"/>
  <c r="S214" i="4"/>
  <c r="AA229" i="5"/>
  <c r="AI214" i="4"/>
  <c r="T214" i="4" a="1"/>
  <c r="T214" i="4"/>
  <c r="AC229" i="5"/>
  <c r="U214" i="4" a="1"/>
  <c r="U214" i="4"/>
  <c r="AD229" i="5"/>
  <c r="X214" i="4"/>
  <c r="AI229" i="5"/>
  <c r="Y214" i="4"/>
  <c r="AJ229" i="5"/>
  <c r="Z214" i="4"/>
  <c r="AL229" i="5"/>
  <c r="L229" i="5"/>
  <c r="N229" i="5"/>
  <c r="O229" i="5"/>
  <c r="Z229" i="5"/>
  <c r="AN229" i="5"/>
  <c r="AG230" i="5"/>
  <c r="AF230" i="5"/>
  <c r="C281" i="4"/>
  <c r="C230" i="5"/>
  <c r="E24" i="2"/>
  <c r="F24" i="2"/>
  <c r="T230" i="5"/>
  <c r="U230" i="5"/>
  <c r="P281" i="4"/>
  <c r="W230" i="5"/>
  <c r="Q281" i="4"/>
  <c r="X230" i="5"/>
  <c r="S281" i="4"/>
  <c r="AA230" i="5"/>
  <c r="AI281" i="4"/>
  <c r="T281" i="4" a="1"/>
  <c r="T281" i="4"/>
  <c r="AC230" i="5"/>
  <c r="U281" i="4" a="1"/>
  <c r="U281" i="4"/>
  <c r="AD230" i="5"/>
  <c r="X281" i="4"/>
  <c r="AI230" i="5"/>
  <c r="Y281" i="4"/>
  <c r="AJ230" i="5"/>
  <c r="Z281" i="4"/>
  <c r="AL230" i="5"/>
  <c r="Z230" i="5"/>
  <c r="AN230" i="5"/>
  <c r="AG231" i="5"/>
  <c r="AF231" i="5"/>
  <c r="B218" i="4"/>
  <c r="C218" i="4"/>
  <c r="C231" i="5"/>
  <c r="D218" i="4"/>
  <c r="E231" i="5"/>
  <c r="H218" i="4"/>
  <c r="K231" i="5"/>
  <c r="L218" i="4"/>
  <c r="Q231" i="5"/>
  <c r="M218" i="4"/>
  <c r="R231" i="5"/>
  <c r="T231" i="5"/>
  <c r="O218" i="4"/>
  <c r="U231" i="5"/>
  <c r="P218" i="4"/>
  <c r="W231" i="5"/>
  <c r="Q218" i="4"/>
  <c r="X231" i="5"/>
  <c r="S218" i="4"/>
  <c r="AA231" i="5"/>
  <c r="AI218" i="4"/>
  <c r="T218" i="4" a="1"/>
  <c r="T218" i="4"/>
  <c r="AC231" i="5"/>
  <c r="U218" i="4" a="1"/>
  <c r="U218" i="4"/>
  <c r="AD231" i="5"/>
  <c r="X218" i="4"/>
  <c r="AI231" i="5"/>
  <c r="Y218" i="4"/>
  <c r="AJ231" i="5"/>
  <c r="Z218" i="4"/>
  <c r="AL231" i="5"/>
  <c r="L231" i="5"/>
  <c r="N231" i="5"/>
  <c r="O231" i="5"/>
  <c r="F231" i="5"/>
  <c r="H231" i="5"/>
  <c r="I231" i="5"/>
  <c r="Z231" i="5"/>
  <c r="AN231" i="5"/>
  <c r="AG232" i="5"/>
  <c r="AF232" i="5"/>
  <c r="B282" i="4"/>
  <c r="C282" i="4"/>
  <c r="C232" i="5"/>
  <c r="D282" i="4"/>
  <c r="E232" i="5"/>
  <c r="H282" i="4"/>
  <c r="K232" i="5"/>
  <c r="L282" i="4"/>
  <c r="Q232" i="5"/>
  <c r="M282" i="4"/>
  <c r="R232" i="5"/>
  <c r="T232" i="5"/>
  <c r="O282" i="4"/>
  <c r="U232" i="5"/>
  <c r="P282" i="4"/>
  <c r="W232" i="5"/>
  <c r="Q282" i="4"/>
  <c r="X232" i="5"/>
  <c r="S282" i="4"/>
  <c r="AA232" i="5"/>
  <c r="AI282" i="4"/>
  <c r="T282" i="4" a="1"/>
  <c r="T282" i="4"/>
  <c r="AC232" i="5"/>
  <c r="U282" i="4" a="1"/>
  <c r="U282" i="4"/>
  <c r="AD232" i="5"/>
  <c r="X282" i="4"/>
  <c r="AI232" i="5"/>
  <c r="Y282" i="4"/>
  <c r="AJ232" i="5"/>
  <c r="Z282" i="4"/>
  <c r="AL232" i="5"/>
  <c r="L232" i="5"/>
  <c r="N232" i="5"/>
  <c r="O232" i="5"/>
  <c r="F232" i="5"/>
  <c r="H232" i="5"/>
  <c r="I232" i="5"/>
  <c r="Z232" i="5"/>
  <c r="AN232" i="5"/>
  <c r="B224" i="4"/>
  <c r="S224" i="4"/>
  <c r="AA233" i="5"/>
  <c r="P224" i="4"/>
  <c r="W233" i="5"/>
  <c r="AG233" i="5"/>
  <c r="AF233" i="5"/>
  <c r="C224" i="4"/>
  <c r="C233" i="5"/>
  <c r="D224" i="4"/>
  <c r="E233" i="5"/>
  <c r="K233" i="5"/>
  <c r="L224" i="4"/>
  <c r="Q233" i="5"/>
  <c r="M224" i="4"/>
  <c r="R233" i="5"/>
  <c r="T233" i="5"/>
  <c r="U233" i="5"/>
  <c r="Q224" i="4"/>
  <c r="X233" i="5"/>
  <c r="R224" i="4"/>
  <c r="Z233" i="5"/>
  <c r="AI224" i="4"/>
  <c r="T224" i="4" a="1"/>
  <c r="T224" i="4"/>
  <c r="AC233" i="5"/>
  <c r="U224" i="4" a="1"/>
  <c r="U224" i="4"/>
  <c r="AD233" i="5"/>
  <c r="X224" i="4"/>
  <c r="AI233" i="5"/>
  <c r="Y224" i="4"/>
  <c r="AJ233" i="5"/>
  <c r="Z224" i="4"/>
  <c r="AL233" i="5"/>
  <c r="L233" i="5"/>
  <c r="N233" i="5"/>
  <c r="O233" i="5"/>
  <c r="F233" i="5"/>
  <c r="H233" i="5"/>
  <c r="I233" i="5"/>
  <c r="AN233" i="5"/>
  <c r="AG234" i="5"/>
  <c r="AF234" i="5"/>
  <c r="B226" i="4"/>
  <c r="C226" i="4"/>
  <c r="C234" i="5"/>
  <c r="D226" i="4"/>
  <c r="E234" i="5"/>
  <c r="K234" i="5"/>
  <c r="L226" i="4"/>
  <c r="Q234" i="5"/>
  <c r="M226" i="4"/>
  <c r="R234" i="5"/>
  <c r="T234" i="5"/>
  <c r="U234" i="5"/>
  <c r="P226" i="4"/>
  <c r="W234" i="5"/>
  <c r="Q226" i="4"/>
  <c r="X234" i="5"/>
  <c r="S226" i="4"/>
  <c r="AA234" i="5"/>
  <c r="AI226" i="4"/>
  <c r="T226" i="4" a="1"/>
  <c r="T226" i="4"/>
  <c r="AC234" i="5"/>
  <c r="U226" i="4" a="1"/>
  <c r="U226" i="4"/>
  <c r="AD234" i="5"/>
  <c r="X226" i="4"/>
  <c r="AI234" i="5"/>
  <c r="Y226" i="4"/>
  <c r="AJ234" i="5"/>
  <c r="Z226" i="4"/>
  <c r="AL234" i="5"/>
  <c r="F234" i="5"/>
  <c r="H234" i="5"/>
  <c r="I234" i="5"/>
  <c r="L234" i="5"/>
  <c r="N234" i="5"/>
  <c r="O234" i="5"/>
  <c r="Z234" i="5"/>
  <c r="AN234" i="5"/>
  <c r="AG235" i="5"/>
  <c r="AF235" i="5"/>
  <c r="B227" i="4"/>
  <c r="C227" i="4"/>
  <c r="C235" i="5"/>
  <c r="D227" i="4"/>
  <c r="E235" i="5"/>
  <c r="K235" i="5"/>
  <c r="L227" i="4"/>
  <c r="Q235" i="5"/>
  <c r="M227" i="4"/>
  <c r="R235" i="5"/>
  <c r="T235" i="5"/>
  <c r="U235" i="5"/>
  <c r="P227" i="4"/>
  <c r="W235" i="5"/>
  <c r="Q227" i="4"/>
  <c r="X235" i="5"/>
  <c r="S227" i="4"/>
  <c r="AA235" i="5"/>
  <c r="AI227" i="4"/>
  <c r="T227" i="4" a="1"/>
  <c r="T227" i="4"/>
  <c r="AC235" i="5"/>
  <c r="U227" i="4" a="1"/>
  <c r="U227" i="4"/>
  <c r="AD235" i="5"/>
  <c r="X227" i="4"/>
  <c r="AI235" i="5"/>
  <c r="Y227" i="4"/>
  <c r="AJ235" i="5"/>
  <c r="Z227" i="4"/>
  <c r="AL235" i="5"/>
  <c r="F235" i="5"/>
  <c r="H235" i="5"/>
  <c r="I235" i="5"/>
  <c r="L235" i="5"/>
  <c r="N235" i="5"/>
  <c r="O235" i="5"/>
  <c r="Z235" i="5"/>
  <c r="AN235" i="5"/>
  <c r="AG236" i="5"/>
  <c r="AF236" i="5"/>
  <c r="B228" i="4"/>
  <c r="C228" i="4"/>
  <c r="C236" i="5"/>
  <c r="D228" i="4"/>
  <c r="E236" i="5"/>
  <c r="K236" i="5"/>
  <c r="L228" i="4"/>
  <c r="Q236" i="5"/>
  <c r="M228" i="4"/>
  <c r="R236" i="5"/>
  <c r="T236" i="5"/>
  <c r="U236" i="5"/>
  <c r="P228" i="4"/>
  <c r="W236" i="5"/>
  <c r="Q228" i="4"/>
  <c r="X236" i="5"/>
  <c r="S228" i="4"/>
  <c r="AA236" i="5"/>
  <c r="AI228" i="4"/>
  <c r="T228" i="4" a="1"/>
  <c r="T228" i="4"/>
  <c r="AC236" i="5"/>
  <c r="U228" i="4" a="1"/>
  <c r="U228" i="4"/>
  <c r="AD236" i="5"/>
  <c r="X228" i="4"/>
  <c r="AI236" i="5"/>
  <c r="Y228" i="4"/>
  <c r="AJ236" i="5"/>
  <c r="Z228" i="4"/>
  <c r="AL236" i="5"/>
  <c r="F236" i="5"/>
  <c r="H236" i="5"/>
  <c r="I236" i="5"/>
  <c r="L236" i="5"/>
  <c r="N236" i="5"/>
  <c r="O236" i="5"/>
  <c r="Z236" i="5"/>
  <c r="AN236" i="5"/>
  <c r="AG237" i="5"/>
  <c r="AF237" i="5"/>
  <c r="B229" i="4"/>
  <c r="C229" i="4"/>
  <c r="C237" i="5"/>
  <c r="D229" i="4"/>
  <c r="E237" i="5"/>
  <c r="K237" i="5"/>
  <c r="L229" i="4"/>
  <c r="Q237" i="5"/>
  <c r="M229" i="4"/>
  <c r="R237" i="5"/>
  <c r="T237" i="5"/>
  <c r="U237" i="5"/>
  <c r="P229" i="4"/>
  <c r="W237" i="5"/>
  <c r="Q229" i="4"/>
  <c r="X237" i="5"/>
  <c r="S229" i="4"/>
  <c r="AA237" i="5"/>
  <c r="AI229" i="4"/>
  <c r="T229" i="4" a="1"/>
  <c r="T229" i="4"/>
  <c r="AC237" i="5"/>
  <c r="U229" i="4" a="1"/>
  <c r="U229" i="4"/>
  <c r="AD237" i="5"/>
  <c r="X229" i="4"/>
  <c r="AI237" i="5"/>
  <c r="Y229" i="4"/>
  <c r="AJ237" i="5"/>
  <c r="Z229" i="4"/>
  <c r="AL237" i="5"/>
  <c r="F237" i="5"/>
  <c r="H237" i="5"/>
  <c r="I237" i="5"/>
  <c r="L237" i="5"/>
  <c r="N237" i="5"/>
  <c r="O237" i="5"/>
  <c r="Z237" i="5"/>
  <c r="AN237" i="5"/>
  <c r="AG238" i="5"/>
  <c r="AF238" i="5"/>
  <c r="B230" i="4"/>
  <c r="C230" i="4"/>
  <c r="C238" i="5"/>
  <c r="D230" i="4"/>
  <c r="E238" i="5"/>
  <c r="K238" i="5"/>
  <c r="L230" i="4"/>
  <c r="Q238" i="5"/>
  <c r="M230" i="4"/>
  <c r="R238" i="5"/>
  <c r="T238" i="5"/>
  <c r="U238" i="5"/>
  <c r="P230" i="4"/>
  <c r="W238" i="5"/>
  <c r="Q230" i="4"/>
  <c r="X238" i="5"/>
  <c r="S230" i="4"/>
  <c r="AA238" i="5"/>
  <c r="AI230" i="4"/>
  <c r="T230" i="4" a="1"/>
  <c r="T230" i="4"/>
  <c r="AC238" i="5"/>
  <c r="U230" i="4" a="1"/>
  <c r="U230" i="4"/>
  <c r="AD238" i="5"/>
  <c r="X230" i="4"/>
  <c r="AI238" i="5"/>
  <c r="Y230" i="4"/>
  <c r="AJ238" i="5"/>
  <c r="Z230" i="4"/>
  <c r="AL238" i="5"/>
  <c r="F238" i="5"/>
  <c r="H238" i="5"/>
  <c r="I238" i="5"/>
  <c r="L238" i="5"/>
  <c r="N238" i="5"/>
  <c r="O238" i="5"/>
  <c r="Z238" i="5"/>
  <c r="AN238" i="5"/>
  <c r="AG239" i="5"/>
  <c r="AF239" i="5"/>
  <c r="B231" i="4"/>
  <c r="C231" i="4"/>
  <c r="C239" i="5"/>
  <c r="D231" i="4"/>
  <c r="E239" i="5"/>
  <c r="E231" i="4"/>
  <c r="F239" i="5"/>
  <c r="F231" i="4"/>
  <c r="H239" i="5"/>
  <c r="I239" i="5"/>
  <c r="K239" i="5"/>
  <c r="L231" i="4"/>
  <c r="Q239" i="5"/>
  <c r="M231" i="4"/>
  <c r="R239" i="5"/>
  <c r="T239" i="5"/>
  <c r="O231" i="4"/>
  <c r="U239" i="5"/>
  <c r="P231" i="4"/>
  <c r="W239" i="5"/>
  <c r="Q231" i="4"/>
  <c r="X239" i="5"/>
  <c r="S231" i="4"/>
  <c r="AA239" i="5"/>
  <c r="AI231" i="4"/>
  <c r="T231" i="4" a="1"/>
  <c r="T231" i="4"/>
  <c r="AC239" i="5"/>
  <c r="U231" i="4" a="1"/>
  <c r="U231" i="4"/>
  <c r="AD239" i="5"/>
  <c r="X231" i="4"/>
  <c r="AI239" i="5"/>
  <c r="Y231" i="4"/>
  <c r="AJ239" i="5"/>
  <c r="Z231" i="4"/>
  <c r="AL239" i="5"/>
  <c r="L239" i="5"/>
  <c r="N239" i="5"/>
  <c r="O239" i="5"/>
  <c r="Z239" i="5"/>
  <c r="AN239" i="5"/>
  <c r="AG240" i="5"/>
  <c r="AF240" i="5"/>
  <c r="B289" i="4"/>
  <c r="C289" i="4"/>
  <c r="C240" i="5"/>
  <c r="D289" i="4"/>
  <c r="E240" i="5"/>
  <c r="E21" i="2"/>
  <c r="E289" i="4"/>
  <c r="F240" i="5"/>
  <c r="F21" i="2"/>
  <c r="F289" i="4"/>
  <c r="H240" i="5"/>
  <c r="I240" i="5"/>
  <c r="K240" i="5"/>
  <c r="L289" i="4"/>
  <c r="Q240" i="5"/>
  <c r="M289" i="4"/>
  <c r="R240" i="5"/>
  <c r="T240" i="5"/>
  <c r="O289" i="4"/>
  <c r="U240" i="5"/>
  <c r="P289" i="4"/>
  <c r="W240" i="5"/>
  <c r="S289" i="4"/>
  <c r="AA240" i="5"/>
  <c r="AI289" i="4"/>
  <c r="T289" i="4" a="1"/>
  <c r="T289" i="4"/>
  <c r="AC240" i="5"/>
  <c r="U289" i="4" a="1"/>
  <c r="U289" i="4"/>
  <c r="AD240" i="5"/>
  <c r="X289" i="4"/>
  <c r="AI240" i="5"/>
  <c r="Y289" i="4"/>
  <c r="AJ240" i="5"/>
  <c r="Z289" i="4"/>
  <c r="AL240" i="5"/>
  <c r="X240" i="5"/>
  <c r="L240" i="5"/>
  <c r="N240" i="5"/>
  <c r="O240" i="5"/>
  <c r="Z240" i="5"/>
  <c r="AN240" i="5"/>
  <c r="AG241" i="5"/>
  <c r="AF241" i="5"/>
  <c r="B232" i="4"/>
  <c r="C232" i="4"/>
  <c r="C241" i="5"/>
  <c r="D232" i="4"/>
  <c r="E241" i="5"/>
  <c r="H232" i="4"/>
  <c r="K241" i="5"/>
  <c r="L232" i="4"/>
  <c r="Q241" i="5"/>
  <c r="M232" i="4"/>
  <c r="R241" i="5"/>
  <c r="T241" i="5"/>
  <c r="U241" i="5"/>
  <c r="P232" i="4"/>
  <c r="W241" i="5"/>
  <c r="Q232" i="4"/>
  <c r="X241" i="5"/>
  <c r="AA241" i="5"/>
  <c r="AI232" i="4"/>
  <c r="T232" i="4" a="1"/>
  <c r="T232" i="4"/>
  <c r="AC241" i="5"/>
  <c r="U232" i="4" a="1"/>
  <c r="U232" i="4"/>
  <c r="AD241" i="5"/>
  <c r="Y232" i="4"/>
  <c r="AJ241" i="5"/>
  <c r="Z232" i="4"/>
  <c r="AL241" i="5"/>
  <c r="F241" i="5"/>
  <c r="H241" i="5"/>
  <c r="I241" i="5"/>
  <c r="L241" i="5"/>
  <c r="N241" i="5"/>
  <c r="O241" i="5"/>
  <c r="Z241" i="5"/>
  <c r="AN241" i="5"/>
  <c r="AG242" i="5"/>
  <c r="AF242" i="5"/>
  <c r="B233" i="4"/>
  <c r="C233" i="4"/>
  <c r="C242" i="5"/>
  <c r="D233" i="4"/>
  <c r="E242" i="5"/>
  <c r="H233" i="4"/>
  <c r="K242" i="5"/>
  <c r="L233" i="4"/>
  <c r="Q242" i="5"/>
  <c r="M233" i="4"/>
  <c r="R242" i="5"/>
  <c r="T242" i="5"/>
  <c r="O233" i="4"/>
  <c r="U242" i="5"/>
  <c r="P233" i="4"/>
  <c r="W242" i="5"/>
  <c r="Q233" i="4"/>
  <c r="X242" i="5"/>
  <c r="AA242" i="5"/>
  <c r="AI233" i="4"/>
  <c r="T233" i="4" a="1"/>
  <c r="T233" i="4"/>
  <c r="AC242" i="5"/>
  <c r="U233" i="4" a="1"/>
  <c r="U233" i="4"/>
  <c r="AD242" i="5"/>
  <c r="AI242" i="5"/>
  <c r="Y233" i="4"/>
  <c r="AJ242" i="5"/>
  <c r="Z233" i="4"/>
  <c r="AL242" i="5"/>
  <c r="F242" i="5"/>
  <c r="H242" i="5"/>
  <c r="I242" i="5"/>
  <c r="L242" i="5"/>
  <c r="N242" i="5"/>
  <c r="O242" i="5"/>
  <c r="Z242" i="5"/>
  <c r="AN242" i="5"/>
  <c r="AG243" i="5"/>
  <c r="AF243" i="5"/>
  <c r="B234" i="4"/>
  <c r="C234" i="4"/>
  <c r="C243" i="5"/>
  <c r="D234" i="4"/>
  <c r="E243" i="5"/>
  <c r="H234" i="4"/>
  <c r="K243" i="5"/>
  <c r="L234" i="4"/>
  <c r="Q243" i="5"/>
  <c r="M234" i="4"/>
  <c r="R243" i="5"/>
  <c r="T243" i="5"/>
  <c r="O234" i="4"/>
  <c r="U243" i="5"/>
  <c r="P234" i="4"/>
  <c r="W243" i="5"/>
  <c r="Q234" i="4"/>
  <c r="X243" i="5"/>
  <c r="AA243" i="5"/>
  <c r="AI234" i="4"/>
  <c r="T234" i="4" a="1"/>
  <c r="T234" i="4"/>
  <c r="AC243" i="5"/>
  <c r="U234" i="4" a="1"/>
  <c r="U234" i="4"/>
  <c r="AD243" i="5"/>
  <c r="AI243" i="5"/>
  <c r="Y234" i="4"/>
  <c r="AJ243" i="5"/>
  <c r="Z234" i="4"/>
  <c r="AL243" i="5"/>
  <c r="F243" i="5"/>
  <c r="H243" i="5"/>
  <c r="I243" i="5"/>
  <c r="L243" i="5"/>
  <c r="N243" i="5"/>
  <c r="O243" i="5"/>
  <c r="Z243" i="5"/>
  <c r="AN243" i="5"/>
  <c r="AG244" i="5"/>
  <c r="AF244" i="5"/>
  <c r="B235" i="4"/>
  <c r="C235" i="4"/>
  <c r="C244" i="5"/>
  <c r="D235" i="4"/>
  <c r="E244" i="5"/>
  <c r="H235" i="4"/>
  <c r="K244" i="5"/>
  <c r="L235" i="4"/>
  <c r="Q244" i="5"/>
  <c r="M235" i="4"/>
  <c r="R244" i="5"/>
  <c r="T244" i="5"/>
  <c r="U244" i="5"/>
  <c r="P235" i="4"/>
  <c r="W244" i="5"/>
  <c r="Q235" i="4"/>
  <c r="X244" i="5"/>
  <c r="AA244" i="5"/>
  <c r="AI235" i="4"/>
  <c r="T235" i="4" a="1"/>
  <c r="T235" i="4"/>
  <c r="AC244" i="5"/>
  <c r="U235" i="4" a="1"/>
  <c r="U235" i="4"/>
  <c r="AD244" i="5"/>
  <c r="X235" i="4"/>
  <c r="AI244" i="5"/>
  <c r="Y235" i="4"/>
  <c r="AJ244" i="5"/>
  <c r="Z235" i="4"/>
  <c r="AL244" i="5"/>
  <c r="F244" i="5"/>
  <c r="H244" i="5"/>
  <c r="I244" i="5"/>
  <c r="L244" i="5"/>
  <c r="N244" i="5"/>
  <c r="O244" i="5"/>
  <c r="Z244" i="5"/>
  <c r="AN244" i="5"/>
  <c r="AG245" i="5"/>
  <c r="AF245" i="5"/>
  <c r="B236" i="4"/>
  <c r="C236" i="4"/>
  <c r="C245" i="5"/>
  <c r="D236" i="4"/>
  <c r="E245" i="5"/>
  <c r="H236" i="4"/>
  <c r="K245" i="5"/>
  <c r="L236" i="4"/>
  <c r="Q245" i="5"/>
  <c r="M236" i="4"/>
  <c r="R245" i="5"/>
  <c r="T245" i="5"/>
  <c r="U245" i="5"/>
  <c r="P236" i="4"/>
  <c r="W245" i="5"/>
  <c r="Q236" i="4"/>
  <c r="X245" i="5"/>
  <c r="AA245" i="5"/>
  <c r="AI236" i="4"/>
  <c r="T236" i="4" a="1"/>
  <c r="T236" i="4"/>
  <c r="AC245" i="5"/>
  <c r="U236" i="4" a="1"/>
  <c r="U236" i="4"/>
  <c r="AD245" i="5"/>
  <c r="X236" i="4"/>
  <c r="AI245" i="5"/>
  <c r="Y236" i="4"/>
  <c r="AJ245" i="5"/>
  <c r="Z236" i="4"/>
  <c r="AL245" i="5"/>
  <c r="F245" i="5"/>
  <c r="H245" i="5"/>
  <c r="I245" i="5"/>
  <c r="L245" i="5"/>
  <c r="N245" i="5"/>
  <c r="O245" i="5"/>
  <c r="Z245" i="5"/>
  <c r="AN245" i="5"/>
  <c r="AG246" i="5"/>
  <c r="AF246" i="5"/>
  <c r="B237" i="4"/>
  <c r="C237" i="4"/>
  <c r="C246" i="5"/>
  <c r="D237" i="4"/>
  <c r="E246" i="5"/>
  <c r="H237" i="4"/>
  <c r="K246" i="5"/>
  <c r="L237" i="4"/>
  <c r="Q246" i="5"/>
  <c r="M237" i="4"/>
  <c r="R246" i="5"/>
  <c r="T246" i="5"/>
  <c r="U246" i="5"/>
  <c r="P237" i="4"/>
  <c r="W246" i="5"/>
  <c r="Q237" i="4"/>
  <c r="X246" i="5"/>
  <c r="AA246" i="5"/>
  <c r="AI237" i="4"/>
  <c r="T237" i="4" a="1"/>
  <c r="T237" i="4"/>
  <c r="AC246" i="5"/>
  <c r="U237" i="4" a="1"/>
  <c r="U237" i="4"/>
  <c r="AD246" i="5"/>
  <c r="X237" i="4"/>
  <c r="AI246" i="5"/>
  <c r="Y237" i="4"/>
  <c r="AJ246" i="5"/>
  <c r="Z237" i="4"/>
  <c r="AL246" i="5"/>
  <c r="F246" i="5"/>
  <c r="H246" i="5"/>
  <c r="I246" i="5"/>
  <c r="L246" i="5"/>
  <c r="N246" i="5"/>
  <c r="O246" i="5"/>
  <c r="Z246" i="5"/>
  <c r="AN246" i="5"/>
  <c r="AG247" i="5"/>
  <c r="AF247" i="5"/>
  <c r="C238" i="4"/>
  <c r="C247" i="5"/>
  <c r="D238" i="4"/>
  <c r="E247" i="5"/>
  <c r="K247" i="5"/>
  <c r="L238" i="4"/>
  <c r="Q247" i="5"/>
  <c r="M238" i="4"/>
  <c r="R247" i="5"/>
  <c r="T247" i="5"/>
  <c r="U247" i="5"/>
  <c r="P238" i="4"/>
  <c r="W247" i="5"/>
  <c r="Q238" i="4"/>
  <c r="X247" i="5"/>
  <c r="AA247" i="5"/>
  <c r="AI238" i="4"/>
  <c r="T238" i="4" a="1"/>
  <c r="T238" i="4"/>
  <c r="AC247" i="5"/>
  <c r="U238" i="4" a="1"/>
  <c r="U238" i="4"/>
  <c r="AD247" i="5"/>
  <c r="X238" i="4"/>
  <c r="AI247" i="5"/>
  <c r="Y238" i="4"/>
  <c r="AJ247" i="5"/>
  <c r="Z238" i="4"/>
  <c r="AL247" i="5"/>
  <c r="F247" i="5"/>
  <c r="H247" i="5"/>
  <c r="I247" i="5"/>
  <c r="L247" i="5"/>
  <c r="N247" i="5"/>
  <c r="O247" i="5"/>
  <c r="Z247" i="5"/>
  <c r="AN247" i="5"/>
  <c r="AG248" i="5"/>
  <c r="AF248" i="5"/>
  <c r="B239" i="4"/>
  <c r="C239" i="4"/>
  <c r="C248" i="5"/>
  <c r="D239" i="4"/>
  <c r="E248" i="5"/>
  <c r="H33" i="2"/>
  <c r="H239" i="4"/>
  <c r="K248" i="5"/>
  <c r="L239" i="4"/>
  <c r="Q248" i="5"/>
  <c r="M239" i="4"/>
  <c r="R248" i="5"/>
  <c r="T248" i="5"/>
  <c r="O239" i="4"/>
  <c r="U248" i="5"/>
  <c r="P239" i="4"/>
  <c r="W248" i="5"/>
  <c r="Q239" i="4"/>
  <c r="X248" i="5"/>
  <c r="S239" i="4"/>
  <c r="AA248" i="5"/>
  <c r="AI239" i="4"/>
  <c r="T239" i="4" a="1"/>
  <c r="T239" i="4"/>
  <c r="AC248" i="5"/>
  <c r="U239" i="4" a="1"/>
  <c r="U239" i="4"/>
  <c r="AD248" i="5"/>
  <c r="X239" i="4"/>
  <c r="AI248" i="5"/>
  <c r="Y239" i="4"/>
  <c r="AJ248" i="5"/>
  <c r="Z239" i="4"/>
  <c r="AL248" i="5"/>
  <c r="F248" i="5"/>
  <c r="H248" i="5"/>
  <c r="I248" i="5"/>
  <c r="L248" i="5"/>
  <c r="N248" i="5"/>
  <c r="O248" i="5"/>
  <c r="Z248" i="5"/>
  <c r="AN248" i="5"/>
  <c r="AG249" i="5"/>
  <c r="AF249" i="5"/>
  <c r="B240" i="4"/>
  <c r="C240" i="4"/>
  <c r="C249" i="5"/>
  <c r="D240" i="4"/>
  <c r="E249" i="5"/>
  <c r="H240" i="4"/>
  <c r="K249" i="5"/>
  <c r="L240" i="4"/>
  <c r="Q249" i="5"/>
  <c r="M240" i="4"/>
  <c r="R249" i="5"/>
  <c r="T249" i="5"/>
  <c r="O240" i="4"/>
  <c r="U249" i="5"/>
  <c r="P240" i="4"/>
  <c r="W249" i="5"/>
  <c r="Q240" i="4"/>
  <c r="X249" i="5"/>
  <c r="S240" i="4"/>
  <c r="AA249" i="5"/>
  <c r="AI240" i="4"/>
  <c r="T240" i="4" a="1"/>
  <c r="T240" i="4"/>
  <c r="AC249" i="5"/>
  <c r="U240" i="4" a="1"/>
  <c r="U240" i="4"/>
  <c r="AD249" i="5"/>
  <c r="X240" i="4"/>
  <c r="AI249" i="5"/>
  <c r="Y240" i="4"/>
  <c r="AJ249" i="5"/>
  <c r="Z240" i="4"/>
  <c r="AL249" i="5"/>
  <c r="F249" i="5"/>
  <c r="H249" i="5"/>
  <c r="I249" i="5"/>
  <c r="L249" i="5"/>
  <c r="N249" i="5"/>
  <c r="O249" i="5"/>
  <c r="Z249" i="5"/>
  <c r="AN249" i="5"/>
  <c r="AG250" i="5"/>
  <c r="AF250" i="5"/>
  <c r="B283" i="4"/>
  <c r="C283" i="4"/>
  <c r="C250" i="5"/>
  <c r="D283" i="4"/>
  <c r="E250" i="5"/>
  <c r="K250" i="5"/>
  <c r="L283" i="4"/>
  <c r="Q250" i="5"/>
  <c r="M283" i="4"/>
  <c r="R250" i="5"/>
  <c r="T250" i="5"/>
  <c r="O283" i="4"/>
  <c r="U250" i="5"/>
  <c r="P283" i="4"/>
  <c r="W250" i="5"/>
  <c r="Q283" i="4"/>
  <c r="X250" i="5"/>
  <c r="S283" i="4"/>
  <c r="AA250" i="5"/>
  <c r="AI283" i="4"/>
  <c r="T283" i="4" a="1"/>
  <c r="T283" i="4"/>
  <c r="AC250" i="5"/>
  <c r="U283" i="4" a="1"/>
  <c r="U283" i="4"/>
  <c r="AD250" i="5"/>
  <c r="X283" i="4"/>
  <c r="AI250" i="5"/>
  <c r="Y283" i="4"/>
  <c r="AJ250" i="5"/>
  <c r="Z283" i="4"/>
  <c r="AL250" i="5"/>
  <c r="F250" i="5"/>
  <c r="H250" i="5"/>
  <c r="I250" i="5"/>
  <c r="L250" i="5"/>
  <c r="N250" i="5"/>
  <c r="O250" i="5"/>
  <c r="Z250" i="5"/>
  <c r="AN250" i="5"/>
  <c r="AG251" i="5"/>
  <c r="AF251" i="5"/>
  <c r="B245" i="4"/>
  <c r="C245" i="4"/>
  <c r="C251" i="5"/>
  <c r="D245" i="4"/>
  <c r="E251" i="5"/>
  <c r="K251" i="5"/>
  <c r="L245" i="4"/>
  <c r="Q251" i="5"/>
  <c r="M245" i="4"/>
  <c r="R251" i="5"/>
  <c r="T251" i="5"/>
  <c r="U251" i="5"/>
  <c r="P245" i="4"/>
  <c r="W251" i="5"/>
  <c r="Q245" i="4"/>
  <c r="X251" i="5"/>
  <c r="AA251" i="5"/>
  <c r="AI245" i="4"/>
  <c r="T245" i="4" a="1"/>
  <c r="T245" i="4"/>
  <c r="AC251" i="5"/>
  <c r="U245" i="4" a="1"/>
  <c r="U245" i="4"/>
  <c r="AD251" i="5"/>
  <c r="X245" i="4"/>
  <c r="AI251" i="5"/>
  <c r="Y245" i="4"/>
  <c r="AJ251" i="5"/>
  <c r="Z245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87" i="4"/>
  <c r="C87" i="4"/>
  <c r="C252" i="5"/>
  <c r="D87" i="4"/>
  <c r="E252" i="5"/>
  <c r="I87" i="4"/>
  <c r="L252" i="5"/>
  <c r="J87" i="4"/>
  <c r="N252" i="5"/>
  <c r="L87" i="4"/>
  <c r="Q252" i="5"/>
  <c r="M87" i="4"/>
  <c r="R252" i="5"/>
  <c r="T252" i="5"/>
  <c r="U252" i="5"/>
  <c r="P87" i="4"/>
  <c r="W252" i="5"/>
  <c r="Q87" i="4"/>
  <c r="X252" i="5"/>
  <c r="S87" i="4"/>
  <c r="AA252" i="5"/>
  <c r="AI87" i="4"/>
  <c r="T87" i="4" a="1"/>
  <c r="T87" i="4"/>
  <c r="AC252" i="5"/>
  <c r="U87" i="4" a="1"/>
  <c r="U87" i="4"/>
  <c r="AD252" i="5"/>
  <c r="X87" i="4"/>
  <c r="AI252" i="5"/>
  <c r="Y87" i="4"/>
  <c r="AJ252" i="5"/>
  <c r="Z87" i="4"/>
  <c r="AL252" i="5"/>
  <c r="F252" i="5"/>
  <c r="H252" i="5"/>
  <c r="I252" i="5"/>
  <c r="Z252" i="5"/>
  <c r="AN252" i="5"/>
  <c r="AG253" i="5"/>
  <c r="AF253" i="5"/>
  <c r="C97" i="4"/>
  <c r="C253" i="5"/>
  <c r="T253" i="5"/>
  <c r="U253" i="5"/>
  <c r="P97" i="4"/>
  <c r="W253" i="5"/>
  <c r="Q97" i="4"/>
  <c r="X253" i="5"/>
  <c r="AA253" i="5"/>
  <c r="AI97" i="4"/>
  <c r="T97" i="4" a="1"/>
  <c r="T97" i="4"/>
  <c r="AC253" i="5"/>
  <c r="U97" i="4" a="1"/>
  <c r="U97" i="4"/>
  <c r="AD253" i="5"/>
  <c r="X97" i="4"/>
  <c r="AI253" i="5"/>
  <c r="Y97" i="4"/>
  <c r="AJ253" i="5"/>
  <c r="Z97" i="4"/>
  <c r="AL253" i="5"/>
  <c r="Z253" i="5"/>
  <c r="AN253" i="5"/>
  <c r="O254" i="5"/>
  <c r="B126" i="4"/>
  <c r="H126" i="4"/>
  <c r="K254" i="5"/>
  <c r="AG254" i="5"/>
  <c r="AF254" i="5"/>
  <c r="C126" i="4"/>
  <c r="C254" i="5"/>
  <c r="D126" i="4"/>
  <c r="E254" i="5"/>
  <c r="I126" i="4"/>
  <c r="L254" i="5"/>
  <c r="J126" i="4"/>
  <c r="N254" i="5"/>
  <c r="L126" i="4"/>
  <c r="Q254" i="5"/>
  <c r="M126" i="4"/>
  <c r="R254" i="5"/>
  <c r="T254" i="5"/>
  <c r="O126" i="4"/>
  <c r="U254" i="5"/>
  <c r="P126" i="4"/>
  <c r="W254" i="5"/>
  <c r="Q126" i="4"/>
  <c r="X254" i="5"/>
  <c r="AA254" i="5"/>
  <c r="AI126" i="4"/>
  <c r="T126" i="4" a="1"/>
  <c r="T126" i="4"/>
  <c r="AC254" i="5"/>
  <c r="U126" i="4" a="1"/>
  <c r="U126" i="4"/>
  <c r="AD254" i="5"/>
  <c r="X126" i="4"/>
  <c r="AI254" i="5"/>
  <c r="Y126" i="4"/>
  <c r="AJ254" i="5"/>
  <c r="Z126" i="4"/>
  <c r="AL254" i="5"/>
  <c r="F254" i="5"/>
  <c r="H254" i="5"/>
  <c r="I254" i="5"/>
  <c r="Z254" i="5"/>
  <c r="AN254" i="5"/>
  <c r="AG255" i="5"/>
  <c r="AF255" i="5"/>
  <c r="B147" i="4"/>
  <c r="C147" i="4"/>
  <c r="C255" i="5"/>
  <c r="D147" i="4"/>
  <c r="E255" i="5"/>
  <c r="H147" i="4"/>
  <c r="K255" i="5"/>
  <c r="L147" i="4"/>
  <c r="Q255" i="5"/>
  <c r="M147" i="4"/>
  <c r="R255" i="5"/>
  <c r="T255" i="5"/>
  <c r="O147" i="4"/>
  <c r="U255" i="5"/>
  <c r="W255" i="5"/>
  <c r="Q147" i="4"/>
  <c r="X255" i="5"/>
  <c r="AA255" i="5"/>
  <c r="AI147" i="4"/>
  <c r="T147" i="4" a="1"/>
  <c r="T147" i="4"/>
  <c r="AC255" i="5"/>
  <c r="U147" i="4" a="1"/>
  <c r="U147" i="4"/>
  <c r="AD255" i="5"/>
  <c r="X147" i="4"/>
  <c r="AI255" i="5"/>
  <c r="Y147" i="4"/>
  <c r="AJ255" i="5"/>
  <c r="Z147" i="4"/>
  <c r="AL255" i="5"/>
  <c r="F255" i="5"/>
  <c r="H255" i="5"/>
  <c r="I255" i="5"/>
  <c r="L255" i="5"/>
  <c r="N255" i="5"/>
  <c r="O255" i="5"/>
  <c r="Z255" i="5"/>
  <c r="AN255" i="5"/>
  <c r="AG256" i="5"/>
  <c r="AF256" i="5"/>
  <c r="B148" i="4"/>
  <c r="C148" i="4"/>
  <c r="C256" i="5"/>
  <c r="D148" i="4"/>
  <c r="E256" i="5"/>
  <c r="K256" i="5"/>
  <c r="L148" i="4"/>
  <c r="Q256" i="5"/>
  <c r="M148" i="4"/>
  <c r="R256" i="5"/>
  <c r="T256" i="5"/>
  <c r="U256" i="5"/>
  <c r="W256" i="5"/>
  <c r="Q148" i="4"/>
  <c r="X256" i="5"/>
  <c r="AA256" i="5"/>
  <c r="AI148" i="4"/>
  <c r="T148" i="4" a="1"/>
  <c r="T148" i="4"/>
  <c r="AC256" i="5"/>
  <c r="U148" i="4" a="1"/>
  <c r="U148" i="4"/>
  <c r="AD256" i="5"/>
  <c r="X148" i="4"/>
  <c r="AI256" i="5"/>
  <c r="Y148" i="4"/>
  <c r="AJ256" i="5"/>
  <c r="Z148" i="4"/>
  <c r="AL256" i="5"/>
  <c r="F256" i="5"/>
  <c r="H256" i="5"/>
  <c r="I256" i="5"/>
  <c r="L256" i="5"/>
  <c r="N256" i="5"/>
  <c r="O256" i="5"/>
  <c r="Z256" i="5"/>
  <c r="AN256" i="5"/>
  <c r="AG257" i="5"/>
  <c r="AF257" i="5"/>
  <c r="B206" i="4"/>
  <c r="C206" i="4"/>
  <c r="C257" i="5"/>
  <c r="D206" i="4"/>
  <c r="E257" i="5"/>
  <c r="H206" i="4"/>
  <c r="K257" i="5"/>
  <c r="L206" i="4"/>
  <c r="Q257" i="5"/>
  <c r="M206" i="4"/>
  <c r="R257" i="5"/>
  <c r="T257" i="5"/>
  <c r="O206" i="4"/>
  <c r="U257" i="5"/>
  <c r="P206" i="4"/>
  <c r="W257" i="5"/>
  <c r="Q206" i="4"/>
  <c r="X257" i="5"/>
  <c r="S206" i="4"/>
  <c r="AA257" i="5"/>
  <c r="AI206" i="4"/>
  <c r="T206" i="4" a="1"/>
  <c r="T206" i="4"/>
  <c r="AC257" i="5"/>
  <c r="U206" i="4" a="1"/>
  <c r="U206" i="4"/>
  <c r="AD257" i="5"/>
  <c r="X206" i="4"/>
  <c r="AI257" i="5"/>
  <c r="Y206" i="4"/>
  <c r="AJ257" i="5"/>
  <c r="Z206" i="4"/>
  <c r="AL257" i="5"/>
  <c r="F257" i="5"/>
  <c r="H257" i="5"/>
  <c r="I257" i="5"/>
  <c r="L257" i="5"/>
  <c r="N257" i="5"/>
  <c r="O257" i="5"/>
  <c r="Z257" i="5"/>
  <c r="AN257" i="5"/>
  <c r="AG258" i="5"/>
  <c r="AF258" i="5"/>
  <c r="B83" i="4"/>
  <c r="C83" i="4"/>
  <c r="C258" i="5"/>
  <c r="D83" i="4"/>
  <c r="E258" i="5"/>
  <c r="K258" i="5"/>
  <c r="L83" i="4"/>
  <c r="Q258" i="5"/>
  <c r="M83" i="4"/>
  <c r="R258" i="5"/>
  <c r="T258" i="5"/>
  <c r="U258" i="5"/>
  <c r="P83" i="4"/>
  <c r="W258" i="5"/>
  <c r="Q83" i="4"/>
  <c r="X258" i="5"/>
  <c r="S83" i="4"/>
  <c r="AA258" i="5"/>
  <c r="AI83" i="4"/>
  <c r="T83" i="4" a="1"/>
  <c r="T83" i="4"/>
  <c r="AC258" i="5"/>
  <c r="U83" i="4" a="1"/>
  <c r="U83" i="4"/>
  <c r="AD258" i="5"/>
  <c r="X83" i="4"/>
  <c r="AI258" i="5"/>
  <c r="Y83" i="4"/>
  <c r="AJ258" i="5"/>
  <c r="Z83" i="4"/>
  <c r="AL258" i="5"/>
  <c r="F258" i="5"/>
  <c r="H258" i="5"/>
  <c r="I258" i="5"/>
  <c r="L258" i="5"/>
  <c r="N258" i="5"/>
  <c r="O258" i="5"/>
  <c r="Z258" i="5"/>
  <c r="AN258" i="5"/>
  <c r="AG259" i="5"/>
  <c r="AF259" i="5"/>
  <c r="B84" i="4"/>
  <c r="C84" i="4"/>
  <c r="C259" i="5"/>
  <c r="D84" i="4"/>
  <c r="E259" i="5"/>
  <c r="K259" i="5"/>
  <c r="L84" i="4"/>
  <c r="Q259" i="5"/>
  <c r="M84" i="4"/>
  <c r="R259" i="5"/>
  <c r="T259" i="5"/>
  <c r="U259" i="5"/>
  <c r="P84" i="4"/>
  <c r="W259" i="5"/>
  <c r="Q84" i="4"/>
  <c r="X259" i="5"/>
  <c r="S84" i="4"/>
  <c r="AA259" i="5"/>
  <c r="AI84" i="4"/>
  <c r="T84" i="4" a="1"/>
  <c r="T84" i="4"/>
  <c r="AC259" i="5"/>
  <c r="U84" i="4" a="1"/>
  <c r="U84" i="4"/>
  <c r="AD259" i="5"/>
  <c r="X84" i="4"/>
  <c r="AI259" i="5"/>
  <c r="Y84" i="4"/>
  <c r="AJ259" i="5"/>
  <c r="Z84" i="4"/>
  <c r="AL259" i="5"/>
  <c r="F259" i="5"/>
  <c r="H259" i="5"/>
  <c r="I259" i="5"/>
  <c r="L259" i="5"/>
  <c r="N259" i="5"/>
  <c r="O259" i="5"/>
  <c r="Z259" i="5"/>
  <c r="AN259" i="5"/>
  <c r="AG260" i="5"/>
  <c r="AF260" i="5"/>
  <c r="B86" i="4"/>
  <c r="C86" i="4"/>
  <c r="C260" i="5"/>
  <c r="D86" i="4"/>
  <c r="E260" i="5"/>
  <c r="K260" i="5"/>
  <c r="L86" i="4"/>
  <c r="Q260" i="5"/>
  <c r="M86" i="4"/>
  <c r="R260" i="5"/>
  <c r="N86" i="4"/>
  <c r="T260" i="5"/>
  <c r="O2" i="2"/>
  <c r="O86" i="4"/>
  <c r="U260" i="5"/>
  <c r="P86" i="4"/>
  <c r="W260" i="5"/>
  <c r="Q86" i="4"/>
  <c r="X260" i="5"/>
  <c r="S86" i="4"/>
  <c r="AA260" i="5"/>
  <c r="AI86" i="4"/>
  <c r="T86" i="4" a="1"/>
  <c r="T86" i="4"/>
  <c r="AC260" i="5"/>
  <c r="U86" i="4" a="1"/>
  <c r="U86" i="4"/>
  <c r="AD260" i="5"/>
  <c r="X86" i="4"/>
  <c r="AI260" i="5"/>
  <c r="Y86" i="4"/>
  <c r="AJ260" i="5"/>
  <c r="Z86" i="4"/>
  <c r="AL260" i="5"/>
  <c r="F260" i="5"/>
  <c r="H260" i="5"/>
  <c r="I260" i="5"/>
  <c r="L260" i="5"/>
  <c r="N260" i="5"/>
  <c r="O260" i="5"/>
  <c r="Z260" i="5"/>
  <c r="AN260" i="5"/>
  <c r="AG261" i="5"/>
  <c r="AF261" i="5"/>
  <c r="B96" i="4"/>
  <c r="C96" i="4"/>
  <c r="C261" i="5"/>
  <c r="D96" i="4"/>
  <c r="E261" i="5"/>
  <c r="K261" i="5"/>
  <c r="L96" i="4"/>
  <c r="Q261" i="5"/>
  <c r="M96" i="4"/>
  <c r="R261" i="5"/>
  <c r="T261" i="5"/>
  <c r="U261" i="5"/>
  <c r="P96" i="4"/>
  <c r="W261" i="5"/>
  <c r="Q96" i="4"/>
  <c r="X261" i="5"/>
  <c r="S96" i="4"/>
  <c r="AA261" i="5"/>
  <c r="AI96" i="4"/>
  <c r="T96" i="4" a="1"/>
  <c r="T96" i="4"/>
  <c r="AC261" i="5"/>
  <c r="U96" i="4" a="1"/>
  <c r="U96" i="4"/>
  <c r="AD261" i="5"/>
  <c r="X96" i="4"/>
  <c r="AI261" i="5"/>
  <c r="Y96" i="4"/>
  <c r="AJ261" i="5"/>
  <c r="Z96" i="4"/>
  <c r="AL261" i="5"/>
  <c r="F261" i="5"/>
  <c r="H261" i="5"/>
  <c r="I261" i="5"/>
  <c r="L261" i="5"/>
  <c r="N261" i="5"/>
  <c r="O261" i="5"/>
  <c r="Z261" i="5"/>
  <c r="AN261" i="5"/>
  <c r="AG262" i="5"/>
  <c r="AF262" i="5"/>
  <c r="C98" i="4"/>
  <c r="C262" i="5"/>
  <c r="N98" i="4"/>
  <c r="T262" i="5"/>
  <c r="O98" i="4"/>
  <c r="U262" i="5"/>
  <c r="P98" i="4"/>
  <c r="W262" i="5"/>
  <c r="Q98" i="4"/>
  <c r="X262" i="5"/>
  <c r="AA262" i="5"/>
  <c r="AI98" i="4"/>
  <c r="T98" i="4" a="1"/>
  <c r="T98" i="4"/>
  <c r="AC262" i="5"/>
  <c r="U98" i="4" a="1"/>
  <c r="U98" i="4"/>
  <c r="AD262" i="5"/>
  <c r="X98" i="4"/>
  <c r="AI262" i="5"/>
  <c r="Y98" i="4"/>
  <c r="AJ262" i="5"/>
  <c r="Z98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73" i="4"/>
  <c r="C273" i="4"/>
  <c r="C263" i="5"/>
  <c r="D273" i="4"/>
  <c r="E263" i="5"/>
  <c r="E273" i="4"/>
  <c r="F263" i="5"/>
  <c r="F273" i="4"/>
  <c r="H263" i="5"/>
  <c r="I263" i="5"/>
  <c r="I273" i="4"/>
  <c r="L263" i="5"/>
  <c r="J273" i="4"/>
  <c r="N263" i="5"/>
  <c r="L273" i="4"/>
  <c r="Q263" i="5"/>
  <c r="M273" i="4"/>
  <c r="R263" i="5"/>
  <c r="N273" i="4"/>
  <c r="T263" i="5"/>
  <c r="U263" i="5"/>
  <c r="P273" i="4"/>
  <c r="W263" i="5"/>
  <c r="Q273" i="4"/>
  <c r="X263" i="5"/>
  <c r="S273" i="4"/>
  <c r="AA263" i="5"/>
  <c r="AI273" i="4"/>
  <c r="T273" i="4" a="1"/>
  <c r="T273" i="4"/>
  <c r="AC263" i="5"/>
  <c r="U273" i="4" a="1"/>
  <c r="U273" i="4"/>
  <c r="AD263" i="5"/>
  <c r="AI263" i="5"/>
  <c r="Y273" i="4"/>
  <c r="AJ263" i="5"/>
  <c r="Z273" i="4"/>
  <c r="AL263" i="5"/>
  <c r="Z263" i="5"/>
  <c r="AN263" i="5"/>
  <c r="AG264" i="5"/>
  <c r="AF264" i="5"/>
  <c r="B53" i="4"/>
  <c r="C53" i="4"/>
  <c r="C264" i="5"/>
  <c r="D53" i="4"/>
  <c r="E264" i="5"/>
  <c r="H53" i="4"/>
  <c r="K264" i="5"/>
  <c r="I53" i="4"/>
  <c r="L264" i="5"/>
  <c r="J53" i="4"/>
  <c r="N264" i="5"/>
  <c r="O264" i="5"/>
  <c r="L53" i="4"/>
  <c r="Q264" i="5"/>
  <c r="M53" i="4"/>
  <c r="R264" i="5"/>
  <c r="N53" i="4"/>
  <c r="T264" i="5"/>
  <c r="O53" i="4"/>
  <c r="U264" i="5"/>
  <c r="P53" i="4"/>
  <c r="W264" i="5"/>
  <c r="Q53" i="4"/>
  <c r="X264" i="5"/>
  <c r="S53" i="4"/>
  <c r="AA264" i="5"/>
  <c r="AI53" i="4"/>
  <c r="T53" i="4" a="1"/>
  <c r="T53" i="4"/>
  <c r="AC264" i="5"/>
  <c r="U53" i="4" a="1"/>
  <c r="U53" i="4"/>
  <c r="AD264" i="5"/>
  <c r="X53" i="4"/>
  <c r="AI264" i="5"/>
  <c r="Y53" i="4"/>
  <c r="AJ264" i="5"/>
  <c r="Z53" i="4"/>
  <c r="AL264" i="5"/>
  <c r="F264" i="5"/>
  <c r="H264" i="5"/>
  <c r="I264" i="5"/>
  <c r="Z264" i="5"/>
  <c r="AN264" i="5"/>
  <c r="AG265" i="5"/>
  <c r="AF265" i="5"/>
  <c r="B54" i="4"/>
  <c r="C54" i="4"/>
  <c r="C265" i="5"/>
  <c r="D54" i="4"/>
  <c r="E265" i="5"/>
  <c r="K265" i="5"/>
  <c r="I54" i="4"/>
  <c r="L265" i="5"/>
  <c r="J54" i="4"/>
  <c r="N265" i="5"/>
  <c r="O265" i="5"/>
  <c r="L54" i="4"/>
  <c r="Q265" i="5"/>
  <c r="M54" i="4"/>
  <c r="R265" i="5"/>
  <c r="N54" i="4"/>
  <c r="T265" i="5"/>
  <c r="U265" i="5"/>
  <c r="P54" i="4"/>
  <c r="W265" i="5"/>
  <c r="Q54" i="4"/>
  <c r="X265" i="5"/>
  <c r="S54" i="4"/>
  <c r="AA265" i="5"/>
  <c r="AI54" i="4"/>
  <c r="T54" i="4" a="1"/>
  <c r="T54" i="4"/>
  <c r="AC265" i="5"/>
  <c r="U54" i="4" a="1"/>
  <c r="U54" i="4"/>
  <c r="AD265" i="5"/>
  <c r="X54" i="4"/>
  <c r="AI265" i="5"/>
  <c r="Y54" i="4"/>
  <c r="AJ265" i="5"/>
  <c r="Z54" i="4"/>
  <c r="AL265" i="5"/>
  <c r="F265" i="5"/>
  <c r="H265" i="5"/>
  <c r="I265" i="5"/>
  <c r="Z265" i="5"/>
  <c r="AN265" i="5"/>
  <c r="AG266" i="5"/>
  <c r="AF266" i="5"/>
  <c r="B248" i="4"/>
  <c r="C248" i="4"/>
  <c r="C266" i="5"/>
  <c r="D248" i="4"/>
  <c r="E266" i="5"/>
  <c r="K266" i="5"/>
  <c r="L248" i="4"/>
  <c r="Q266" i="5"/>
  <c r="M248" i="4"/>
  <c r="R266" i="5"/>
  <c r="N248" i="4"/>
  <c r="T266" i="5"/>
  <c r="U266" i="5"/>
  <c r="P248" i="4"/>
  <c r="W266" i="5"/>
  <c r="Q248" i="4"/>
  <c r="X266" i="5"/>
  <c r="S248" i="4"/>
  <c r="AA266" i="5"/>
  <c r="AI248" i="4"/>
  <c r="T248" i="4" a="1"/>
  <c r="T248" i="4"/>
  <c r="AC266" i="5"/>
  <c r="U248" i="4" a="1"/>
  <c r="U248" i="4"/>
  <c r="AD266" i="5"/>
  <c r="X248" i="4"/>
  <c r="AI266" i="5"/>
  <c r="Y248" i="4"/>
  <c r="AJ266" i="5"/>
  <c r="Z248" i="4"/>
  <c r="AL266" i="5"/>
  <c r="F266" i="5"/>
  <c r="L266" i="5"/>
  <c r="N266" i="5"/>
  <c r="O266" i="5"/>
  <c r="H266" i="5"/>
  <c r="I266" i="5"/>
  <c r="Z266" i="5"/>
  <c r="AN266" i="5"/>
  <c r="AG267" i="5"/>
  <c r="AF267" i="5"/>
  <c r="B108" i="4"/>
  <c r="C108" i="4"/>
  <c r="C267" i="5"/>
  <c r="D108" i="4"/>
  <c r="E267" i="5"/>
  <c r="E108" i="4"/>
  <c r="F267" i="5"/>
  <c r="F108" i="4"/>
  <c r="H267" i="5"/>
  <c r="I267" i="5"/>
  <c r="H108" i="4"/>
  <c r="K267" i="5"/>
  <c r="L108" i="4"/>
  <c r="Q267" i="5"/>
  <c r="M108" i="4"/>
  <c r="R267" i="5"/>
  <c r="N108" i="4"/>
  <c r="T267" i="5"/>
  <c r="O108" i="4"/>
  <c r="U267" i="5"/>
  <c r="P108" i="4"/>
  <c r="W267" i="5"/>
  <c r="Q108" i="4"/>
  <c r="X267" i="5"/>
  <c r="S108" i="4"/>
  <c r="AA267" i="5"/>
  <c r="AI108" i="4"/>
  <c r="T108" i="4" a="1"/>
  <c r="T108" i="4"/>
  <c r="AC267" i="5"/>
  <c r="U108" i="4" a="1"/>
  <c r="U108" i="4"/>
  <c r="AD267" i="5"/>
  <c r="X108" i="4"/>
  <c r="AI267" i="5"/>
  <c r="Y108" i="4"/>
  <c r="AJ267" i="5"/>
  <c r="Z108" i="4"/>
  <c r="AL267" i="5"/>
  <c r="L267" i="5"/>
  <c r="N267" i="5"/>
  <c r="O267" i="5"/>
  <c r="Z267" i="5"/>
  <c r="AN267" i="5"/>
  <c r="O268" i="5"/>
  <c r="B109" i="4"/>
  <c r="H109" i="4"/>
  <c r="K268" i="5"/>
  <c r="AG268" i="5"/>
  <c r="AF268" i="5"/>
  <c r="C109" i="4"/>
  <c r="C268" i="5"/>
  <c r="D109" i="4"/>
  <c r="E268" i="5"/>
  <c r="I7" i="2"/>
  <c r="I109" i="4"/>
  <c r="L268" i="5"/>
  <c r="J7" i="2"/>
  <c r="J109" i="4"/>
  <c r="N268" i="5"/>
  <c r="L109" i="4"/>
  <c r="Q268" i="5"/>
  <c r="M109" i="4"/>
  <c r="R268" i="5"/>
  <c r="T268" i="5"/>
  <c r="O109" i="4"/>
  <c r="U268" i="5"/>
  <c r="P109" i="4"/>
  <c r="W268" i="5"/>
  <c r="Q109" i="4"/>
  <c r="X268" i="5"/>
  <c r="S109" i="4"/>
  <c r="AA268" i="5"/>
  <c r="AI109" i="4"/>
  <c r="T109" i="4" a="1"/>
  <c r="T109" i="4"/>
  <c r="AC268" i="5"/>
  <c r="U109" i="4" a="1"/>
  <c r="U109" i="4"/>
  <c r="AD268" i="5"/>
  <c r="X109" i="4"/>
  <c r="AI268" i="5"/>
  <c r="Y109" i="4"/>
  <c r="AJ268" i="5"/>
  <c r="Z109" i="4"/>
  <c r="AL268" i="5"/>
  <c r="F268" i="5"/>
  <c r="H268" i="5"/>
  <c r="I268" i="5"/>
  <c r="Z268" i="5"/>
  <c r="AN268" i="5"/>
  <c r="B291" i="4"/>
  <c r="S291" i="4"/>
  <c r="AA269" i="5"/>
  <c r="P291" i="4"/>
  <c r="W269" i="5"/>
  <c r="AG269" i="5"/>
  <c r="AF269" i="5"/>
  <c r="C291" i="4"/>
  <c r="C269" i="5"/>
  <c r="D291" i="4"/>
  <c r="E269" i="5"/>
  <c r="E291" i="4"/>
  <c r="F269" i="5"/>
  <c r="F291" i="4"/>
  <c r="H269" i="5"/>
  <c r="I269" i="5"/>
  <c r="K269" i="5"/>
  <c r="L291" i="4"/>
  <c r="Q269" i="5"/>
  <c r="M291" i="4"/>
  <c r="R269" i="5"/>
  <c r="T269" i="5"/>
  <c r="U269" i="5"/>
  <c r="Q291" i="4"/>
  <c r="X269" i="5"/>
  <c r="R291" i="4"/>
  <c r="Z269" i="5"/>
  <c r="AI291" i="4"/>
  <c r="T291" i="4" a="1"/>
  <c r="T291" i="4"/>
  <c r="AC269" i="5"/>
  <c r="U291" i="4" a="1"/>
  <c r="U291" i="4"/>
  <c r="AD269" i="5"/>
  <c r="X291" i="4"/>
  <c r="AI269" i="5"/>
  <c r="Y291" i="4"/>
  <c r="AJ269" i="5"/>
  <c r="Z291" i="4"/>
  <c r="AL269" i="5"/>
  <c r="L269" i="5"/>
  <c r="N269" i="5"/>
  <c r="O269" i="5"/>
  <c r="AN269" i="5"/>
  <c r="B259" i="4"/>
  <c r="S259" i="4"/>
  <c r="AA270" i="5"/>
  <c r="P259" i="4"/>
  <c r="W270" i="5"/>
  <c r="AG270" i="5"/>
  <c r="AF270" i="5"/>
  <c r="C259" i="4"/>
  <c r="C270" i="5"/>
  <c r="D259" i="4"/>
  <c r="E270" i="5"/>
  <c r="E259" i="4"/>
  <c r="F270" i="5"/>
  <c r="F259" i="4"/>
  <c r="H270" i="5"/>
  <c r="I270" i="5"/>
  <c r="K270" i="5"/>
  <c r="L259" i="4"/>
  <c r="Q270" i="5"/>
  <c r="O259" i="4"/>
  <c r="U270" i="5"/>
  <c r="Q259" i="4"/>
  <c r="X270" i="5"/>
  <c r="R259" i="4"/>
  <c r="Z270" i="5"/>
  <c r="AI259" i="4"/>
  <c r="T259" i="4" a="1"/>
  <c r="T259" i="4"/>
  <c r="AC270" i="5"/>
  <c r="U259" i="4" a="1"/>
  <c r="U259" i="4"/>
  <c r="AD270" i="5"/>
  <c r="X259" i="4"/>
  <c r="AI270" i="5"/>
  <c r="Y259" i="4"/>
  <c r="AJ270" i="5"/>
  <c r="Z259" i="4"/>
  <c r="AL270" i="5"/>
  <c r="L270" i="5"/>
  <c r="N270" i="5"/>
  <c r="O270" i="5"/>
  <c r="R270" i="5"/>
  <c r="AN270" i="5"/>
  <c r="O271" i="5"/>
  <c r="B292" i="4"/>
  <c r="H292" i="4"/>
  <c r="K271" i="5"/>
  <c r="AG271" i="5"/>
  <c r="AF271" i="5"/>
  <c r="C292" i="4"/>
  <c r="C271" i="5"/>
  <c r="D292" i="4"/>
  <c r="E271" i="5"/>
  <c r="E292" i="4"/>
  <c r="F271" i="5"/>
  <c r="F292" i="4"/>
  <c r="H271" i="5"/>
  <c r="I271" i="5"/>
  <c r="I292" i="4"/>
  <c r="L271" i="5"/>
  <c r="J292" i="4"/>
  <c r="N271" i="5"/>
  <c r="L292" i="4"/>
  <c r="Q271" i="5"/>
  <c r="M292" i="4"/>
  <c r="R271" i="5"/>
  <c r="N292" i="4"/>
  <c r="T271" i="5"/>
  <c r="O292" i="4"/>
  <c r="U271" i="5"/>
  <c r="P292" i="4"/>
  <c r="W271" i="5"/>
  <c r="Q292" i="4"/>
  <c r="X271" i="5"/>
  <c r="S292" i="4"/>
  <c r="AA271" i="5"/>
  <c r="AI292" i="4"/>
  <c r="T292" i="4" a="1"/>
  <c r="T292" i="4"/>
  <c r="AC271" i="5"/>
  <c r="U292" i="4" a="1"/>
  <c r="U292" i="4"/>
  <c r="AD271" i="5"/>
  <c r="X292" i="4"/>
  <c r="AI271" i="5"/>
  <c r="Y292" i="4"/>
  <c r="AJ271" i="5"/>
  <c r="Z292" i="4"/>
  <c r="AL271" i="5"/>
  <c r="Z271" i="5"/>
  <c r="AN271" i="5"/>
  <c r="O272" i="5"/>
  <c r="B14" i="4"/>
  <c r="H14" i="4"/>
  <c r="K272" i="5"/>
  <c r="AG272" i="5"/>
  <c r="AF272" i="5"/>
  <c r="C14" i="4"/>
  <c r="C272" i="5"/>
  <c r="D14" i="4"/>
  <c r="E272" i="5"/>
  <c r="E14" i="4"/>
  <c r="F272" i="5"/>
  <c r="F14" i="4"/>
  <c r="H272" i="5"/>
  <c r="I272" i="5"/>
  <c r="I43" i="2"/>
  <c r="I14" i="4"/>
  <c r="L272" i="5"/>
  <c r="J43" i="2"/>
  <c r="J14" i="4"/>
  <c r="N272" i="5"/>
  <c r="L14" i="4"/>
  <c r="Q272" i="5"/>
  <c r="M14" i="4"/>
  <c r="R272" i="5"/>
  <c r="T272" i="5"/>
  <c r="O14" i="4"/>
  <c r="U272" i="5"/>
  <c r="W272" i="5"/>
  <c r="Q14" i="4"/>
  <c r="X272" i="5"/>
  <c r="AA272" i="5"/>
  <c r="AI14" i="4"/>
  <c r="T14" i="4" a="1"/>
  <c r="T14" i="4"/>
  <c r="AC272" i="5"/>
  <c r="U14" i="4" a="1"/>
  <c r="U14" i="4"/>
  <c r="AD272" i="5"/>
  <c r="X14" i="4"/>
  <c r="AI272" i="5"/>
  <c r="Y14" i="4"/>
  <c r="AJ272" i="5"/>
  <c r="Z14" i="4"/>
  <c r="AL272" i="5"/>
  <c r="Z272" i="5"/>
  <c r="AN272" i="5"/>
  <c r="AG273" i="5"/>
  <c r="AF273" i="5"/>
  <c r="B115" i="4"/>
  <c r="C115" i="4"/>
  <c r="C273" i="5"/>
  <c r="D115" i="4"/>
  <c r="E273" i="5"/>
  <c r="H115" i="4"/>
  <c r="K273" i="5"/>
  <c r="L115" i="4"/>
  <c r="Q273" i="5"/>
  <c r="M115" i="4"/>
  <c r="R273" i="5"/>
  <c r="T273" i="5"/>
  <c r="O115" i="4"/>
  <c r="U273" i="5"/>
  <c r="P115" i="4"/>
  <c r="W273" i="5"/>
  <c r="Q115" i="4"/>
  <c r="X273" i="5"/>
  <c r="S115" i="4"/>
  <c r="AA273" i="5"/>
  <c r="AI115" i="4"/>
  <c r="T115" i="4" a="1"/>
  <c r="T115" i="4"/>
  <c r="AC273" i="5"/>
  <c r="U115" i="4" a="1"/>
  <c r="U115" i="4"/>
  <c r="AD273" i="5"/>
  <c r="X115" i="4"/>
  <c r="AI273" i="5"/>
  <c r="Y115" i="4"/>
  <c r="AJ273" i="5"/>
  <c r="Z115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260" i="4"/>
  <c r="C260" i="4"/>
  <c r="C274" i="5"/>
  <c r="D260" i="4"/>
  <c r="E274" i="5"/>
  <c r="L274" i="5"/>
  <c r="N274" i="5"/>
  <c r="L260" i="4"/>
  <c r="Q274" i="5"/>
  <c r="M260" i="4"/>
  <c r="R274" i="5"/>
  <c r="N260" i="4"/>
  <c r="T274" i="5"/>
  <c r="U274" i="5"/>
  <c r="P260" i="4"/>
  <c r="W274" i="5"/>
  <c r="X274" i="5"/>
  <c r="AA274" i="5"/>
  <c r="AI260" i="4"/>
  <c r="T260" i="4" a="1"/>
  <c r="T260" i="4"/>
  <c r="AC274" i="5"/>
  <c r="U260" i="4" a="1"/>
  <c r="U260" i="4"/>
  <c r="AD274" i="5"/>
  <c r="X260" i="4"/>
  <c r="AI274" i="5"/>
  <c r="Y260" i="4"/>
  <c r="AJ274" i="5"/>
  <c r="Z260" i="4"/>
  <c r="AL274" i="5"/>
  <c r="F274" i="5"/>
  <c r="H274" i="5"/>
  <c r="I274" i="5"/>
  <c r="Z274" i="5"/>
  <c r="AN274" i="5"/>
  <c r="AG275" i="5"/>
  <c r="AF275" i="5"/>
  <c r="B133" i="4"/>
  <c r="C133" i="4"/>
  <c r="C275" i="5"/>
  <c r="D133" i="4"/>
  <c r="E275" i="5"/>
  <c r="H133" i="4"/>
  <c r="K275" i="5"/>
  <c r="L133" i="4"/>
  <c r="Q275" i="5"/>
  <c r="M133" i="4"/>
  <c r="R275" i="5"/>
  <c r="N133" i="4"/>
  <c r="T275" i="5"/>
  <c r="U275" i="5"/>
  <c r="P133" i="4"/>
  <c r="W275" i="5"/>
  <c r="Q133" i="4"/>
  <c r="X275" i="5"/>
  <c r="AA275" i="5"/>
  <c r="AI133" i="4"/>
  <c r="T133" i="4" a="1"/>
  <c r="T133" i="4"/>
  <c r="AC275" i="5"/>
  <c r="U133" i="4" a="1"/>
  <c r="U133" i="4"/>
  <c r="AD275" i="5"/>
  <c r="Y133" i="4"/>
  <c r="AJ275" i="5"/>
  <c r="Z133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B135" i="4"/>
  <c r="C135" i="4"/>
  <c r="C277" i="5"/>
  <c r="D135" i="4"/>
  <c r="E277" i="5"/>
  <c r="H135" i="4"/>
  <c r="K277" i="5"/>
  <c r="L135" i="4"/>
  <c r="Q277" i="5"/>
  <c r="M135" i="4"/>
  <c r="R277" i="5"/>
  <c r="N135" i="4"/>
  <c r="T277" i="5"/>
  <c r="U277" i="5"/>
  <c r="P135" i="4"/>
  <c r="W277" i="5"/>
  <c r="Q135" i="4"/>
  <c r="X277" i="5"/>
  <c r="AA277" i="5"/>
  <c r="AI135" i="4"/>
  <c r="T135" i="4" a="1"/>
  <c r="T135" i="4"/>
  <c r="AC277" i="5"/>
  <c r="U135" i="4" a="1"/>
  <c r="U135" i="4"/>
  <c r="AD277" i="5"/>
  <c r="X135" i="4"/>
  <c r="AI277" i="5"/>
  <c r="Y135" i="4"/>
  <c r="AJ277" i="5"/>
  <c r="Z135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278" i="4"/>
  <c r="C278" i="5"/>
  <c r="D278" i="4"/>
  <c r="E278" i="5"/>
  <c r="I278" i="4"/>
  <c r="L278" i="5"/>
  <c r="J278" i="4"/>
  <c r="N278" i="5"/>
  <c r="L278" i="4"/>
  <c r="Q278" i="5"/>
  <c r="M278" i="4"/>
  <c r="R278" i="5"/>
  <c r="N278" i="4"/>
  <c r="T278" i="5"/>
  <c r="O278" i="4"/>
  <c r="U278" i="5"/>
  <c r="P278" i="4"/>
  <c r="W278" i="5"/>
  <c r="Q278" i="4"/>
  <c r="X278" i="5"/>
  <c r="S278" i="4"/>
  <c r="AA278" i="5"/>
  <c r="AI278" i="4"/>
  <c r="T278" i="4" a="1"/>
  <c r="T278" i="4"/>
  <c r="AC278" i="5"/>
  <c r="U278" i="4" a="1"/>
  <c r="U278" i="4"/>
  <c r="AD278" i="5"/>
  <c r="AI278" i="5"/>
  <c r="Y278" i="4"/>
  <c r="AJ278" i="5"/>
  <c r="Z278" i="4"/>
  <c r="AL278" i="5"/>
  <c r="F278" i="5"/>
  <c r="H278" i="5"/>
  <c r="I278" i="5"/>
  <c r="Z278" i="5"/>
  <c r="AN278" i="5"/>
  <c r="AG279" i="5"/>
  <c r="AF279" i="5"/>
  <c r="B137" i="4"/>
  <c r="C137" i="4"/>
  <c r="C279" i="5"/>
  <c r="D137" i="4"/>
  <c r="E279" i="5"/>
  <c r="H137" i="4"/>
  <c r="K279" i="5"/>
  <c r="L137" i="4"/>
  <c r="Q279" i="5"/>
  <c r="M137" i="4"/>
  <c r="R279" i="5"/>
  <c r="T279" i="5"/>
  <c r="O137" i="4"/>
  <c r="U279" i="5"/>
  <c r="P137" i="4"/>
  <c r="W279" i="5"/>
  <c r="Q137" i="4"/>
  <c r="X279" i="5"/>
  <c r="S137" i="4"/>
  <c r="AA279" i="5"/>
  <c r="AI137" i="4"/>
  <c r="T137" i="4" a="1"/>
  <c r="T137" i="4"/>
  <c r="AC279" i="5"/>
  <c r="U137" i="4" a="1"/>
  <c r="U137" i="4"/>
  <c r="AD279" i="5"/>
  <c r="X137" i="4"/>
  <c r="AI279" i="5"/>
  <c r="Y137" i="4"/>
  <c r="AJ279" i="5"/>
  <c r="Z137" i="4"/>
  <c r="AL279" i="5"/>
  <c r="F279" i="5"/>
  <c r="H279" i="5"/>
  <c r="I279" i="5"/>
  <c r="L279" i="5"/>
  <c r="N279" i="5"/>
  <c r="O279" i="5"/>
  <c r="Z279" i="5"/>
  <c r="AN279" i="5"/>
  <c r="AG280" i="5"/>
  <c r="AF280" i="5"/>
  <c r="B168" i="4"/>
  <c r="C168" i="4"/>
  <c r="C280" i="5"/>
  <c r="D168" i="4"/>
  <c r="E280" i="5"/>
  <c r="H168" i="4"/>
  <c r="K280" i="5"/>
  <c r="L168" i="4"/>
  <c r="Q280" i="5"/>
  <c r="M168" i="4"/>
  <c r="R280" i="5"/>
  <c r="T280" i="5"/>
  <c r="O168" i="4"/>
  <c r="U280" i="5"/>
  <c r="P168" i="4"/>
  <c r="W280" i="5"/>
  <c r="Q168" i="4"/>
  <c r="X280" i="5"/>
  <c r="S168" i="4"/>
  <c r="AA280" i="5"/>
  <c r="AI168" i="4"/>
  <c r="T168" i="4" a="1"/>
  <c r="T168" i="4"/>
  <c r="AC280" i="5"/>
  <c r="U168" i="4" a="1"/>
  <c r="U168" i="4"/>
  <c r="AD280" i="5"/>
  <c r="X168" i="4"/>
  <c r="AI280" i="5"/>
  <c r="Y168" i="4"/>
  <c r="AJ280" i="5"/>
  <c r="Z168" i="4"/>
  <c r="AL280" i="5"/>
  <c r="F280" i="5"/>
  <c r="H280" i="5"/>
  <c r="I280" i="5"/>
  <c r="L280" i="5"/>
  <c r="N280" i="5"/>
  <c r="O280" i="5"/>
  <c r="Z280" i="5"/>
  <c r="AN280" i="5"/>
  <c r="AG281" i="5"/>
  <c r="AF281" i="5"/>
  <c r="B169" i="4"/>
  <c r="C169" i="4"/>
  <c r="C281" i="5"/>
  <c r="D169" i="4"/>
  <c r="E281" i="5"/>
  <c r="H169" i="4"/>
  <c r="K281" i="5"/>
  <c r="L169" i="4"/>
  <c r="Q281" i="5"/>
  <c r="M169" i="4"/>
  <c r="R281" i="5"/>
  <c r="T281" i="5"/>
  <c r="O169" i="4"/>
  <c r="U281" i="5"/>
  <c r="P169" i="4"/>
  <c r="W281" i="5"/>
  <c r="Q169" i="4"/>
  <c r="X281" i="5"/>
  <c r="S169" i="4"/>
  <c r="AA281" i="5"/>
  <c r="AI169" i="4"/>
  <c r="T169" i="4" a="1"/>
  <c r="T169" i="4"/>
  <c r="AC281" i="5"/>
  <c r="U169" i="4" a="1"/>
  <c r="U169" i="4"/>
  <c r="AD281" i="5"/>
  <c r="X169" i="4"/>
  <c r="AI281" i="5"/>
  <c r="Y169" i="4"/>
  <c r="AJ281" i="5"/>
  <c r="Z169" i="4"/>
  <c r="AL281" i="5"/>
  <c r="F281" i="5"/>
  <c r="H281" i="5"/>
  <c r="I281" i="5"/>
  <c r="L281" i="5"/>
  <c r="N281" i="5"/>
  <c r="O281" i="5"/>
  <c r="Z281" i="5"/>
  <c r="AN281" i="5"/>
  <c r="AG282" i="5"/>
  <c r="AF282" i="5"/>
  <c r="B170" i="4"/>
  <c r="C170" i="4"/>
  <c r="C282" i="5"/>
  <c r="D170" i="4"/>
  <c r="E282" i="5"/>
  <c r="H170" i="4"/>
  <c r="K282" i="5"/>
  <c r="L170" i="4"/>
  <c r="Q282" i="5"/>
  <c r="M170" i="4"/>
  <c r="R282" i="5"/>
  <c r="T282" i="5"/>
  <c r="O170" i="4"/>
  <c r="U282" i="5"/>
  <c r="P170" i="4"/>
  <c r="W282" i="5"/>
  <c r="Q170" i="4"/>
  <c r="X282" i="5"/>
  <c r="S170" i="4"/>
  <c r="AA282" i="5"/>
  <c r="AI170" i="4"/>
  <c r="T170" i="4" a="1"/>
  <c r="T170" i="4"/>
  <c r="AC282" i="5"/>
  <c r="U170" i="4" a="1"/>
  <c r="U170" i="4"/>
  <c r="AD282" i="5"/>
  <c r="X170" i="4"/>
  <c r="AI282" i="5"/>
  <c r="Y170" i="4"/>
  <c r="AJ282" i="5"/>
  <c r="Z170" i="4"/>
  <c r="AL282" i="5"/>
  <c r="F282" i="5"/>
  <c r="H282" i="5"/>
  <c r="I282" i="5"/>
  <c r="L282" i="5"/>
  <c r="N282" i="5"/>
  <c r="O282" i="5"/>
  <c r="Z282" i="5"/>
  <c r="AN282" i="5"/>
  <c r="AG283" i="5"/>
  <c r="AF283" i="5"/>
  <c r="B174" i="4"/>
  <c r="C174" i="4"/>
  <c r="C283" i="5"/>
  <c r="D174" i="4"/>
  <c r="E283" i="5"/>
  <c r="K283" i="5"/>
  <c r="L174" i="4"/>
  <c r="Q283" i="5"/>
  <c r="M174" i="4"/>
  <c r="R283" i="5"/>
  <c r="N174" i="4"/>
  <c r="T283" i="5"/>
  <c r="U283" i="5"/>
  <c r="P174" i="4"/>
  <c r="W283" i="5"/>
  <c r="Q174" i="4"/>
  <c r="X283" i="5"/>
  <c r="S174" i="4"/>
  <c r="AA283" i="5"/>
  <c r="AI174" i="4"/>
  <c r="T174" i="4" a="1"/>
  <c r="T174" i="4"/>
  <c r="AC283" i="5"/>
  <c r="U174" i="4" a="1"/>
  <c r="U174" i="4"/>
  <c r="AD283" i="5"/>
  <c r="X174" i="4"/>
  <c r="AI283" i="5"/>
  <c r="Y174" i="4"/>
  <c r="AJ283" i="5"/>
  <c r="Z174" i="4"/>
  <c r="AL283" i="5"/>
  <c r="F283" i="5"/>
  <c r="H283" i="5"/>
  <c r="I283" i="5"/>
  <c r="L283" i="5"/>
  <c r="N283" i="5"/>
  <c r="O283" i="5"/>
  <c r="Z283" i="5"/>
  <c r="AN283" i="5"/>
  <c r="AG284" i="5"/>
  <c r="AF284" i="5"/>
  <c r="B175" i="4"/>
  <c r="C175" i="4"/>
  <c r="C284" i="5"/>
  <c r="D175" i="4"/>
  <c r="E284" i="5"/>
  <c r="K284" i="5"/>
  <c r="L175" i="4"/>
  <c r="Q284" i="5"/>
  <c r="M175" i="4"/>
  <c r="R284" i="5"/>
  <c r="N175" i="4"/>
  <c r="T284" i="5"/>
  <c r="U284" i="5"/>
  <c r="P175" i="4"/>
  <c r="W284" i="5"/>
  <c r="Q175" i="4"/>
  <c r="X284" i="5"/>
  <c r="S175" i="4"/>
  <c r="AA284" i="5"/>
  <c r="AI175" i="4"/>
  <c r="T175" i="4" a="1"/>
  <c r="T175" i="4"/>
  <c r="AC284" i="5"/>
  <c r="U175" i="4" a="1"/>
  <c r="U175" i="4"/>
  <c r="AD284" i="5"/>
  <c r="X175" i="4"/>
  <c r="AI284" i="5"/>
  <c r="Y175" i="4"/>
  <c r="AJ284" i="5"/>
  <c r="Z175" i="4"/>
  <c r="AL284" i="5"/>
  <c r="F284" i="5"/>
  <c r="H284" i="5"/>
  <c r="I284" i="5"/>
  <c r="L284" i="5"/>
  <c r="N284" i="5"/>
  <c r="O284" i="5"/>
  <c r="Z284" i="5"/>
  <c r="AN284" i="5"/>
  <c r="AG285" i="5"/>
  <c r="AF285" i="5"/>
  <c r="B176" i="4"/>
  <c r="C176" i="4"/>
  <c r="C285" i="5"/>
  <c r="D176" i="4"/>
  <c r="E285" i="5"/>
  <c r="H176" i="4"/>
  <c r="K285" i="5"/>
  <c r="L176" i="4"/>
  <c r="Q285" i="5"/>
  <c r="M176" i="4"/>
  <c r="R285" i="5"/>
  <c r="T285" i="5"/>
  <c r="O176" i="4"/>
  <c r="U285" i="5"/>
  <c r="P176" i="4"/>
  <c r="W285" i="5"/>
  <c r="Q176" i="4"/>
  <c r="X285" i="5"/>
  <c r="S176" i="4"/>
  <c r="AA285" i="5"/>
  <c r="AI176" i="4"/>
  <c r="T176" i="4" a="1"/>
  <c r="T176" i="4"/>
  <c r="AC285" i="5"/>
  <c r="U176" i="4" a="1"/>
  <c r="U176" i="4"/>
  <c r="AD285" i="5"/>
  <c r="X176" i="4"/>
  <c r="AI285" i="5"/>
  <c r="Y176" i="4"/>
  <c r="AJ285" i="5"/>
  <c r="Z176" i="4"/>
  <c r="AL285" i="5"/>
  <c r="F285" i="5"/>
  <c r="H285" i="5"/>
  <c r="I285" i="5"/>
  <c r="L285" i="5"/>
  <c r="N285" i="5"/>
  <c r="O285" i="5"/>
  <c r="Z285" i="5"/>
  <c r="AN285" i="5"/>
  <c r="AG286" i="5"/>
  <c r="AF286" i="5"/>
  <c r="B177" i="4"/>
  <c r="C177" i="4"/>
  <c r="C286" i="5"/>
  <c r="D177" i="4"/>
  <c r="E286" i="5"/>
  <c r="H177" i="4"/>
  <c r="K286" i="5"/>
  <c r="L177" i="4"/>
  <c r="Q286" i="5"/>
  <c r="M177" i="4"/>
  <c r="R286" i="5"/>
  <c r="T286" i="5"/>
  <c r="O177" i="4"/>
  <c r="U286" i="5"/>
  <c r="P177" i="4"/>
  <c r="W286" i="5"/>
  <c r="Q177" i="4"/>
  <c r="X286" i="5"/>
  <c r="S177" i="4"/>
  <c r="AA286" i="5"/>
  <c r="AI177" i="4"/>
  <c r="T177" i="4" a="1"/>
  <c r="T177" i="4"/>
  <c r="AC286" i="5"/>
  <c r="U177" i="4" a="1"/>
  <c r="U177" i="4"/>
  <c r="AD286" i="5"/>
  <c r="X177" i="4"/>
  <c r="AI286" i="5"/>
  <c r="Y177" i="4"/>
  <c r="AJ286" i="5"/>
  <c r="Z177" i="4"/>
  <c r="AL286" i="5"/>
  <c r="F286" i="5"/>
  <c r="H286" i="5"/>
  <c r="I286" i="5"/>
  <c r="L286" i="5"/>
  <c r="N286" i="5"/>
  <c r="O286" i="5"/>
  <c r="Z286" i="5"/>
  <c r="AN286" i="5"/>
  <c r="AG287" i="5"/>
  <c r="AF287" i="5"/>
  <c r="C178" i="4"/>
  <c r="C287" i="5"/>
  <c r="T287" i="5"/>
  <c r="O178" i="4"/>
  <c r="U287" i="5"/>
  <c r="P178" i="4"/>
  <c r="W287" i="5"/>
  <c r="Q178" i="4"/>
  <c r="X287" i="5"/>
  <c r="S178" i="4"/>
  <c r="AA287" i="5"/>
  <c r="AI178" i="4"/>
  <c r="T178" i="4" a="1"/>
  <c r="T178" i="4"/>
  <c r="AC287" i="5"/>
  <c r="U178" i="4" a="1"/>
  <c r="U178" i="4"/>
  <c r="AD287" i="5"/>
  <c r="X178" i="4"/>
  <c r="AI287" i="5"/>
  <c r="Y178" i="4"/>
  <c r="AJ287" i="5"/>
  <c r="Z178" i="4"/>
  <c r="AL287" i="5"/>
  <c r="Z287" i="5"/>
  <c r="AN287" i="5"/>
  <c r="AG288" i="5"/>
  <c r="AF288" i="5"/>
  <c r="B179" i="4"/>
  <c r="C179" i="4"/>
  <c r="C288" i="5"/>
  <c r="D179" i="4"/>
  <c r="E288" i="5"/>
  <c r="H179" i="4"/>
  <c r="K288" i="5"/>
  <c r="L179" i="4"/>
  <c r="Q288" i="5"/>
  <c r="M179" i="4"/>
  <c r="R288" i="5"/>
  <c r="T288" i="5"/>
  <c r="O179" i="4"/>
  <c r="U288" i="5"/>
  <c r="P179" i="4"/>
  <c r="W288" i="5"/>
  <c r="Q179" i="4"/>
  <c r="X288" i="5"/>
  <c r="S179" i="4"/>
  <c r="AA288" i="5"/>
  <c r="AI179" i="4"/>
  <c r="T179" i="4" a="1"/>
  <c r="T179" i="4"/>
  <c r="AC288" i="5"/>
  <c r="U179" i="4" a="1"/>
  <c r="U179" i="4"/>
  <c r="AD288" i="5"/>
  <c r="X179" i="4"/>
  <c r="AI288" i="5"/>
  <c r="Y179" i="4"/>
  <c r="AJ288" i="5"/>
  <c r="Z179" i="4"/>
  <c r="AL288" i="5"/>
  <c r="F288" i="5"/>
  <c r="H288" i="5"/>
  <c r="I288" i="5"/>
  <c r="L288" i="5"/>
  <c r="N288" i="5"/>
  <c r="O288" i="5"/>
  <c r="Z288" i="5"/>
  <c r="AN288" i="5"/>
  <c r="AG289" i="5"/>
  <c r="AF289" i="5"/>
  <c r="B180" i="4"/>
  <c r="C180" i="4"/>
  <c r="C289" i="5"/>
  <c r="D180" i="4"/>
  <c r="E289" i="5"/>
  <c r="H180" i="4"/>
  <c r="K289" i="5"/>
  <c r="L180" i="4"/>
  <c r="Q289" i="5"/>
  <c r="M180" i="4"/>
  <c r="R289" i="5"/>
  <c r="T289" i="5"/>
  <c r="O180" i="4"/>
  <c r="U289" i="5"/>
  <c r="P180" i="4"/>
  <c r="W289" i="5"/>
  <c r="Q180" i="4"/>
  <c r="X289" i="5"/>
  <c r="S180" i="4"/>
  <c r="AA289" i="5"/>
  <c r="AI180" i="4"/>
  <c r="T180" i="4" a="1"/>
  <c r="T180" i="4"/>
  <c r="AC289" i="5"/>
  <c r="U180" i="4" a="1"/>
  <c r="U180" i="4"/>
  <c r="AD289" i="5"/>
  <c r="X180" i="4"/>
  <c r="AI289" i="5"/>
  <c r="Y180" i="4"/>
  <c r="AJ289" i="5"/>
  <c r="Z180" i="4"/>
  <c r="AL289" i="5"/>
  <c r="F289" i="5"/>
  <c r="H289" i="5"/>
  <c r="I289" i="5"/>
  <c r="L289" i="5"/>
  <c r="N289" i="5"/>
  <c r="O289" i="5"/>
  <c r="Z289" i="5"/>
  <c r="AN289" i="5"/>
  <c r="AG290" i="5"/>
  <c r="AF290" i="5"/>
  <c r="B181" i="4"/>
  <c r="C181" i="4"/>
  <c r="C290" i="5"/>
  <c r="D181" i="4"/>
  <c r="E290" i="5"/>
  <c r="H181" i="4"/>
  <c r="K290" i="5"/>
  <c r="L181" i="4"/>
  <c r="Q290" i="5"/>
  <c r="M181" i="4"/>
  <c r="R290" i="5"/>
  <c r="T290" i="5"/>
  <c r="O181" i="4"/>
  <c r="U290" i="5"/>
  <c r="P181" i="4"/>
  <c r="W290" i="5"/>
  <c r="Q181" i="4"/>
  <c r="X290" i="5"/>
  <c r="S181" i="4"/>
  <c r="AA290" i="5"/>
  <c r="AI181" i="4"/>
  <c r="T181" i="4" a="1"/>
  <c r="T181" i="4"/>
  <c r="AC290" i="5"/>
  <c r="U181" i="4" a="1"/>
  <c r="U181" i="4"/>
  <c r="AD290" i="5"/>
  <c r="X181" i="4"/>
  <c r="AI290" i="5"/>
  <c r="Y181" i="4"/>
  <c r="AJ290" i="5"/>
  <c r="Z181" i="4"/>
  <c r="AL290" i="5"/>
  <c r="F290" i="5"/>
  <c r="H290" i="5"/>
  <c r="I290" i="5"/>
  <c r="L290" i="5"/>
  <c r="N290" i="5"/>
  <c r="O290" i="5"/>
  <c r="Z290" i="5"/>
  <c r="AN290" i="5"/>
  <c r="B268" i="4"/>
  <c r="S268" i="4"/>
  <c r="AA291" i="5"/>
  <c r="P268" i="4"/>
  <c r="W291" i="5"/>
  <c r="AG291" i="5"/>
  <c r="AF291" i="5"/>
  <c r="C268" i="4"/>
  <c r="C291" i="5"/>
  <c r="D268" i="4"/>
  <c r="E291" i="5"/>
  <c r="H268" i="4"/>
  <c r="K291" i="5"/>
  <c r="L268" i="4"/>
  <c r="Q291" i="5"/>
  <c r="M268" i="4"/>
  <c r="R291" i="5"/>
  <c r="N268" i="4"/>
  <c r="T291" i="5"/>
  <c r="O268" i="4"/>
  <c r="U291" i="5"/>
  <c r="Q268" i="4"/>
  <c r="X291" i="5"/>
  <c r="R39" i="2"/>
  <c r="R268" i="4"/>
  <c r="Z291" i="5"/>
  <c r="AI268" i="4"/>
  <c r="T268" i="4" a="1"/>
  <c r="T268" i="4"/>
  <c r="AC291" i="5"/>
  <c r="U268" i="4" a="1"/>
  <c r="U268" i="4"/>
  <c r="AD291" i="5"/>
  <c r="X268" i="4"/>
  <c r="AI291" i="5"/>
  <c r="Y268" i="4"/>
  <c r="AJ291" i="5"/>
  <c r="Z268" i="4"/>
  <c r="AL291" i="5"/>
  <c r="F291" i="5"/>
  <c r="H291" i="5"/>
  <c r="I291" i="5"/>
  <c r="L291" i="5"/>
  <c r="N291" i="5"/>
  <c r="O291" i="5"/>
  <c r="AN291" i="5"/>
  <c r="AG292" i="5"/>
  <c r="AF292" i="5"/>
  <c r="B183" i="4"/>
  <c r="C183" i="4"/>
  <c r="C292" i="5"/>
  <c r="D183" i="4"/>
  <c r="E292" i="5"/>
  <c r="H183" i="4"/>
  <c r="K292" i="5"/>
  <c r="L183" i="4"/>
  <c r="Q292" i="5"/>
  <c r="M183" i="4"/>
  <c r="R292" i="5"/>
  <c r="N183" i="4"/>
  <c r="T292" i="5"/>
  <c r="O183" i="4"/>
  <c r="U292" i="5"/>
  <c r="P183" i="4"/>
  <c r="W292" i="5"/>
  <c r="Q183" i="4"/>
  <c r="X292" i="5"/>
  <c r="S183" i="4"/>
  <c r="AA292" i="5"/>
  <c r="AI183" i="4"/>
  <c r="T183" i="4" a="1"/>
  <c r="T183" i="4"/>
  <c r="AC292" i="5"/>
  <c r="U183" i="4" a="1"/>
  <c r="U183" i="4"/>
  <c r="AD292" i="5"/>
  <c r="X183" i="4"/>
  <c r="AI292" i="5"/>
  <c r="Y183" i="4"/>
  <c r="AJ292" i="5"/>
  <c r="Z183" i="4"/>
  <c r="AL292" i="5"/>
  <c r="F292" i="5"/>
  <c r="H292" i="5"/>
  <c r="I292" i="5"/>
  <c r="L292" i="5"/>
  <c r="N292" i="5"/>
  <c r="O292" i="5"/>
  <c r="Z292" i="5"/>
  <c r="AN292" i="5"/>
  <c r="AG293" i="5"/>
  <c r="AF293" i="5"/>
  <c r="B202" i="4"/>
  <c r="C202" i="4"/>
  <c r="C293" i="5"/>
  <c r="D202" i="4"/>
  <c r="E293" i="5"/>
  <c r="K293" i="5"/>
  <c r="L202" i="4"/>
  <c r="Q293" i="5"/>
  <c r="M202" i="4"/>
  <c r="R293" i="5"/>
  <c r="T293" i="5"/>
  <c r="U293" i="5"/>
  <c r="P202" i="4"/>
  <c r="W293" i="5"/>
  <c r="Q202" i="4"/>
  <c r="X293" i="5"/>
  <c r="S202" i="4"/>
  <c r="AA293" i="5"/>
  <c r="AI202" i="4"/>
  <c r="T202" i="4" a="1"/>
  <c r="T202" i="4"/>
  <c r="AC293" i="5"/>
  <c r="U202" i="4" a="1"/>
  <c r="U202" i="4"/>
  <c r="AD293" i="5"/>
  <c r="X202" i="4"/>
  <c r="AI293" i="5"/>
  <c r="Y202" i="4"/>
  <c r="AJ293" i="5"/>
  <c r="Z202" i="4"/>
  <c r="AL293" i="5"/>
  <c r="F293" i="5"/>
  <c r="H293" i="5"/>
  <c r="I293" i="5"/>
  <c r="L293" i="5"/>
  <c r="N293" i="5"/>
  <c r="O293" i="5"/>
  <c r="Z293" i="5"/>
  <c r="AN293" i="5"/>
  <c r="AG294" i="5"/>
  <c r="AF294" i="5"/>
  <c r="B211" i="4"/>
  <c r="C211" i="4"/>
  <c r="C294" i="5"/>
  <c r="D211" i="4"/>
  <c r="E294" i="5"/>
  <c r="H211" i="4"/>
  <c r="K294" i="5"/>
  <c r="L211" i="4"/>
  <c r="Q294" i="5"/>
  <c r="M211" i="4"/>
  <c r="R294" i="5"/>
  <c r="T294" i="5"/>
  <c r="O211" i="4"/>
  <c r="U294" i="5"/>
  <c r="P211" i="4"/>
  <c r="W294" i="5"/>
  <c r="Q211" i="4"/>
  <c r="X294" i="5"/>
  <c r="S211" i="4"/>
  <c r="AA294" i="5"/>
  <c r="AI211" i="4"/>
  <c r="T211" i="4" a="1"/>
  <c r="T211" i="4"/>
  <c r="AC294" i="5"/>
  <c r="U211" i="4" a="1"/>
  <c r="U211" i="4"/>
  <c r="AD294" i="5"/>
  <c r="X211" i="4"/>
  <c r="AI294" i="5"/>
  <c r="F294" i="5"/>
  <c r="H294" i="5"/>
  <c r="I294" i="5"/>
  <c r="L294" i="5"/>
  <c r="N294" i="5"/>
  <c r="O294" i="5"/>
  <c r="Z294" i="5"/>
  <c r="AN294" i="5"/>
  <c r="AG295" i="5"/>
  <c r="AF295" i="5"/>
  <c r="B212" i="4"/>
  <c r="C212" i="4"/>
  <c r="C295" i="5"/>
  <c r="D212" i="4"/>
  <c r="E295" i="5"/>
  <c r="H212" i="4"/>
  <c r="K295" i="5"/>
  <c r="L212" i="4"/>
  <c r="Q295" i="5"/>
  <c r="M212" i="4"/>
  <c r="R295" i="5"/>
  <c r="T295" i="5"/>
  <c r="O212" i="4"/>
  <c r="U295" i="5"/>
  <c r="P212" i="4"/>
  <c r="W295" i="5"/>
  <c r="Q212" i="4"/>
  <c r="X295" i="5"/>
  <c r="S212" i="4"/>
  <c r="AA295" i="5"/>
  <c r="AI212" i="4"/>
  <c r="T212" i="4" a="1"/>
  <c r="T212" i="4"/>
  <c r="AC295" i="5"/>
  <c r="U212" i="4" a="1"/>
  <c r="U212" i="4"/>
  <c r="AD295" i="5"/>
  <c r="X212" i="4"/>
  <c r="AI295" i="5"/>
  <c r="F295" i="5"/>
  <c r="H295" i="5"/>
  <c r="I295" i="5"/>
  <c r="L295" i="5"/>
  <c r="N295" i="5"/>
  <c r="O295" i="5"/>
  <c r="Z295" i="5"/>
  <c r="AN295" i="5"/>
  <c r="AG296" i="5"/>
  <c r="AF296" i="5"/>
  <c r="B272" i="4"/>
  <c r="C272" i="4"/>
  <c r="C296" i="5"/>
  <c r="D272" i="4"/>
  <c r="E296" i="5"/>
  <c r="H272" i="4"/>
  <c r="K296" i="5"/>
  <c r="L272" i="4"/>
  <c r="Q296" i="5"/>
  <c r="M272" i="4"/>
  <c r="R296" i="5"/>
  <c r="T296" i="5"/>
  <c r="O272" i="4"/>
  <c r="U296" i="5"/>
  <c r="P272" i="4"/>
  <c r="W296" i="5"/>
  <c r="Q272" i="4"/>
  <c r="X296" i="5"/>
  <c r="S272" i="4"/>
  <c r="AA296" i="5"/>
  <c r="AI272" i="4"/>
  <c r="T272" i="4" a="1"/>
  <c r="T272" i="4"/>
  <c r="AC296" i="5"/>
  <c r="U272" i="4" a="1"/>
  <c r="U272" i="4"/>
  <c r="AD296" i="5"/>
  <c r="X272" i="4"/>
  <c r="AI296" i="5"/>
  <c r="Y272" i="4"/>
  <c r="AJ296" i="5"/>
  <c r="Z272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299" i="4"/>
  <c r="V299" i="4"/>
  <c r="AF299" i="5"/>
  <c r="C45" i="2"/>
  <c r="C299" i="4"/>
  <c r="C299" i="5"/>
  <c r="D45" i="2"/>
  <c r="D299" i="4"/>
  <c r="E299" i="5"/>
  <c r="I45" i="2"/>
  <c r="I299" i="4"/>
  <c r="L299" i="5"/>
  <c r="J45" i="2"/>
  <c r="J299" i="4"/>
  <c r="N299" i="5"/>
  <c r="L45" i="2"/>
  <c r="L299" i="4"/>
  <c r="Q299" i="5"/>
  <c r="M45" i="2"/>
  <c r="M299" i="4"/>
  <c r="R299" i="5"/>
  <c r="N45" i="2"/>
  <c r="N299" i="4"/>
  <c r="T299" i="5"/>
  <c r="O45" i="2"/>
  <c r="O299" i="4"/>
  <c r="U299" i="5"/>
  <c r="P45" i="2"/>
  <c r="P299" i="4"/>
  <c r="W299" i="5"/>
  <c r="Q45" i="2"/>
  <c r="Q299" i="4"/>
  <c r="X299" i="5"/>
  <c r="AA299" i="5"/>
  <c r="T45" i="2"/>
  <c r="T299" i="4"/>
  <c r="AC299" i="5"/>
  <c r="U45" i="2"/>
  <c r="U299" i="4"/>
  <c r="AD299" i="5"/>
  <c r="X45" i="2"/>
  <c r="X299" i="4"/>
  <c r="AI299" i="5"/>
  <c r="Y45" i="2"/>
  <c r="Y299" i="4"/>
  <c r="AJ299" i="5"/>
  <c r="Z45" i="2"/>
  <c r="Z299" i="4"/>
  <c r="AL299" i="5"/>
  <c r="F299" i="5"/>
  <c r="H299" i="5"/>
  <c r="I299" i="5"/>
  <c r="Z299" i="5"/>
  <c r="AN299" i="5"/>
  <c r="O300" i="5"/>
  <c r="K300" i="5"/>
  <c r="AG300" i="5"/>
  <c r="B300" i="4"/>
  <c r="V300" i="4"/>
  <c r="AF300" i="5"/>
  <c r="C300" i="4"/>
  <c r="C300" i="5"/>
  <c r="D300" i="4"/>
  <c r="E300" i="5"/>
  <c r="I300" i="4"/>
  <c r="L300" i="5"/>
  <c r="J300" i="4"/>
  <c r="N300" i="5"/>
  <c r="L300" i="4"/>
  <c r="Q300" i="5"/>
  <c r="M300" i="4"/>
  <c r="R300" i="5"/>
  <c r="N300" i="4"/>
  <c r="T300" i="5"/>
  <c r="O300" i="4"/>
  <c r="U300" i="5"/>
  <c r="P300" i="4"/>
  <c r="W300" i="5"/>
  <c r="Q300" i="4"/>
  <c r="X300" i="5"/>
  <c r="AA300" i="5"/>
  <c r="T300" i="4"/>
  <c r="AC300" i="5"/>
  <c r="U300" i="4"/>
  <c r="AD300" i="5"/>
  <c r="X300" i="4"/>
  <c r="AI300" i="5"/>
  <c r="Y300" i="4"/>
  <c r="AJ300" i="5"/>
  <c r="Z300" i="4"/>
  <c r="AL300" i="5"/>
  <c r="F300" i="5"/>
  <c r="H300" i="5"/>
  <c r="I300" i="5"/>
  <c r="Z300" i="5"/>
  <c r="AN300" i="5"/>
  <c r="O301" i="5"/>
  <c r="K301" i="5"/>
  <c r="AG301" i="5"/>
  <c r="V46" i="2"/>
  <c r="B301" i="4"/>
  <c r="V301" i="4"/>
  <c r="AF301" i="5"/>
  <c r="C46" i="2"/>
  <c r="C301" i="4"/>
  <c r="C301" i="5"/>
  <c r="D46" i="2"/>
  <c r="D301" i="4"/>
  <c r="E301" i="5"/>
  <c r="I46" i="2"/>
  <c r="I301" i="4"/>
  <c r="L301" i="5"/>
  <c r="J46" i="2"/>
  <c r="J301" i="4"/>
  <c r="N301" i="5"/>
  <c r="L46" i="2"/>
  <c r="L301" i="4"/>
  <c r="Q301" i="5"/>
  <c r="M46" i="2"/>
  <c r="M301" i="4"/>
  <c r="R301" i="5"/>
  <c r="N46" i="2"/>
  <c r="N301" i="4"/>
  <c r="T301" i="5"/>
  <c r="O46" i="2"/>
  <c r="O301" i="4"/>
  <c r="U301" i="5"/>
  <c r="P46" i="2"/>
  <c r="P301" i="4"/>
  <c r="W301" i="5"/>
  <c r="Q46" i="2"/>
  <c r="Q301" i="4"/>
  <c r="X301" i="5"/>
  <c r="AA301" i="5"/>
  <c r="T46" i="2"/>
  <c r="T301" i="4"/>
  <c r="AC301" i="5"/>
  <c r="U46" i="2"/>
  <c r="U301" i="4"/>
  <c r="AD301" i="5"/>
  <c r="X46" i="2"/>
  <c r="X301" i="4"/>
  <c r="AI301" i="5"/>
  <c r="Y46" i="2"/>
  <c r="Y301" i="4"/>
  <c r="AJ301" i="5"/>
  <c r="Z46" i="2"/>
  <c r="Z301" i="4"/>
  <c r="AL301" i="5"/>
  <c r="F301" i="5"/>
  <c r="H301" i="5"/>
  <c r="I301" i="5"/>
  <c r="Z301" i="5"/>
  <c r="AN301" i="5"/>
  <c r="O302" i="5"/>
  <c r="K302" i="5"/>
  <c r="AG302" i="5"/>
  <c r="B302" i="4"/>
  <c r="V302" i="4"/>
  <c r="AF302" i="5"/>
  <c r="C302" i="4"/>
  <c r="C302" i="5"/>
  <c r="D302" i="4"/>
  <c r="E302" i="5"/>
  <c r="I302" i="4"/>
  <c r="L302" i="5"/>
  <c r="J302" i="4"/>
  <c r="N302" i="5"/>
  <c r="L302" i="4"/>
  <c r="Q302" i="5"/>
  <c r="M302" i="4"/>
  <c r="R302" i="5"/>
  <c r="N302" i="4"/>
  <c r="T302" i="5"/>
  <c r="O302" i="4"/>
  <c r="U302" i="5"/>
  <c r="P302" i="4"/>
  <c r="W302" i="5"/>
  <c r="Q302" i="4"/>
  <c r="X302" i="5"/>
  <c r="AA302" i="5"/>
  <c r="T302" i="4"/>
  <c r="AC302" i="5"/>
  <c r="U302" i="4"/>
  <c r="AD302" i="5"/>
  <c r="X302" i="4"/>
  <c r="AI302" i="5"/>
  <c r="Y302" i="4"/>
  <c r="AJ302" i="5"/>
  <c r="Z302" i="4"/>
  <c r="AL302" i="5"/>
  <c r="F302" i="5"/>
  <c r="H302" i="5"/>
  <c r="I302" i="5"/>
  <c r="Z302" i="5"/>
  <c r="AN302" i="5"/>
  <c r="O303" i="5"/>
  <c r="K303" i="5"/>
  <c r="AG303" i="5"/>
  <c r="V49" i="2"/>
  <c r="V303" i="4"/>
  <c r="AF303" i="5"/>
  <c r="C49" i="2"/>
  <c r="C303" i="4"/>
  <c r="C303" i="5"/>
  <c r="D49" i="2"/>
  <c r="D303" i="4"/>
  <c r="E303" i="5"/>
  <c r="I49" i="2"/>
  <c r="I303" i="4"/>
  <c r="L303" i="5"/>
  <c r="J49" i="2"/>
  <c r="J303" i="4"/>
  <c r="N303" i="5"/>
  <c r="L49" i="2"/>
  <c r="L303" i="4"/>
  <c r="Q303" i="5"/>
  <c r="M49" i="2"/>
  <c r="M303" i="4"/>
  <c r="R303" i="5"/>
  <c r="N49" i="2"/>
  <c r="N303" i="4"/>
  <c r="T303" i="5"/>
  <c r="O49" i="2"/>
  <c r="O303" i="4"/>
  <c r="U303" i="5"/>
  <c r="P49" i="2"/>
  <c r="P303" i="4"/>
  <c r="W303" i="5"/>
  <c r="Q49" i="2"/>
  <c r="Q303" i="4"/>
  <c r="X303" i="5"/>
  <c r="AA303" i="5"/>
  <c r="X49" i="2"/>
  <c r="X303" i="4"/>
  <c r="AI303" i="5"/>
  <c r="Y49" i="2"/>
  <c r="Y303" i="4"/>
  <c r="AJ303" i="5"/>
  <c r="Z49" i="2"/>
  <c r="Z303" i="4"/>
  <c r="AL303" i="5"/>
  <c r="F303" i="5"/>
  <c r="H303" i="5"/>
  <c r="I303" i="5"/>
  <c r="Z303" i="5"/>
  <c r="AN303" i="5"/>
  <c r="O304" i="5"/>
  <c r="K304" i="5"/>
  <c r="AG304" i="5"/>
  <c r="V47" i="2"/>
  <c r="B304" i="4"/>
  <c r="V304" i="4"/>
  <c r="AF304" i="5"/>
  <c r="C47" i="2"/>
  <c r="C304" i="4"/>
  <c r="C304" i="5"/>
  <c r="D47" i="2"/>
  <c r="D304" i="4"/>
  <c r="E304" i="5"/>
  <c r="I47" i="2"/>
  <c r="I304" i="4"/>
  <c r="L304" i="5"/>
  <c r="J47" i="2"/>
  <c r="J304" i="4"/>
  <c r="N304" i="5"/>
  <c r="L47" i="2"/>
  <c r="L304" i="4"/>
  <c r="Q304" i="5"/>
  <c r="M47" i="2"/>
  <c r="M304" i="4"/>
  <c r="R304" i="5"/>
  <c r="N47" i="2"/>
  <c r="N304" i="4"/>
  <c r="T304" i="5"/>
  <c r="O47" i="2"/>
  <c r="O304" i="4"/>
  <c r="U304" i="5"/>
  <c r="P47" i="2"/>
  <c r="P304" i="4"/>
  <c r="W304" i="5"/>
  <c r="Q47" i="2"/>
  <c r="Q304" i="4"/>
  <c r="X304" i="5"/>
  <c r="AA304" i="5"/>
  <c r="AC304" i="5"/>
  <c r="AD304" i="5"/>
  <c r="X47" i="2"/>
  <c r="X304" i="4"/>
  <c r="AI304" i="5"/>
  <c r="Y47" i="2"/>
  <c r="Y304" i="4"/>
  <c r="AJ304" i="5"/>
  <c r="Z47" i="2"/>
  <c r="Z304" i="4"/>
  <c r="AL304" i="5"/>
  <c r="F304" i="5"/>
  <c r="H304" i="5"/>
  <c r="I304" i="5"/>
  <c r="Z304" i="5"/>
  <c r="AN304" i="5"/>
  <c r="O305" i="5"/>
  <c r="K305" i="5"/>
  <c r="AG305" i="5"/>
  <c r="B305" i="4"/>
  <c r="V305" i="4"/>
  <c r="AF305" i="5"/>
  <c r="C305" i="4"/>
  <c r="C305" i="5"/>
  <c r="D305" i="4"/>
  <c r="E305" i="5"/>
  <c r="I305" i="4"/>
  <c r="L305" i="5"/>
  <c r="J305" i="4"/>
  <c r="N305" i="5"/>
  <c r="L305" i="4"/>
  <c r="Q305" i="5"/>
  <c r="M305" i="4"/>
  <c r="R305" i="5"/>
  <c r="N305" i="4"/>
  <c r="T305" i="5"/>
  <c r="O305" i="4"/>
  <c r="U305" i="5"/>
  <c r="P305" i="4"/>
  <c r="W305" i="5"/>
  <c r="Q305" i="4"/>
  <c r="X305" i="5"/>
  <c r="AA305" i="5"/>
  <c r="T305" i="4"/>
  <c r="AC305" i="5"/>
  <c r="AD305" i="5"/>
  <c r="X305" i="4"/>
  <c r="AI305" i="5"/>
  <c r="Y305" i="4"/>
  <c r="AJ305" i="5"/>
  <c r="Z305" i="4"/>
  <c r="AL305" i="5"/>
  <c r="F305" i="5"/>
  <c r="H305" i="5"/>
  <c r="I305" i="5"/>
  <c r="Z305" i="5"/>
  <c r="AN305" i="5"/>
  <c r="O306" i="5"/>
  <c r="K306" i="5"/>
  <c r="AG306" i="5"/>
  <c r="V48" i="2"/>
  <c r="V306" i="4"/>
  <c r="AF306" i="5"/>
  <c r="C48" i="2"/>
  <c r="C306" i="4"/>
  <c r="C306" i="5"/>
  <c r="D48" i="2"/>
  <c r="D306" i="4"/>
  <c r="E306" i="5"/>
  <c r="I48" i="2"/>
  <c r="I306" i="4"/>
  <c r="L306" i="5"/>
  <c r="J48" i="2"/>
  <c r="J306" i="4"/>
  <c r="N306" i="5"/>
  <c r="L48" i="2"/>
  <c r="L306" i="4"/>
  <c r="Q306" i="5"/>
  <c r="M48" i="2"/>
  <c r="M306" i="4"/>
  <c r="R306" i="5"/>
  <c r="N48" i="2"/>
  <c r="N306" i="4"/>
  <c r="T306" i="5"/>
  <c r="O48" i="2"/>
  <c r="O306" i="4"/>
  <c r="U306" i="5"/>
  <c r="P48" i="2"/>
  <c r="P306" i="4"/>
  <c r="W306" i="5"/>
  <c r="Q48" i="2"/>
  <c r="Q306" i="4"/>
  <c r="X306" i="5"/>
  <c r="AA306" i="5"/>
  <c r="X48" i="2"/>
  <c r="X306" i="4"/>
  <c r="AI306" i="5"/>
  <c r="Y48" i="2"/>
  <c r="Y306" i="4"/>
  <c r="AJ306" i="5"/>
  <c r="Z48" i="2"/>
  <c r="Z306" i="4"/>
  <c r="AL306" i="5"/>
  <c r="F306" i="5"/>
  <c r="H306" i="5"/>
  <c r="I306" i="5"/>
  <c r="Z306" i="5"/>
  <c r="AN306" i="5"/>
  <c r="O307" i="5"/>
  <c r="K307" i="5"/>
  <c r="AG307" i="5"/>
  <c r="B307" i="4"/>
  <c r="V307" i="4"/>
  <c r="AF307" i="5"/>
  <c r="C307" i="4"/>
  <c r="C307" i="5"/>
  <c r="D307" i="4"/>
  <c r="E307" i="5"/>
  <c r="I307" i="4"/>
  <c r="L307" i="5"/>
  <c r="J307" i="4"/>
  <c r="N307" i="5"/>
  <c r="L307" i="4"/>
  <c r="Q307" i="5"/>
  <c r="M307" i="4"/>
  <c r="R307" i="5"/>
  <c r="N307" i="4"/>
  <c r="T307" i="5"/>
  <c r="O307" i="4"/>
  <c r="U307" i="5"/>
  <c r="P307" i="4"/>
  <c r="W307" i="5"/>
  <c r="Q307" i="4"/>
  <c r="X307" i="5"/>
  <c r="AA307" i="5"/>
  <c r="T307" i="4"/>
  <c r="AC307" i="5"/>
  <c r="AD307" i="5"/>
  <c r="X307" i="4"/>
  <c r="AI307" i="5"/>
  <c r="Y307" i="4"/>
  <c r="AJ307" i="5"/>
  <c r="Z307" i="4"/>
  <c r="AL307" i="5"/>
  <c r="F307" i="5"/>
  <c r="H307" i="5"/>
  <c r="I307" i="5"/>
  <c r="Z307" i="5"/>
  <c r="AN307" i="5"/>
  <c r="O308" i="5"/>
  <c r="K308" i="5"/>
  <c r="AG308" i="5"/>
  <c r="V308" i="4"/>
  <c r="AF308" i="5"/>
  <c r="C308" i="4"/>
  <c r="C308" i="5"/>
  <c r="D308" i="4"/>
  <c r="E308" i="5"/>
  <c r="I308" i="4"/>
  <c r="L308" i="5"/>
  <c r="J308" i="4"/>
  <c r="N308" i="5"/>
  <c r="L308" i="4"/>
  <c r="Q308" i="5"/>
  <c r="M308" i="4"/>
  <c r="R308" i="5"/>
  <c r="N308" i="4"/>
  <c r="T308" i="5"/>
  <c r="O308" i="4"/>
  <c r="U308" i="5"/>
  <c r="P308" i="4"/>
  <c r="W308" i="5"/>
  <c r="Q308" i="4"/>
  <c r="X308" i="5"/>
  <c r="AA308" i="5"/>
  <c r="X308" i="4"/>
  <c r="AI308" i="5"/>
  <c r="Y308" i="4"/>
  <c r="AJ308" i="5"/>
  <c r="Z308" i="4"/>
  <c r="AL308" i="5"/>
  <c r="F308" i="5"/>
  <c r="H308" i="5"/>
  <c r="I308" i="5"/>
  <c r="Z308" i="5"/>
  <c r="AN308" i="5"/>
  <c r="O309" i="5"/>
  <c r="K309" i="5"/>
  <c r="AG309" i="5"/>
  <c r="B309" i="4"/>
  <c r="V309" i="4"/>
  <c r="AF309" i="5"/>
  <c r="C309" i="4"/>
  <c r="C309" i="5"/>
  <c r="D309" i="4"/>
  <c r="E309" i="5"/>
  <c r="I309" i="4"/>
  <c r="L309" i="5"/>
  <c r="J309" i="4"/>
  <c r="N309" i="5"/>
  <c r="L309" i="4"/>
  <c r="Q309" i="5"/>
  <c r="M309" i="4"/>
  <c r="R309" i="5"/>
  <c r="N309" i="4"/>
  <c r="T309" i="5"/>
  <c r="O309" i="4"/>
  <c r="U309" i="5"/>
  <c r="P309" i="4"/>
  <c r="W309" i="5"/>
  <c r="Q309" i="4"/>
  <c r="X309" i="5"/>
  <c r="AA309" i="5"/>
  <c r="AC309" i="5"/>
  <c r="AD309" i="5"/>
  <c r="X309" i="4"/>
  <c r="AI309" i="5"/>
  <c r="Y309" i="4"/>
  <c r="AJ309" i="5"/>
  <c r="Z309" i="4"/>
  <c r="AL309" i="5"/>
  <c r="F309" i="5"/>
  <c r="H309" i="5"/>
  <c r="I309" i="5"/>
  <c r="Z309" i="5"/>
  <c r="AN309" i="5"/>
  <c r="O310" i="5"/>
  <c r="K310" i="5"/>
  <c r="AG310" i="5"/>
  <c r="B310" i="4"/>
  <c r="V310" i="4"/>
  <c r="AF310" i="5"/>
  <c r="C310" i="4"/>
  <c r="C310" i="5"/>
  <c r="D310" i="4"/>
  <c r="E310" i="5"/>
  <c r="I310" i="4"/>
  <c r="L310" i="5"/>
  <c r="J310" i="4"/>
  <c r="N310" i="5"/>
  <c r="L310" i="4"/>
  <c r="Q310" i="5"/>
  <c r="M310" i="4"/>
  <c r="R310" i="5"/>
  <c r="N310" i="4"/>
  <c r="T310" i="5"/>
  <c r="O310" i="4"/>
  <c r="U310" i="5"/>
  <c r="P310" i="4"/>
  <c r="W310" i="5"/>
  <c r="Q310" i="4"/>
  <c r="X310" i="5"/>
  <c r="AA310" i="5"/>
  <c r="AC310" i="5"/>
  <c r="AD310" i="5"/>
  <c r="X310" i="4"/>
  <c r="AI310" i="5"/>
  <c r="Y310" i="4"/>
  <c r="AJ310" i="5"/>
  <c r="Z310" i="4"/>
  <c r="AL310" i="5"/>
  <c r="F310" i="5"/>
  <c r="H310" i="5"/>
  <c r="I310" i="5"/>
  <c r="Z310" i="5"/>
  <c r="AN310" i="5"/>
  <c r="O311" i="5"/>
  <c r="K311" i="5"/>
  <c r="AG311" i="5"/>
  <c r="B311" i="4"/>
  <c r="V311" i="4"/>
  <c r="AF311" i="5"/>
  <c r="C311" i="4"/>
  <c r="C311" i="5"/>
  <c r="D311" i="4"/>
  <c r="E311" i="5"/>
  <c r="I311" i="4"/>
  <c r="L311" i="5"/>
  <c r="J311" i="4"/>
  <c r="N311" i="5"/>
  <c r="L311" i="4"/>
  <c r="Q311" i="5"/>
  <c r="M311" i="4"/>
  <c r="R311" i="5"/>
  <c r="N311" i="4"/>
  <c r="T311" i="5"/>
  <c r="O311" i="4"/>
  <c r="U311" i="5"/>
  <c r="P311" i="4"/>
  <c r="W311" i="5"/>
  <c r="Q311" i="4"/>
  <c r="X311" i="5"/>
  <c r="AA311" i="5"/>
  <c r="AC311" i="5"/>
  <c r="AD311" i="5"/>
  <c r="X311" i="4"/>
  <c r="AI311" i="5"/>
  <c r="Y311" i="4"/>
  <c r="AJ311" i="5"/>
  <c r="Z311" i="4"/>
  <c r="AL311" i="5"/>
  <c r="F311" i="5"/>
  <c r="H311" i="5"/>
  <c r="I311" i="5"/>
  <c r="Z311" i="5"/>
  <c r="AN311" i="5"/>
  <c r="O312" i="5"/>
  <c r="K312" i="5"/>
  <c r="AG312" i="5"/>
  <c r="B312" i="4"/>
  <c r="V312" i="4"/>
  <c r="AF312" i="5"/>
  <c r="C312" i="4"/>
  <c r="C312" i="5"/>
  <c r="D312" i="4"/>
  <c r="E312" i="5"/>
  <c r="I312" i="4"/>
  <c r="L312" i="5"/>
  <c r="J312" i="4"/>
  <c r="N312" i="5"/>
  <c r="L312" i="4"/>
  <c r="Q312" i="5"/>
  <c r="M312" i="4"/>
  <c r="R312" i="5"/>
  <c r="N312" i="4"/>
  <c r="T312" i="5"/>
  <c r="O312" i="4"/>
  <c r="U312" i="5"/>
  <c r="P312" i="4"/>
  <c r="W312" i="5"/>
  <c r="Q312" i="4"/>
  <c r="X312" i="5"/>
  <c r="AA312" i="5"/>
  <c r="AC312" i="5"/>
  <c r="AD312" i="5"/>
  <c r="X312" i="4"/>
  <c r="AI312" i="5"/>
  <c r="Y312" i="4"/>
  <c r="AJ312" i="5"/>
  <c r="Z312" i="4"/>
  <c r="AL312" i="5"/>
  <c r="F312" i="5"/>
  <c r="H312" i="5"/>
  <c r="I312" i="5"/>
  <c r="Z312" i="5"/>
  <c r="AN312" i="5"/>
  <c r="O313" i="5"/>
  <c r="K313" i="5"/>
  <c r="AG313" i="5"/>
  <c r="B313" i="4"/>
  <c r="V313" i="4"/>
  <c r="AF313" i="5"/>
  <c r="C313" i="4"/>
  <c r="C313" i="5"/>
  <c r="D313" i="4"/>
  <c r="E313" i="5"/>
  <c r="I313" i="4"/>
  <c r="L313" i="5"/>
  <c r="J313" i="4"/>
  <c r="N313" i="5"/>
  <c r="L313" i="4"/>
  <c r="Q313" i="5"/>
  <c r="M313" i="4"/>
  <c r="R313" i="5"/>
  <c r="N313" i="4"/>
  <c r="T313" i="5"/>
  <c r="O313" i="4"/>
  <c r="U313" i="5"/>
  <c r="P313" i="4"/>
  <c r="W313" i="5"/>
  <c r="Q313" i="4"/>
  <c r="X313" i="5"/>
  <c r="AA313" i="5"/>
  <c r="AC313" i="5"/>
  <c r="AD313" i="5"/>
  <c r="X313" i="4"/>
  <c r="AI313" i="5"/>
  <c r="Y313" i="4"/>
  <c r="AJ313" i="5"/>
  <c r="Z313" i="4"/>
  <c r="AL313" i="5"/>
  <c r="F313" i="5"/>
  <c r="H313" i="5"/>
  <c r="I313" i="5"/>
  <c r="Z313" i="5"/>
  <c r="AN313" i="5"/>
  <c r="O314" i="5"/>
  <c r="K314" i="5"/>
  <c r="AG314" i="5"/>
  <c r="B314" i="4"/>
  <c r="V314" i="4"/>
  <c r="AF314" i="5"/>
  <c r="C314" i="4"/>
  <c r="C314" i="5"/>
  <c r="D314" i="4"/>
  <c r="E314" i="5"/>
  <c r="I314" i="4"/>
  <c r="L314" i="5"/>
  <c r="J314" i="4"/>
  <c r="N314" i="5"/>
  <c r="L314" i="4"/>
  <c r="Q314" i="5"/>
  <c r="M314" i="4"/>
  <c r="R314" i="5"/>
  <c r="N314" i="4"/>
  <c r="T314" i="5"/>
  <c r="O314" i="4"/>
  <c r="U314" i="5"/>
  <c r="P314" i="4"/>
  <c r="W314" i="5"/>
  <c r="Q314" i="4"/>
  <c r="X314" i="5"/>
  <c r="AA314" i="5"/>
  <c r="AC314" i="5"/>
  <c r="AD314" i="5"/>
  <c r="X314" i="4"/>
  <c r="AI314" i="5"/>
  <c r="Y314" i="4"/>
  <c r="AJ314" i="5"/>
  <c r="Z314" i="4"/>
  <c r="AL314" i="5"/>
  <c r="F314" i="5"/>
  <c r="H314" i="5"/>
  <c r="I314" i="5"/>
  <c r="Z314" i="5"/>
  <c r="AN314" i="5"/>
  <c r="O315" i="5"/>
  <c r="K315" i="5"/>
  <c r="AG315" i="5"/>
  <c r="B315" i="4"/>
  <c r="V315" i="4"/>
  <c r="AF315" i="5"/>
  <c r="C315" i="5"/>
  <c r="D315" i="4"/>
  <c r="E315" i="5"/>
  <c r="I315" i="5"/>
  <c r="I315" i="4"/>
  <c r="L315" i="5"/>
  <c r="J315" i="4"/>
  <c r="N315" i="5"/>
  <c r="L315" i="4"/>
  <c r="Q315" i="5"/>
  <c r="M315" i="4"/>
  <c r="R315" i="5"/>
  <c r="N315" i="4"/>
  <c r="T315" i="5"/>
  <c r="O315" i="4"/>
  <c r="U315" i="5"/>
  <c r="P315" i="4"/>
  <c r="W315" i="5"/>
  <c r="Q315" i="4"/>
  <c r="X315" i="5"/>
  <c r="AA315" i="5"/>
  <c r="AC315" i="5"/>
  <c r="AD315" i="5"/>
  <c r="X315" i="4"/>
  <c r="AI315" i="5"/>
  <c r="Y315" i="4"/>
  <c r="AJ315" i="5"/>
  <c r="AL315" i="5"/>
  <c r="Z315" i="5"/>
  <c r="AN315" i="5"/>
  <c r="O316" i="5"/>
  <c r="K316" i="5"/>
  <c r="AG316" i="5"/>
  <c r="B316" i="4"/>
  <c r="V316" i="4"/>
  <c r="AF316" i="5"/>
  <c r="C316" i="5"/>
  <c r="D316" i="4"/>
  <c r="E316" i="5"/>
  <c r="I316" i="5"/>
  <c r="I316" i="4"/>
  <c r="L316" i="5"/>
  <c r="J316" i="4"/>
  <c r="N316" i="5"/>
  <c r="L316" i="4"/>
  <c r="Q316" i="5"/>
  <c r="M316" i="4"/>
  <c r="R316" i="5"/>
  <c r="N316" i="4"/>
  <c r="T316" i="5"/>
  <c r="O316" i="4"/>
  <c r="U316" i="5"/>
  <c r="P316" i="4"/>
  <c r="W316" i="5"/>
  <c r="Q316" i="4"/>
  <c r="X316" i="5"/>
  <c r="AA316" i="5"/>
  <c r="AC316" i="5"/>
  <c r="AD316" i="5"/>
  <c r="X316" i="4"/>
  <c r="AI316" i="5"/>
  <c r="Y316" i="4"/>
  <c r="AJ316" i="5"/>
  <c r="AL316" i="5"/>
  <c r="Z316" i="5"/>
  <c r="AN316" i="5"/>
  <c r="O317" i="5"/>
  <c r="K317" i="5"/>
  <c r="AG317" i="5"/>
  <c r="B317" i="4"/>
  <c r="V317" i="4"/>
  <c r="AF317" i="5"/>
  <c r="C317" i="5"/>
  <c r="D317" i="4"/>
  <c r="E317" i="5"/>
  <c r="I317" i="5"/>
  <c r="I317" i="4"/>
  <c r="L317" i="5"/>
  <c r="J317" i="4"/>
  <c r="N317" i="5"/>
  <c r="L317" i="4"/>
  <c r="Q317" i="5"/>
  <c r="M317" i="4"/>
  <c r="R317" i="5"/>
  <c r="N317" i="4"/>
  <c r="T317" i="5"/>
  <c r="O317" i="4"/>
  <c r="U317" i="5"/>
  <c r="P317" i="4"/>
  <c r="W317" i="5"/>
  <c r="Q317" i="4"/>
  <c r="X317" i="5"/>
  <c r="AA317" i="5"/>
  <c r="AC317" i="5"/>
  <c r="AD317" i="5"/>
  <c r="X317" i="4"/>
  <c r="AI317" i="5"/>
  <c r="Y317" i="4"/>
  <c r="AJ317" i="5"/>
  <c r="AL317" i="5"/>
  <c r="Z317" i="5"/>
  <c r="AN317" i="5"/>
  <c r="O318" i="5"/>
  <c r="K318" i="5"/>
  <c r="AG318" i="5"/>
  <c r="B333" i="4"/>
  <c r="V333" i="4"/>
  <c r="AF318" i="5"/>
  <c r="C318" i="5"/>
  <c r="D333" i="4"/>
  <c r="E318" i="5"/>
  <c r="I318" i="5"/>
  <c r="I333" i="4"/>
  <c r="L318" i="5"/>
  <c r="J333" i="4"/>
  <c r="N318" i="5"/>
  <c r="L333" i="4"/>
  <c r="Q318" i="5"/>
  <c r="M333" i="4"/>
  <c r="R318" i="5"/>
  <c r="N333" i="4"/>
  <c r="T318" i="5"/>
  <c r="O333" i="4"/>
  <c r="U318" i="5"/>
  <c r="P333" i="4"/>
  <c r="W318" i="5"/>
  <c r="Q333" i="4"/>
  <c r="X318" i="5"/>
  <c r="AA318" i="5"/>
  <c r="AC318" i="5"/>
  <c r="AD318" i="5"/>
  <c r="X333" i="4"/>
  <c r="AI318" i="5"/>
  <c r="Y333" i="4"/>
  <c r="AJ318" i="5"/>
  <c r="AL318" i="5"/>
  <c r="Z318" i="5"/>
  <c r="AN318" i="5"/>
  <c r="O319" i="5"/>
  <c r="K319" i="5"/>
  <c r="AG319" i="5"/>
  <c r="B334" i="4"/>
  <c r="V334" i="4"/>
  <c r="AF319" i="5"/>
  <c r="C319" i="5"/>
  <c r="D334" i="4"/>
  <c r="E319" i="5"/>
  <c r="I319" i="5"/>
  <c r="I334" i="4"/>
  <c r="L319" i="5"/>
  <c r="J334" i="4"/>
  <c r="N319" i="5"/>
  <c r="L334" i="4"/>
  <c r="Q319" i="5"/>
  <c r="M334" i="4"/>
  <c r="R319" i="5"/>
  <c r="N334" i="4"/>
  <c r="T319" i="5"/>
  <c r="O334" i="4"/>
  <c r="U319" i="5"/>
  <c r="P334" i="4"/>
  <c r="W319" i="5"/>
  <c r="Q334" i="4"/>
  <c r="X319" i="5"/>
  <c r="AA319" i="5"/>
  <c r="AC319" i="5"/>
  <c r="AD319" i="5"/>
  <c r="X334" i="4"/>
  <c r="AI319" i="5"/>
  <c r="Y334" i="4"/>
  <c r="AJ319" i="5"/>
  <c r="AL319" i="5"/>
  <c r="Z319" i="5"/>
  <c r="AN319" i="5"/>
  <c r="O320" i="5"/>
  <c r="K320" i="5"/>
  <c r="AG320" i="5"/>
  <c r="B340" i="4"/>
  <c r="V340" i="4"/>
  <c r="AF320" i="5"/>
  <c r="C320" i="5"/>
  <c r="D340" i="4"/>
  <c r="E320" i="5"/>
  <c r="I340" i="4"/>
  <c r="L320" i="5"/>
  <c r="J340" i="4"/>
  <c r="N320" i="5"/>
  <c r="L340" i="4"/>
  <c r="Q320" i="5"/>
  <c r="M340" i="4"/>
  <c r="R320" i="5"/>
  <c r="N340" i="4"/>
  <c r="T320" i="5"/>
  <c r="O340" i="4"/>
  <c r="U320" i="5"/>
  <c r="P340" i="4"/>
  <c r="W320" i="5"/>
  <c r="Q340" i="4"/>
  <c r="X320" i="5"/>
  <c r="AA320" i="5"/>
  <c r="AC320" i="5"/>
  <c r="AD320" i="5"/>
  <c r="X340" i="4"/>
  <c r="AI320" i="5"/>
  <c r="Y340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9" i="4"/>
  <c r="D319" i="4"/>
  <c r="E321" i="5"/>
  <c r="I321" i="5"/>
  <c r="I319" i="4"/>
  <c r="L321" i="5"/>
  <c r="J319" i="4"/>
  <c r="N321" i="5"/>
  <c r="L319" i="4"/>
  <c r="Q321" i="5"/>
  <c r="M319" i="4"/>
  <c r="R321" i="5"/>
  <c r="N319" i="4"/>
  <c r="T321" i="5"/>
  <c r="O319" i="4"/>
  <c r="U321" i="5"/>
  <c r="P319" i="4"/>
  <c r="W321" i="5"/>
  <c r="Q319" i="4"/>
  <c r="X321" i="5"/>
  <c r="AA321" i="5"/>
  <c r="AC321" i="5"/>
  <c r="AD321" i="5"/>
  <c r="X319" i="4"/>
  <c r="AI321" i="5"/>
  <c r="Y319" i="4"/>
  <c r="AJ321" i="5"/>
  <c r="AL321" i="5"/>
  <c r="Z321" i="5"/>
  <c r="AN321" i="5"/>
  <c r="O322" i="5"/>
  <c r="K322" i="5"/>
  <c r="AG322" i="5"/>
  <c r="B320" i="4"/>
  <c r="V320" i="4"/>
  <c r="AF322" i="5"/>
  <c r="C322" i="5"/>
  <c r="D320" i="4"/>
  <c r="E322" i="5"/>
  <c r="I322" i="5"/>
  <c r="I320" i="4"/>
  <c r="L322" i="5"/>
  <c r="J320" i="4"/>
  <c r="N322" i="5"/>
  <c r="L320" i="4"/>
  <c r="Q322" i="5"/>
  <c r="M320" i="4"/>
  <c r="R322" i="5"/>
  <c r="N320" i="4"/>
  <c r="T322" i="5"/>
  <c r="O320" i="4"/>
  <c r="U322" i="5"/>
  <c r="P320" i="4"/>
  <c r="W322" i="5"/>
  <c r="Q320" i="4"/>
  <c r="X322" i="5"/>
  <c r="AA322" i="5"/>
  <c r="AC322" i="5"/>
  <c r="AD322" i="5"/>
  <c r="X320" i="4"/>
  <c r="AI322" i="5"/>
  <c r="Y320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F323" i="5"/>
  <c r="H323" i="5"/>
  <c r="I323" i="5"/>
  <c r="Z323" i="5"/>
  <c r="AN323" i="5"/>
  <c r="O324" i="5"/>
  <c r="K324" i="5"/>
  <c r="AG324" i="5"/>
  <c r="B322" i="4"/>
  <c r="V322" i="4"/>
  <c r="AF324" i="5"/>
  <c r="C324" i="5"/>
  <c r="D322" i="4"/>
  <c r="E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F324" i="5"/>
  <c r="H324" i="5"/>
  <c r="I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B341" i="4"/>
  <c r="V341" i="4"/>
  <c r="AF326" i="5"/>
  <c r="C326" i="5"/>
  <c r="D341" i="4"/>
  <c r="E326" i="5"/>
  <c r="I326" i="5"/>
  <c r="I341" i="4"/>
  <c r="L326" i="5"/>
  <c r="J341" i="4"/>
  <c r="N326" i="5"/>
  <c r="L341" i="4"/>
  <c r="Q326" i="5"/>
  <c r="M341" i="4"/>
  <c r="R326" i="5"/>
  <c r="N341" i="4"/>
  <c r="T326" i="5"/>
  <c r="O341" i="4"/>
  <c r="U326" i="5"/>
  <c r="P341" i="4"/>
  <c r="W326" i="5"/>
  <c r="Q341" i="4"/>
  <c r="X326" i="5"/>
  <c r="AA326" i="5"/>
  <c r="AC326" i="5"/>
  <c r="AD326" i="5"/>
  <c r="X341" i="4"/>
  <c r="AI326" i="5"/>
  <c r="Y341" i="4"/>
  <c r="AJ326" i="5"/>
  <c r="AL326" i="5"/>
  <c r="Z326" i="5"/>
  <c r="AN326" i="5"/>
  <c r="O327" i="5"/>
  <c r="K327" i="5"/>
  <c r="AG327" i="5"/>
  <c r="B342" i="4"/>
  <c r="AF327" i="5"/>
  <c r="C327" i="5"/>
  <c r="D342" i="4"/>
  <c r="E327" i="5"/>
  <c r="I327" i="5"/>
  <c r="I342" i="4"/>
  <c r="L327" i="5"/>
  <c r="J342" i="4"/>
  <c r="N327" i="5"/>
  <c r="L342" i="4"/>
  <c r="Q327" i="5"/>
  <c r="M342" i="4"/>
  <c r="R327" i="5"/>
  <c r="N342" i="4"/>
  <c r="T327" i="5"/>
  <c r="O342" i="4"/>
  <c r="U327" i="5"/>
  <c r="P342" i="4"/>
  <c r="W327" i="5"/>
  <c r="Q342" i="4"/>
  <c r="X327" i="5"/>
  <c r="AA327" i="5"/>
  <c r="AC327" i="5"/>
  <c r="AD327" i="5"/>
  <c r="X342" i="4"/>
  <c r="AI327" i="5"/>
  <c r="Z327" i="5"/>
  <c r="AN327" i="5"/>
  <c r="O328" i="5"/>
  <c r="K328" i="5"/>
  <c r="AG328" i="5"/>
  <c r="B343" i="4"/>
  <c r="V343" i="4"/>
  <c r="AF328" i="5"/>
  <c r="C328" i="5"/>
  <c r="D343" i="4"/>
  <c r="E328" i="5"/>
  <c r="I328" i="5"/>
  <c r="I343" i="4"/>
  <c r="L328" i="5"/>
  <c r="J343" i="4"/>
  <c r="N328" i="5"/>
  <c r="L343" i="4"/>
  <c r="Q328" i="5"/>
  <c r="M343" i="4"/>
  <c r="R328" i="5"/>
  <c r="N343" i="4"/>
  <c r="T328" i="5"/>
  <c r="O343" i="4"/>
  <c r="U328" i="5"/>
  <c r="P343" i="4"/>
  <c r="W328" i="5"/>
  <c r="Q343" i="4"/>
  <c r="X328" i="5"/>
  <c r="AA328" i="5"/>
  <c r="AC328" i="5"/>
  <c r="AD328" i="5"/>
  <c r="X343" i="4"/>
  <c r="AI328" i="5"/>
  <c r="Y343" i="4"/>
  <c r="AJ328" i="5"/>
  <c r="AL328" i="5"/>
  <c r="Z328" i="5"/>
  <c r="AN328" i="5"/>
  <c r="O329" i="5"/>
  <c r="K329" i="5"/>
  <c r="AG329" i="5"/>
  <c r="B344" i="4"/>
  <c r="V344" i="4"/>
  <c r="AF329" i="5"/>
  <c r="C329" i="5"/>
  <c r="D344" i="4"/>
  <c r="E329" i="5"/>
  <c r="I329" i="5"/>
  <c r="I344" i="4"/>
  <c r="L329" i="5"/>
  <c r="J344" i="4"/>
  <c r="N329" i="5"/>
  <c r="L344" i="4"/>
  <c r="Q329" i="5"/>
  <c r="M344" i="4"/>
  <c r="R329" i="5"/>
  <c r="N344" i="4"/>
  <c r="T329" i="5"/>
  <c r="O344" i="4"/>
  <c r="U329" i="5"/>
  <c r="P344" i="4"/>
  <c r="W329" i="5"/>
  <c r="Q344" i="4"/>
  <c r="X329" i="5"/>
  <c r="AA329" i="5"/>
  <c r="AC329" i="5"/>
  <c r="AD329" i="5"/>
  <c r="X344" i="4"/>
  <c r="AI329" i="5"/>
  <c r="Y344" i="4"/>
  <c r="AJ329" i="5"/>
  <c r="AL329" i="5"/>
  <c r="Z329" i="5"/>
  <c r="AN329" i="5"/>
  <c r="O330" i="5"/>
  <c r="K330" i="5"/>
  <c r="AG330" i="5"/>
  <c r="B345" i="4"/>
  <c r="V345" i="4"/>
  <c r="AF330" i="5"/>
  <c r="C330" i="5"/>
  <c r="D345" i="4"/>
  <c r="E330" i="5"/>
  <c r="I345" i="4"/>
  <c r="L330" i="5"/>
  <c r="J345" i="4"/>
  <c r="N330" i="5"/>
  <c r="L345" i="4"/>
  <c r="Q330" i="5"/>
  <c r="M345" i="4"/>
  <c r="R330" i="5"/>
  <c r="N345" i="4"/>
  <c r="T330" i="5"/>
  <c r="O345" i="4"/>
  <c r="U330" i="5"/>
  <c r="P345" i="4"/>
  <c r="W330" i="5"/>
  <c r="Q345" i="4"/>
  <c r="X330" i="5"/>
  <c r="AA330" i="5"/>
  <c r="AC330" i="5"/>
  <c r="AD330" i="5"/>
  <c r="X345" i="4"/>
  <c r="AI330" i="5"/>
  <c r="Y345" i="4"/>
  <c r="AJ330" i="5"/>
  <c r="AL330" i="5"/>
  <c r="F330" i="5"/>
  <c r="H330" i="5"/>
  <c r="I330" i="5"/>
  <c r="Z330" i="5"/>
  <c r="AN330" i="5"/>
  <c r="O331" i="5"/>
  <c r="K331" i="5"/>
  <c r="AG331" i="5"/>
  <c r="B347" i="4"/>
  <c r="V347" i="4"/>
  <c r="AF331" i="5"/>
  <c r="C331" i="5"/>
  <c r="D347" i="4"/>
  <c r="E331" i="5"/>
  <c r="I347" i="4"/>
  <c r="L331" i="5"/>
  <c r="J347" i="4"/>
  <c r="N331" i="5"/>
  <c r="L347" i="4"/>
  <c r="Q331" i="5"/>
  <c r="M347" i="4"/>
  <c r="R331" i="5"/>
  <c r="N347" i="4"/>
  <c r="T331" i="5"/>
  <c r="O347" i="4"/>
  <c r="U331" i="5"/>
  <c r="P347" i="4"/>
  <c r="W331" i="5"/>
  <c r="Q347" i="4"/>
  <c r="X331" i="5"/>
  <c r="AA331" i="5"/>
  <c r="AC331" i="5"/>
  <c r="AD331" i="5"/>
  <c r="X347" i="4"/>
  <c r="AI331" i="5"/>
  <c r="Y347" i="4"/>
  <c r="AJ331" i="5"/>
  <c r="AL331" i="5"/>
  <c r="F331" i="5"/>
  <c r="H331" i="5"/>
  <c r="I331" i="5"/>
  <c r="Z331" i="5"/>
  <c r="AN331" i="5"/>
  <c r="O332" i="5"/>
  <c r="K332" i="5"/>
  <c r="AG332" i="5"/>
  <c r="B335" i="4"/>
  <c r="V335" i="4"/>
  <c r="AF332" i="5"/>
  <c r="C332" i="5"/>
  <c r="D335" i="4"/>
  <c r="E332" i="5"/>
  <c r="I332" i="5"/>
  <c r="I335" i="4"/>
  <c r="L332" i="5"/>
  <c r="J335" i="4"/>
  <c r="N332" i="5"/>
  <c r="L335" i="4"/>
  <c r="Q332" i="5"/>
  <c r="M335" i="4"/>
  <c r="R332" i="5"/>
  <c r="N335" i="4"/>
  <c r="T332" i="5"/>
  <c r="O335" i="4"/>
  <c r="U332" i="5"/>
  <c r="P335" i="4"/>
  <c r="W332" i="5"/>
  <c r="Q335" i="4"/>
  <c r="X332" i="5"/>
  <c r="AA332" i="5"/>
  <c r="AC332" i="5"/>
  <c r="AD332" i="5"/>
  <c r="X335" i="4"/>
  <c r="AI332" i="5"/>
  <c r="Y335" i="4"/>
  <c r="AJ332" i="5"/>
  <c r="AL332" i="5"/>
  <c r="Z332" i="5"/>
  <c r="AN332" i="5"/>
  <c r="O333" i="5"/>
  <c r="K333" i="5"/>
  <c r="AG333" i="5"/>
  <c r="AF333" i="5"/>
  <c r="C333" i="5"/>
  <c r="B346" i="4"/>
  <c r="D346" i="4"/>
  <c r="E333" i="5"/>
  <c r="I333" i="5"/>
  <c r="I346" i="4"/>
  <c r="L333" i="5"/>
  <c r="J346" i="4"/>
  <c r="N333" i="5"/>
  <c r="L346" i="4"/>
  <c r="Q333" i="5"/>
  <c r="M346" i="4"/>
  <c r="R333" i="5"/>
  <c r="N346" i="4"/>
  <c r="T333" i="5"/>
  <c r="O346" i="4"/>
  <c r="U333" i="5"/>
  <c r="P346" i="4"/>
  <c r="W333" i="5"/>
  <c r="Q346" i="4"/>
  <c r="X333" i="5"/>
  <c r="AA333" i="5"/>
  <c r="AC333" i="5"/>
  <c r="AD333" i="5"/>
  <c r="X346" i="4"/>
  <c r="AI333" i="5"/>
  <c r="Y346" i="4"/>
  <c r="AJ333" i="5"/>
  <c r="AL333" i="5"/>
  <c r="Z333" i="5"/>
  <c r="AN333" i="5"/>
  <c r="O334" i="5"/>
  <c r="K334" i="5"/>
  <c r="AG334" i="5"/>
  <c r="B336" i="4"/>
  <c r="V336" i="4"/>
  <c r="AF334" i="5"/>
  <c r="C334" i="5"/>
  <c r="D336" i="4"/>
  <c r="E334" i="5"/>
  <c r="I334" i="5"/>
  <c r="I336" i="4"/>
  <c r="L334" i="5"/>
  <c r="J336" i="4"/>
  <c r="N334" i="5"/>
  <c r="L336" i="4"/>
  <c r="Q334" i="5"/>
  <c r="M336" i="4"/>
  <c r="R334" i="5"/>
  <c r="N336" i="4"/>
  <c r="T334" i="5"/>
  <c r="O336" i="4"/>
  <c r="U334" i="5"/>
  <c r="P336" i="4"/>
  <c r="W334" i="5"/>
  <c r="Q336" i="4"/>
  <c r="X334" i="5"/>
  <c r="AA334" i="5"/>
  <c r="AC334" i="5"/>
  <c r="AD334" i="5"/>
  <c r="X336" i="4"/>
  <c r="AI334" i="5"/>
  <c r="Y336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37" i="4"/>
  <c r="V337" i="4"/>
  <c r="AF336" i="5"/>
  <c r="C336" i="5"/>
  <c r="D337" i="4"/>
  <c r="E336" i="5"/>
  <c r="I337" i="4"/>
  <c r="L336" i="5"/>
  <c r="J337" i="4"/>
  <c r="N336" i="5"/>
  <c r="L337" i="4"/>
  <c r="Q336" i="5"/>
  <c r="M337" i="4"/>
  <c r="R336" i="5"/>
  <c r="N337" i="4"/>
  <c r="T336" i="5"/>
  <c r="O337" i="4"/>
  <c r="U336" i="5"/>
  <c r="P337" i="4"/>
  <c r="W336" i="5"/>
  <c r="Q337" i="4"/>
  <c r="X336" i="5"/>
  <c r="AA336" i="5"/>
  <c r="AC336" i="5"/>
  <c r="AD336" i="5"/>
  <c r="X337" i="4"/>
  <c r="AI336" i="5"/>
  <c r="Y337" i="4"/>
  <c r="AJ336" i="5"/>
  <c r="AL336" i="5"/>
  <c r="F336" i="5"/>
  <c r="H336" i="5"/>
  <c r="I336" i="5"/>
  <c r="Z336" i="5"/>
  <c r="AN336" i="5"/>
  <c r="O337" i="5"/>
  <c r="K337" i="5"/>
  <c r="AG337" i="5"/>
  <c r="B338" i="4"/>
  <c r="V338" i="4"/>
  <c r="AF337" i="5"/>
  <c r="C337" i="5"/>
  <c r="D338" i="4"/>
  <c r="E337" i="5"/>
  <c r="I337" i="5"/>
  <c r="I338" i="4"/>
  <c r="L337" i="5"/>
  <c r="J338" i="4"/>
  <c r="N337" i="5"/>
  <c r="L338" i="4"/>
  <c r="Q337" i="5"/>
  <c r="M338" i="4"/>
  <c r="R337" i="5"/>
  <c r="N338" i="4"/>
  <c r="T337" i="5"/>
  <c r="O338" i="4"/>
  <c r="U337" i="5"/>
  <c r="P338" i="4"/>
  <c r="W337" i="5"/>
  <c r="Q338" i="4"/>
  <c r="X337" i="5"/>
  <c r="AA337" i="5"/>
  <c r="AC337" i="5"/>
  <c r="AD337" i="5"/>
  <c r="X338" i="4"/>
  <c r="AI337" i="5"/>
  <c r="Y338" i="4"/>
  <c r="AJ337" i="5"/>
  <c r="AL337" i="5"/>
  <c r="Z337" i="5"/>
  <c r="AN337" i="5"/>
  <c r="O338" i="5"/>
  <c r="K338" i="5"/>
  <c r="AG338" i="5"/>
  <c r="B325" i="4"/>
  <c r="V325" i="4"/>
  <c r="AF338" i="5"/>
  <c r="C338" i="5"/>
  <c r="D325" i="4"/>
  <c r="E338" i="5"/>
  <c r="I325" i="4"/>
  <c r="L338" i="5"/>
  <c r="J325" i="4"/>
  <c r="N338" i="5"/>
  <c r="L325" i="4"/>
  <c r="Q338" i="5"/>
  <c r="M325" i="4"/>
  <c r="R338" i="5"/>
  <c r="N325" i="4"/>
  <c r="T338" i="5"/>
  <c r="O325" i="4"/>
  <c r="U338" i="5"/>
  <c r="P325" i="4"/>
  <c r="W338" i="5"/>
  <c r="Q325" i="4"/>
  <c r="X338" i="5"/>
  <c r="AA338" i="5"/>
  <c r="AC338" i="5"/>
  <c r="AD338" i="5"/>
  <c r="X325" i="4"/>
  <c r="AI338" i="5"/>
  <c r="Y325" i="4"/>
  <c r="AJ338" i="5"/>
  <c r="AL338" i="5"/>
  <c r="F338" i="5"/>
  <c r="H338" i="5"/>
  <c r="I338" i="5"/>
  <c r="Z338" i="5"/>
  <c r="AN338" i="5"/>
  <c r="O339" i="5"/>
  <c r="K339" i="5"/>
  <c r="AG339" i="5"/>
  <c r="B326" i="4"/>
  <c r="V326" i="4"/>
  <c r="AF339" i="5"/>
  <c r="C339" i="5"/>
  <c r="D326" i="4"/>
  <c r="E339" i="5"/>
  <c r="I339" i="5"/>
  <c r="I326" i="4"/>
  <c r="L339" i="5"/>
  <c r="J326" i="4"/>
  <c r="N339" i="5"/>
  <c r="L326" i="4"/>
  <c r="Q339" i="5"/>
  <c r="M326" i="4"/>
  <c r="R339" i="5"/>
  <c r="N326" i="4"/>
  <c r="T339" i="5"/>
  <c r="O326" i="4"/>
  <c r="U339" i="5"/>
  <c r="P326" i="4"/>
  <c r="W339" i="5"/>
  <c r="Q326" i="4"/>
  <c r="X339" i="5"/>
  <c r="AA339" i="5"/>
  <c r="AC339" i="5"/>
  <c r="AD339" i="5"/>
  <c r="X326" i="4"/>
  <c r="AI339" i="5"/>
  <c r="Y326" i="4"/>
  <c r="AJ339" i="5"/>
  <c r="AL339" i="5"/>
  <c r="Z339" i="5"/>
  <c r="AN339" i="5"/>
  <c r="O340" i="5"/>
  <c r="K340" i="5"/>
  <c r="AG340" i="5"/>
  <c r="B327" i="4"/>
  <c r="V327" i="4"/>
  <c r="AF340" i="5"/>
  <c r="C340" i="5"/>
  <c r="D327" i="4"/>
  <c r="E340" i="5"/>
  <c r="I327" i="4"/>
  <c r="L340" i="5"/>
  <c r="J327" i="4"/>
  <c r="N340" i="5"/>
  <c r="L327" i="4"/>
  <c r="Q340" i="5"/>
  <c r="M327" i="4"/>
  <c r="R340" i="5"/>
  <c r="N327" i="4"/>
  <c r="T340" i="5"/>
  <c r="O327" i="4"/>
  <c r="U340" i="5"/>
  <c r="P327" i="4"/>
  <c r="W340" i="5"/>
  <c r="Q327" i="4"/>
  <c r="X340" i="5"/>
  <c r="AA340" i="5"/>
  <c r="AC340" i="5"/>
  <c r="AD340" i="5"/>
  <c r="X327" i="4"/>
  <c r="AI340" i="5"/>
  <c r="Y327" i="4"/>
  <c r="AJ340" i="5"/>
  <c r="AL340" i="5"/>
  <c r="F340" i="5"/>
  <c r="H340" i="5"/>
  <c r="I340" i="5"/>
  <c r="Z340" i="5"/>
  <c r="AN340" i="5"/>
  <c r="O341" i="5"/>
  <c r="K341" i="5"/>
  <c r="AG341" i="5"/>
  <c r="B328" i="4"/>
  <c r="V328" i="4"/>
  <c r="AF341" i="5"/>
  <c r="C341" i="5"/>
  <c r="D328" i="4"/>
  <c r="E341" i="5"/>
  <c r="I341" i="5"/>
  <c r="I328" i="4"/>
  <c r="L341" i="5"/>
  <c r="J328" i="4"/>
  <c r="N341" i="5"/>
  <c r="L328" i="4"/>
  <c r="Q341" i="5"/>
  <c r="M328" i="4"/>
  <c r="R341" i="5"/>
  <c r="N328" i="4"/>
  <c r="T341" i="5"/>
  <c r="O328" i="4"/>
  <c r="U341" i="5"/>
  <c r="P328" i="4"/>
  <c r="W341" i="5"/>
  <c r="Q328" i="4"/>
  <c r="X341" i="5"/>
  <c r="AA341" i="5"/>
  <c r="AC341" i="5"/>
  <c r="AD341" i="5"/>
  <c r="X328" i="4"/>
  <c r="AI341" i="5"/>
  <c r="Y328" i="4"/>
  <c r="AJ341" i="5"/>
  <c r="AL341" i="5"/>
  <c r="Z341" i="5"/>
  <c r="AN341" i="5"/>
  <c r="O342" i="5"/>
  <c r="K342" i="5"/>
  <c r="AG342" i="5"/>
  <c r="B339" i="4"/>
  <c r="V339" i="4"/>
  <c r="AF342" i="5"/>
  <c r="C342" i="5"/>
  <c r="D339" i="4"/>
  <c r="E342" i="5"/>
  <c r="I342" i="5"/>
  <c r="I339" i="4"/>
  <c r="L342" i="5"/>
  <c r="J339" i="4"/>
  <c r="N342" i="5"/>
  <c r="L339" i="4"/>
  <c r="Q342" i="5"/>
  <c r="M339" i="4"/>
  <c r="R342" i="5"/>
  <c r="N339" i="4"/>
  <c r="T342" i="5"/>
  <c r="O339" i="4"/>
  <c r="U342" i="5"/>
  <c r="P339" i="4"/>
  <c r="W342" i="5"/>
  <c r="Q339" i="4"/>
  <c r="X342" i="5"/>
  <c r="AA342" i="5"/>
  <c r="AC342" i="5"/>
  <c r="AD342" i="5"/>
  <c r="X339" i="4"/>
  <c r="AI342" i="5"/>
  <c r="Y339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Z343" i="5"/>
  <c r="AN343" i="5"/>
  <c r="O344" i="5"/>
  <c r="K344" i="5"/>
  <c r="AG344" i="5"/>
  <c r="B330" i="4"/>
  <c r="V330" i="4"/>
  <c r="AF344" i="5"/>
  <c r="C344" i="5"/>
  <c r="D330" i="4"/>
  <c r="E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F344" i="5"/>
  <c r="H344" i="5"/>
  <c r="I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F346" i="5"/>
  <c r="H346" i="5"/>
  <c r="I346" i="5"/>
  <c r="Z346" i="5"/>
  <c r="AN346" i="5"/>
  <c r="O347" i="5"/>
  <c r="K347" i="5"/>
  <c r="AG347" i="5"/>
  <c r="B318" i="4"/>
  <c r="V318" i="4"/>
  <c r="AF347" i="5"/>
  <c r="C347" i="5"/>
  <c r="D318" i="4"/>
  <c r="E347" i="5"/>
  <c r="I347" i="5"/>
  <c r="I318" i="4"/>
  <c r="L347" i="5"/>
  <c r="J318" i="4"/>
  <c r="N347" i="5"/>
  <c r="L318" i="4"/>
  <c r="Q347" i="5"/>
  <c r="M318" i="4"/>
  <c r="R347" i="5"/>
  <c r="N318" i="4"/>
  <c r="T347" i="5"/>
  <c r="O318" i="4"/>
  <c r="U347" i="5"/>
  <c r="P318" i="4"/>
  <c r="W347" i="5"/>
  <c r="Q318" i="4"/>
  <c r="X347" i="5"/>
  <c r="AA347" i="5"/>
  <c r="AC347" i="5"/>
  <c r="AD347" i="5"/>
  <c r="X318" i="4"/>
  <c r="AI347" i="5"/>
  <c r="Y318" i="4"/>
  <c r="AJ347" i="5"/>
  <c r="AL347" i="5"/>
  <c r="Z347" i="5"/>
  <c r="AN347" i="5"/>
  <c r="K50" i="2"/>
  <c r="B348" i="4"/>
  <c r="K348" i="4"/>
  <c r="O348" i="5"/>
  <c r="H50" i="2"/>
  <c r="H348" i="4"/>
  <c r="K348" i="5"/>
  <c r="W50" i="2"/>
  <c r="W348" i="4"/>
  <c r="AG348" i="5"/>
  <c r="V50" i="2"/>
  <c r="V348" i="4"/>
  <c r="AF348" i="5"/>
  <c r="C50" i="2"/>
  <c r="C348" i="4"/>
  <c r="C348" i="5"/>
  <c r="D50" i="2"/>
  <c r="D348" i="4"/>
  <c r="E348" i="5"/>
  <c r="I50" i="2"/>
  <c r="I348" i="4"/>
  <c r="L348" i="5"/>
  <c r="J50" i="2"/>
  <c r="J348" i="4"/>
  <c r="N348" i="5"/>
  <c r="L50" i="2"/>
  <c r="L348" i="4"/>
  <c r="Q348" i="5"/>
  <c r="M50" i="2"/>
  <c r="M348" i="4"/>
  <c r="R348" i="5"/>
  <c r="N50" i="2"/>
  <c r="N348" i="4"/>
  <c r="T348" i="5"/>
  <c r="O50" i="2"/>
  <c r="O348" i="4"/>
  <c r="U348" i="5"/>
  <c r="P50" i="2"/>
  <c r="P348" i="4"/>
  <c r="W348" i="5"/>
  <c r="Q50" i="2"/>
  <c r="Q348" i="4"/>
  <c r="X348" i="5"/>
  <c r="S50" i="2"/>
  <c r="S348" i="4"/>
  <c r="AA348" i="5"/>
  <c r="T50" i="2"/>
  <c r="T348" i="4"/>
  <c r="AC348" i="5"/>
  <c r="U50" i="2"/>
  <c r="U348" i="4"/>
  <c r="AD348" i="5"/>
  <c r="X50" i="2"/>
  <c r="X348" i="4"/>
  <c r="AI348" i="5"/>
  <c r="Y50" i="2"/>
  <c r="Y348" i="4"/>
  <c r="AJ348" i="5"/>
  <c r="Z50" i="2"/>
  <c r="Z348" i="4"/>
  <c r="AL348" i="5"/>
  <c r="F348" i="5"/>
  <c r="H348" i="5"/>
  <c r="I348" i="5"/>
  <c r="Z348" i="5"/>
  <c r="AN348" i="5"/>
  <c r="B349" i="4"/>
  <c r="K349" i="4"/>
  <c r="O349" i="5"/>
  <c r="H349" i="4"/>
  <c r="K349" i="5"/>
  <c r="W349" i="4"/>
  <c r="AG349" i="5"/>
  <c r="V349" i="4"/>
  <c r="AF349" i="5"/>
  <c r="C349" i="4"/>
  <c r="C349" i="5"/>
  <c r="D349" i="4"/>
  <c r="E349" i="5"/>
  <c r="I349" i="4"/>
  <c r="L349" i="5"/>
  <c r="J349" i="4"/>
  <c r="N349" i="5"/>
  <c r="L349" i="4"/>
  <c r="Q349" i="5"/>
  <c r="M349" i="4"/>
  <c r="R349" i="5"/>
  <c r="N349" i="4"/>
  <c r="T349" i="5"/>
  <c r="O349" i="4"/>
  <c r="U349" i="5"/>
  <c r="P349" i="4"/>
  <c r="W349" i="5"/>
  <c r="Q349" i="4"/>
  <c r="X349" i="5"/>
  <c r="S349" i="4"/>
  <c r="AA349" i="5"/>
  <c r="T349" i="4"/>
  <c r="AC349" i="5"/>
  <c r="U349" i="4"/>
  <c r="AD349" i="5"/>
  <c r="X349" i="4"/>
  <c r="AI349" i="5"/>
  <c r="Y349" i="4"/>
  <c r="AJ349" i="5"/>
  <c r="Z349" i="4"/>
  <c r="AL349" i="5"/>
  <c r="F349" i="5"/>
  <c r="H349" i="5"/>
  <c r="I349" i="5"/>
  <c r="Z349" i="5"/>
  <c r="AN349" i="5"/>
  <c r="B350" i="4"/>
  <c r="K350" i="4"/>
  <c r="O350" i="5"/>
  <c r="H350" i="4"/>
  <c r="K350" i="5"/>
  <c r="W350" i="4"/>
  <c r="AG350" i="5"/>
  <c r="V350" i="4"/>
  <c r="AF350" i="5"/>
  <c r="C350" i="4"/>
  <c r="C350" i="5"/>
  <c r="D350" i="4"/>
  <c r="E350" i="5"/>
  <c r="I350" i="4"/>
  <c r="L350" i="5"/>
  <c r="J350" i="4"/>
  <c r="N350" i="5"/>
  <c r="L350" i="4"/>
  <c r="Q350" i="5"/>
  <c r="M350" i="4"/>
  <c r="R350" i="5"/>
  <c r="N350" i="4"/>
  <c r="T350" i="5"/>
  <c r="O350" i="4"/>
  <c r="U350" i="5"/>
  <c r="P350" i="4"/>
  <c r="W350" i="5"/>
  <c r="Q350" i="4"/>
  <c r="X350" i="5"/>
  <c r="S350" i="4"/>
  <c r="AA350" i="5"/>
  <c r="T350" i="4"/>
  <c r="AC350" i="5"/>
  <c r="U350" i="4"/>
  <c r="AD350" i="5"/>
  <c r="X350" i="4"/>
  <c r="AI350" i="5"/>
  <c r="Y350" i="4"/>
  <c r="AJ350" i="5"/>
  <c r="Z350" i="4"/>
  <c r="AL350" i="5"/>
  <c r="F350" i="5"/>
  <c r="H350" i="5"/>
  <c r="I350" i="5"/>
  <c r="Z350" i="5"/>
  <c r="AN350" i="5"/>
  <c r="B351" i="4"/>
  <c r="S351" i="4"/>
  <c r="AA351" i="5"/>
  <c r="P51" i="2"/>
  <c r="P351" i="4"/>
  <c r="W351" i="5"/>
  <c r="K51" i="2"/>
  <c r="K351" i="4"/>
  <c r="O351" i="5"/>
  <c r="H51" i="2"/>
  <c r="H351" i="4"/>
  <c r="K351" i="5"/>
  <c r="W51" i="2"/>
  <c r="W351" i="4"/>
  <c r="AG351" i="5"/>
  <c r="V51" i="2"/>
  <c r="V351" i="4"/>
  <c r="AF351" i="5"/>
  <c r="C51" i="2"/>
  <c r="C351" i="4"/>
  <c r="C351" i="5"/>
  <c r="D51" i="2"/>
  <c r="D351" i="4"/>
  <c r="E351" i="5"/>
  <c r="I51" i="2"/>
  <c r="I351" i="4"/>
  <c r="L351" i="5"/>
  <c r="J51" i="2"/>
  <c r="J351" i="4"/>
  <c r="N351" i="5"/>
  <c r="L51" i="2"/>
  <c r="L351" i="4"/>
  <c r="Q351" i="5"/>
  <c r="M51" i="2"/>
  <c r="M351" i="4"/>
  <c r="R351" i="5"/>
  <c r="N51" i="2"/>
  <c r="N351" i="4"/>
  <c r="T351" i="5"/>
  <c r="O51" i="2"/>
  <c r="O351" i="4"/>
  <c r="U351" i="5"/>
  <c r="Q51" i="2"/>
  <c r="Q351" i="4"/>
  <c r="X351" i="5"/>
  <c r="R51" i="2"/>
  <c r="R351" i="4"/>
  <c r="Z351" i="5"/>
  <c r="T51" i="2"/>
  <c r="T351" i="4"/>
  <c r="AC351" i="5"/>
  <c r="U51" i="2"/>
  <c r="U351" i="4"/>
  <c r="AD351" i="5"/>
  <c r="X51" i="2"/>
  <c r="X351" i="4"/>
  <c r="AI351" i="5"/>
  <c r="Y351" i="4"/>
  <c r="AJ351" i="5"/>
  <c r="Z51" i="2"/>
  <c r="Z351" i="4"/>
  <c r="AL351" i="5"/>
  <c r="F351" i="5"/>
  <c r="H351" i="5"/>
  <c r="I351" i="5"/>
  <c r="AN351" i="5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T352" i="4"/>
  <c r="AC352" i="5"/>
  <c r="U352" i="4"/>
  <c r="AD352" i="5"/>
  <c r="X352" i="4"/>
  <c r="AI352" i="5"/>
  <c r="Y352" i="4"/>
  <c r="AJ352" i="5"/>
  <c r="Z352" i="4"/>
  <c r="AL352" i="5"/>
  <c r="Z352" i="5"/>
  <c r="F352" i="5"/>
  <c r="H352" i="5"/>
  <c r="I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T353" i="4"/>
  <c r="AC353" i="5"/>
  <c r="U353" i="4"/>
  <c r="AD353" i="5"/>
  <c r="X353" i="4"/>
  <c r="AI353" i="5"/>
  <c r="Y353" i="4"/>
  <c r="AJ353" i="5"/>
  <c r="Z353" i="4"/>
  <c r="AL353" i="5"/>
  <c r="Z353" i="5"/>
  <c r="F353" i="5"/>
  <c r="H353" i="5"/>
  <c r="I353" i="5"/>
  <c r="AN353" i="5"/>
  <c r="B366" i="4"/>
  <c r="K366" i="4"/>
  <c r="O354" i="5"/>
  <c r="H366" i="4"/>
  <c r="K354" i="5"/>
  <c r="W366" i="4"/>
  <c r="AG354" i="5"/>
  <c r="V366" i="4"/>
  <c r="AF354" i="5"/>
  <c r="C366" i="4"/>
  <c r="C354" i="5"/>
  <c r="D366" i="4"/>
  <c r="E354" i="5"/>
  <c r="I366" i="4"/>
  <c r="L354" i="5"/>
  <c r="J366" i="4"/>
  <c r="N354" i="5"/>
  <c r="L366" i="4"/>
  <c r="Q354" i="5"/>
  <c r="M366" i="4"/>
  <c r="R354" i="5"/>
  <c r="N366" i="4"/>
  <c r="T354" i="5"/>
  <c r="O366" i="4"/>
  <c r="U354" i="5"/>
  <c r="P366" i="4"/>
  <c r="W354" i="5"/>
  <c r="Q366" i="4"/>
  <c r="X354" i="5"/>
  <c r="S366" i="4"/>
  <c r="AA354" i="5"/>
  <c r="T366" i="4"/>
  <c r="AC354" i="5"/>
  <c r="U366" i="4"/>
  <c r="AD354" i="5"/>
  <c r="X366" i="4"/>
  <c r="AI354" i="5"/>
  <c r="Y366" i="4"/>
  <c r="AJ354" i="5"/>
  <c r="Z366" i="4"/>
  <c r="AL354" i="5"/>
  <c r="Z354" i="5"/>
  <c r="F354" i="5"/>
  <c r="H354" i="5"/>
  <c r="I354" i="5"/>
  <c r="AN354" i="5"/>
  <c r="B367" i="4"/>
  <c r="K367" i="4"/>
  <c r="O355" i="5"/>
  <c r="H367" i="4"/>
  <c r="K355" i="5"/>
  <c r="W367" i="4"/>
  <c r="AG355" i="5"/>
  <c r="V367" i="4"/>
  <c r="AF355" i="5"/>
  <c r="C367" i="4"/>
  <c r="C355" i="5"/>
  <c r="D367" i="4"/>
  <c r="E355" i="5"/>
  <c r="I367" i="4"/>
  <c r="L355" i="5"/>
  <c r="J367" i="4"/>
  <c r="N355" i="5"/>
  <c r="L367" i="4"/>
  <c r="Q355" i="5"/>
  <c r="M367" i="4"/>
  <c r="R355" i="5"/>
  <c r="N367" i="4"/>
  <c r="T355" i="5"/>
  <c r="O367" i="4"/>
  <c r="U355" i="5"/>
  <c r="P367" i="4"/>
  <c r="W355" i="5"/>
  <c r="Q367" i="4"/>
  <c r="X355" i="5"/>
  <c r="S367" i="4"/>
  <c r="AA355" i="5"/>
  <c r="T367" i="4"/>
  <c r="AC355" i="5"/>
  <c r="U367" i="4"/>
  <c r="AD355" i="5"/>
  <c r="X367" i="4"/>
  <c r="AI355" i="5"/>
  <c r="Y367" i="4"/>
  <c r="AJ355" i="5"/>
  <c r="Z355" i="5"/>
  <c r="F355" i="5"/>
  <c r="H355" i="5"/>
  <c r="I355" i="5"/>
  <c r="AN355" i="5"/>
  <c r="S368" i="4"/>
  <c r="P368" i="4"/>
  <c r="W356" i="5"/>
  <c r="K368" i="4"/>
  <c r="O356" i="5"/>
  <c r="H368" i="4"/>
  <c r="K356" i="5"/>
  <c r="W368" i="4"/>
  <c r="AG356" i="5"/>
  <c r="V368" i="4"/>
  <c r="AF356" i="5"/>
  <c r="C368" i="4"/>
  <c r="C356" i="5"/>
  <c r="D368" i="4"/>
  <c r="E356" i="5"/>
  <c r="I368" i="4"/>
  <c r="L356" i="5"/>
  <c r="J368" i="4"/>
  <c r="N356" i="5"/>
  <c r="L368" i="4"/>
  <c r="Q356" i="5"/>
  <c r="M368" i="4"/>
  <c r="R356" i="5"/>
  <c r="N368" i="4"/>
  <c r="T356" i="5"/>
  <c r="O368" i="4"/>
  <c r="U356" i="5"/>
  <c r="Q368" i="4"/>
  <c r="X356" i="5"/>
  <c r="R368" i="4"/>
  <c r="Z356" i="5"/>
  <c r="T368" i="4"/>
  <c r="AC356" i="5"/>
  <c r="U368" i="4"/>
  <c r="AD356" i="5"/>
  <c r="X368" i="4"/>
  <c r="AI356" i="5"/>
  <c r="F356" i="5"/>
  <c r="H356" i="5"/>
  <c r="I356" i="5"/>
  <c r="AN356" i="5"/>
  <c r="B365" i="4"/>
  <c r="K365" i="4"/>
  <c r="O357" i="5"/>
  <c r="H365" i="4"/>
  <c r="K357" i="5"/>
  <c r="W365" i="4"/>
  <c r="AG357" i="5"/>
  <c r="V365" i="4"/>
  <c r="AF357" i="5"/>
  <c r="C365" i="4"/>
  <c r="C357" i="5"/>
  <c r="D365" i="4"/>
  <c r="E357" i="5"/>
  <c r="I365" i="4"/>
  <c r="L357" i="5"/>
  <c r="J365" i="4"/>
  <c r="N357" i="5"/>
  <c r="L365" i="4"/>
  <c r="Q357" i="5"/>
  <c r="M365" i="4"/>
  <c r="R357" i="5"/>
  <c r="N365" i="4"/>
  <c r="T357" i="5"/>
  <c r="O365" i="4"/>
  <c r="U357" i="5"/>
  <c r="P365" i="4"/>
  <c r="W357" i="5"/>
  <c r="Q365" i="4"/>
  <c r="X357" i="5"/>
  <c r="S365" i="4"/>
  <c r="AA357" i="5"/>
  <c r="T365" i="4"/>
  <c r="AC357" i="5"/>
  <c r="U365" i="4"/>
  <c r="AD357" i="5"/>
  <c r="X365" i="4"/>
  <c r="AI357" i="5"/>
  <c r="Y365" i="4"/>
  <c r="AJ357" i="5"/>
  <c r="Z365" i="4"/>
  <c r="AL357" i="5"/>
  <c r="F357" i="5"/>
  <c r="H357" i="5"/>
  <c r="I357" i="5"/>
  <c r="Z357" i="5"/>
  <c r="AN357" i="5"/>
  <c r="B354" i="4"/>
  <c r="K354" i="4"/>
  <c r="O358" i="5"/>
  <c r="H354" i="4"/>
  <c r="K358" i="5"/>
  <c r="W354" i="4"/>
  <c r="AG358" i="5"/>
  <c r="V354" i="4"/>
  <c r="AF358" i="5"/>
  <c r="C354" i="4"/>
  <c r="C358" i="5"/>
  <c r="D354" i="4"/>
  <c r="E358" i="5"/>
  <c r="I354" i="4"/>
  <c r="L358" i="5"/>
  <c r="J354" i="4"/>
  <c r="N358" i="5"/>
  <c r="L354" i="4"/>
  <c r="Q358" i="5"/>
  <c r="M354" i="4"/>
  <c r="R358" i="5"/>
  <c r="N354" i="4"/>
  <c r="T358" i="5"/>
  <c r="O354" i="4"/>
  <c r="U358" i="5"/>
  <c r="P354" i="4"/>
  <c r="W358" i="5"/>
  <c r="Q354" i="4"/>
  <c r="X358" i="5"/>
  <c r="S354" i="4"/>
  <c r="AA358" i="5"/>
  <c r="T354" i="4"/>
  <c r="AC358" i="5"/>
  <c r="U354" i="4"/>
  <c r="AD358" i="5"/>
  <c r="X354" i="4"/>
  <c r="AI358" i="5"/>
  <c r="Y354" i="4"/>
  <c r="AJ358" i="5"/>
  <c r="Z354" i="4"/>
  <c r="AL358" i="5"/>
  <c r="F358" i="5"/>
  <c r="H358" i="5"/>
  <c r="I358" i="5"/>
  <c r="Z358" i="5"/>
  <c r="AN358" i="5"/>
  <c r="B355" i="4"/>
  <c r="K355" i="4"/>
  <c r="O359" i="5"/>
  <c r="H355" i="4"/>
  <c r="K359" i="5"/>
  <c r="W355" i="4"/>
  <c r="AG359" i="5"/>
  <c r="V355" i="4"/>
  <c r="AF359" i="5"/>
  <c r="C355" i="4"/>
  <c r="C359" i="5"/>
  <c r="D355" i="4"/>
  <c r="E359" i="5"/>
  <c r="I355" i="4"/>
  <c r="L359" i="5"/>
  <c r="J355" i="4"/>
  <c r="N359" i="5"/>
  <c r="L355" i="4"/>
  <c r="Q359" i="5"/>
  <c r="M355" i="4"/>
  <c r="R359" i="5"/>
  <c r="N355" i="4"/>
  <c r="T359" i="5"/>
  <c r="O355" i="4"/>
  <c r="U359" i="5"/>
  <c r="P355" i="4"/>
  <c r="W359" i="5"/>
  <c r="Q355" i="4"/>
  <c r="X359" i="5"/>
  <c r="S355" i="4"/>
  <c r="AA359" i="5"/>
  <c r="T355" i="4"/>
  <c r="AC359" i="5"/>
  <c r="U355" i="4"/>
  <c r="AD359" i="5"/>
  <c r="X355" i="4"/>
  <c r="AI359" i="5"/>
  <c r="Y355" i="4"/>
  <c r="AJ359" i="5"/>
  <c r="Z355" i="4"/>
  <c r="AL359" i="5"/>
  <c r="F359" i="5"/>
  <c r="H359" i="5"/>
  <c r="I359" i="5"/>
  <c r="Z359" i="5"/>
  <c r="AN359" i="5"/>
  <c r="B356" i="4"/>
  <c r="K356" i="4"/>
  <c r="O360" i="5"/>
  <c r="H356" i="4"/>
  <c r="K360" i="5"/>
  <c r="W356" i="4"/>
  <c r="AG360" i="5"/>
  <c r="V356" i="4"/>
  <c r="AF360" i="5"/>
  <c r="C356" i="4"/>
  <c r="C360" i="5"/>
  <c r="D356" i="4"/>
  <c r="E360" i="5"/>
  <c r="I356" i="4"/>
  <c r="L360" i="5"/>
  <c r="J356" i="4"/>
  <c r="N360" i="5"/>
  <c r="L356" i="4"/>
  <c r="Q360" i="5"/>
  <c r="M356" i="4"/>
  <c r="R360" i="5"/>
  <c r="N356" i="4"/>
  <c r="T360" i="5"/>
  <c r="O356" i="4"/>
  <c r="U360" i="5"/>
  <c r="P356" i="4"/>
  <c r="W360" i="5"/>
  <c r="Q356" i="4"/>
  <c r="X360" i="5"/>
  <c r="S356" i="4"/>
  <c r="AA360" i="5"/>
  <c r="T356" i="4"/>
  <c r="AC360" i="5"/>
  <c r="U356" i="4"/>
  <c r="AD360" i="5"/>
  <c r="X356" i="4"/>
  <c r="AI360" i="5"/>
  <c r="Y356" i="4"/>
  <c r="AJ360" i="5"/>
  <c r="Z356" i="4"/>
  <c r="AL360" i="5"/>
  <c r="F360" i="5"/>
  <c r="H360" i="5"/>
  <c r="I360" i="5"/>
  <c r="Z360" i="5"/>
  <c r="AN360" i="5"/>
  <c r="B357" i="4"/>
  <c r="K357" i="4"/>
  <c r="O361" i="5"/>
  <c r="H357" i="4"/>
  <c r="K361" i="5"/>
  <c r="W357" i="4"/>
  <c r="AG361" i="5"/>
  <c r="V357" i="4"/>
  <c r="AF361" i="5"/>
  <c r="C357" i="4"/>
  <c r="C361" i="5"/>
  <c r="D357" i="4"/>
  <c r="E361" i="5"/>
  <c r="I357" i="4"/>
  <c r="L361" i="5"/>
  <c r="J357" i="4"/>
  <c r="N361" i="5"/>
  <c r="L357" i="4"/>
  <c r="Q361" i="5"/>
  <c r="M357" i="4"/>
  <c r="R361" i="5"/>
  <c r="N357" i="4"/>
  <c r="T361" i="5"/>
  <c r="O357" i="4"/>
  <c r="U361" i="5"/>
  <c r="P357" i="4"/>
  <c r="W361" i="5"/>
  <c r="Q357" i="4"/>
  <c r="X361" i="5"/>
  <c r="S357" i="4"/>
  <c r="AA361" i="5"/>
  <c r="T357" i="4"/>
  <c r="AC361" i="5"/>
  <c r="U357" i="4"/>
  <c r="AD361" i="5"/>
  <c r="X357" i="4"/>
  <c r="AI361" i="5"/>
  <c r="Y357" i="4"/>
  <c r="AJ361" i="5"/>
  <c r="Z357" i="4"/>
  <c r="AL361" i="5"/>
  <c r="F361" i="5"/>
  <c r="H361" i="5"/>
  <c r="I361" i="5"/>
  <c r="Z361" i="5"/>
  <c r="AN361" i="5"/>
  <c r="B358" i="4"/>
  <c r="K358" i="4"/>
  <c r="O362" i="5"/>
  <c r="H358" i="4"/>
  <c r="K362" i="5"/>
  <c r="W358" i="4"/>
  <c r="AG362" i="5"/>
  <c r="V358" i="4"/>
  <c r="AF362" i="5"/>
  <c r="C358" i="4"/>
  <c r="C362" i="5"/>
  <c r="D358" i="4"/>
  <c r="E362" i="5"/>
  <c r="I358" i="4"/>
  <c r="L362" i="5"/>
  <c r="J358" i="4"/>
  <c r="N362" i="5"/>
  <c r="L358" i="4"/>
  <c r="Q362" i="5"/>
  <c r="M358" i="4"/>
  <c r="R362" i="5"/>
  <c r="N358" i="4"/>
  <c r="T362" i="5"/>
  <c r="O358" i="4"/>
  <c r="U362" i="5"/>
  <c r="P358" i="4"/>
  <c r="W362" i="5"/>
  <c r="Q358" i="4"/>
  <c r="X362" i="5"/>
  <c r="S358" i="4"/>
  <c r="AA362" i="5"/>
  <c r="T358" i="4"/>
  <c r="AC362" i="5"/>
  <c r="U358" i="4"/>
  <c r="AD362" i="5"/>
  <c r="X358" i="4"/>
  <c r="AI362" i="5"/>
  <c r="Y358" i="4"/>
  <c r="AJ362" i="5"/>
  <c r="Z358" i="4"/>
  <c r="AL362" i="5"/>
  <c r="F362" i="5"/>
  <c r="H362" i="5"/>
  <c r="I362" i="5"/>
  <c r="Z362" i="5"/>
  <c r="AN362" i="5"/>
  <c r="B359" i="4"/>
  <c r="K359" i="4"/>
  <c r="O363" i="5"/>
  <c r="H359" i="4"/>
  <c r="K363" i="5"/>
  <c r="W359" i="4"/>
  <c r="AG363" i="5"/>
  <c r="V359" i="4"/>
  <c r="AF363" i="5"/>
  <c r="C359" i="4"/>
  <c r="C363" i="5"/>
  <c r="D359" i="4"/>
  <c r="E363" i="5"/>
  <c r="I359" i="4"/>
  <c r="L363" i="5"/>
  <c r="J359" i="4"/>
  <c r="N363" i="5"/>
  <c r="L359" i="4"/>
  <c r="Q363" i="5"/>
  <c r="M359" i="4"/>
  <c r="R363" i="5"/>
  <c r="N359" i="4"/>
  <c r="T363" i="5"/>
  <c r="O359" i="4"/>
  <c r="U363" i="5"/>
  <c r="P359" i="4"/>
  <c r="W363" i="5"/>
  <c r="Q359" i="4"/>
  <c r="X363" i="5"/>
  <c r="S359" i="4"/>
  <c r="AA363" i="5"/>
  <c r="T359" i="4"/>
  <c r="AC363" i="5"/>
  <c r="U359" i="4"/>
  <c r="AD363" i="5"/>
  <c r="X359" i="4"/>
  <c r="AI363" i="5"/>
  <c r="Y359" i="4"/>
  <c r="AJ363" i="5"/>
  <c r="Z359" i="4"/>
  <c r="AL363" i="5"/>
  <c r="F363" i="5"/>
  <c r="H363" i="5"/>
  <c r="I363" i="5"/>
  <c r="Z363" i="5"/>
  <c r="AN363" i="5"/>
  <c r="B360" i="4"/>
  <c r="K360" i="4"/>
  <c r="O364" i="5"/>
  <c r="H360" i="4"/>
  <c r="K364" i="5"/>
  <c r="W360" i="4"/>
  <c r="AG364" i="5"/>
  <c r="V360" i="4"/>
  <c r="AF364" i="5"/>
  <c r="C360" i="4"/>
  <c r="C364" i="5"/>
  <c r="D360" i="4"/>
  <c r="E364" i="5"/>
  <c r="I360" i="4"/>
  <c r="L364" i="5"/>
  <c r="J360" i="4"/>
  <c r="N364" i="5"/>
  <c r="L360" i="4"/>
  <c r="Q364" i="5"/>
  <c r="M360" i="4"/>
  <c r="R364" i="5"/>
  <c r="N360" i="4"/>
  <c r="T364" i="5"/>
  <c r="O360" i="4"/>
  <c r="U364" i="5"/>
  <c r="P360" i="4"/>
  <c r="W364" i="5"/>
  <c r="Q360" i="4"/>
  <c r="X364" i="5"/>
  <c r="S360" i="4"/>
  <c r="AA364" i="5"/>
  <c r="T360" i="4"/>
  <c r="AC364" i="5"/>
  <c r="U360" i="4"/>
  <c r="AD364" i="5"/>
  <c r="X360" i="4"/>
  <c r="AI364" i="5"/>
  <c r="Y360" i="4"/>
  <c r="AJ364" i="5"/>
  <c r="Z360" i="4"/>
  <c r="AL364" i="5"/>
  <c r="F364" i="5"/>
  <c r="H364" i="5"/>
  <c r="I364" i="5"/>
  <c r="Z364" i="5"/>
  <c r="AN364" i="5"/>
  <c r="B361" i="4"/>
  <c r="K361" i="4"/>
  <c r="O365" i="5"/>
  <c r="H361" i="4"/>
  <c r="K365" i="5"/>
  <c r="W361" i="4"/>
  <c r="AG365" i="5"/>
  <c r="V361" i="4"/>
  <c r="AF365" i="5"/>
  <c r="C361" i="4"/>
  <c r="C365" i="5"/>
  <c r="D361" i="4"/>
  <c r="E365" i="5"/>
  <c r="I361" i="4"/>
  <c r="L365" i="5"/>
  <c r="J361" i="4"/>
  <c r="N365" i="5"/>
  <c r="L361" i="4"/>
  <c r="Q365" i="5"/>
  <c r="M361" i="4"/>
  <c r="R365" i="5"/>
  <c r="N361" i="4"/>
  <c r="T365" i="5"/>
  <c r="O361" i="4"/>
  <c r="U365" i="5"/>
  <c r="P361" i="4"/>
  <c r="W365" i="5"/>
  <c r="Q361" i="4"/>
  <c r="X365" i="5"/>
  <c r="S361" i="4"/>
  <c r="AA365" i="5"/>
  <c r="T361" i="4"/>
  <c r="AC365" i="5"/>
  <c r="U361" i="4"/>
  <c r="AD365" i="5"/>
  <c r="X361" i="4"/>
  <c r="AI365" i="5"/>
  <c r="Y361" i="4"/>
  <c r="AJ365" i="5"/>
  <c r="Z361" i="4"/>
  <c r="AL365" i="5"/>
  <c r="F365" i="5"/>
  <c r="H365" i="5"/>
  <c r="I365" i="5"/>
  <c r="Z365" i="5"/>
  <c r="AN365" i="5"/>
  <c r="B369" i="4"/>
  <c r="S369" i="4"/>
  <c r="AA366" i="5"/>
  <c r="P369" i="4"/>
  <c r="W366" i="5"/>
  <c r="K369" i="4"/>
  <c r="O366" i="5"/>
  <c r="H369" i="4"/>
  <c r="K366" i="5"/>
  <c r="W369" i="4"/>
  <c r="AG366" i="5"/>
  <c r="V369" i="4"/>
  <c r="AF366" i="5"/>
  <c r="C369" i="4"/>
  <c r="C366" i="5"/>
  <c r="D369" i="4"/>
  <c r="E366" i="5"/>
  <c r="I369" i="4"/>
  <c r="L366" i="5"/>
  <c r="J369" i="4"/>
  <c r="N366" i="5"/>
  <c r="L369" i="4"/>
  <c r="Q366" i="5"/>
  <c r="M369" i="4"/>
  <c r="R366" i="5"/>
  <c r="N369" i="4"/>
  <c r="T366" i="5"/>
  <c r="O369" i="4"/>
  <c r="U366" i="5"/>
  <c r="Q369" i="4"/>
  <c r="X366" i="5"/>
  <c r="R369" i="4"/>
  <c r="Z366" i="5"/>
  <c r="T369" i="4"/>
  <c r="AC366" i="5"/>
  <c r="U369" i="4"/>
  <c r="AD366" i="5"/>
  <c r="X369" i="4"/>
  <c r="AI366" i="5"/>
  <c r="F366" i="5"/>
  <c r="H366" i="5"/>
  <c r="I366" i="5"/>
  <c r="AN366" i="5"/>
  <c r="B362" i="4"/>
  <c r="K362" i="4"/>
  <c r="O367" i="5"/>
  <c r="H362" i="4"/>
  <c r="K367" i="5"/>
  <c r="W362" i="4"/>
  <c r="AG367" i="5"/>
  <c r="V362" i="4"/>
  <c r="AF367" i="5"/>
  <c r="C362" i="4"/>
  <c r="C367" i="5"/>
  <c r="D362" i="4"/>
  <c r="E367" i="5"/>
  <c r="I362" i="4"/>
  <c r="L367" i="5"/>
  <c r="J362" i="4"/>
  <c r="N367" i="5"/>
  <c r="L362" i="4"/>
  <c r="Q367" i="5"/>
  <c r="M362" i="4"/>
  <c r="R367" i="5"/>
  <c r="N362" i="4"/>
  <c r="T367" i="5"/>
  <c r="O362" i="4"/>
  <c r="U367" i="5"/>
  <c r="P362" i="4"/>
  <c r="W367" i="5"/>
  <c r="Q362" i="4"/>
  <c r="X367" i="5"/>
  <c r="S362" i="4"/>
  <c r="AA367" i="5"/>
  <c r="T362" i="4"/>
  <c r="AC367" i="5"/>
  <c r="U362" i="4"/>
  <c r="AD367" i="5"/>
  <c r="X362" i="4"/>
  <c r="AI367" i="5"/>
  <c r="Y362" i="4"/>
  <c r="AJ367" i="5"/>
  <c r="Z362" i="4"/>
  <c r="AL367" i="5"/>
  <c r="F367" i="5"/>
  <c r="H367" i="5"/>
  <c r="I367" i="5"/>
  <c r="Z367" i="5"/>
  <c r="AN367" i="5"/>
  <c r="B363" i="4"/>
  <c r="K363" i="4"/>
  <c r="O368" i="5"/>
  <c r="H363" i="4"/>
  <c r="K368" i="5"/>
  <c r="W363" i="4"/>
  <c r="AG368" i="5"/>
  <c r="V363" i="4"/>
  <c r="AF368" i="5"/>
  <c r="C363" i="4"/>
  <c r="C368" i="5"/>
  <c r="D363" i="4"/>
  <c r="E368" i="5"/>
  <c r="I363" i="4"/>
  <c r="L368" i="5"/>
  <c r="J363" i="4"/>
  <c r="N368" i="5"/>
  <c r="L363" i="4"/>
  <c r="Q368" i="5"/>
  <c r="M363" i="4"/>
  <c r="R368" i="5"/>
  <c r="N363" i="4"/>
  <c r="T368" i="5"/>
  <c r="O363" i="4"/>
  <c r="U368" i="5"/>
  <c r="P363" i="4"/>
  <c r="W368" i="5"/>
  <c r="Q363" i="4"/>
  <c r="X368" i="5"/>
  <c r="S363" i="4"/>
  <c r="AA368" i="5"/>
  <c r="T363" i="4"/>
  <c r="AC368" i="5"/>
  <c r="U363" i="4"/>
  <c r="AD368" i="5"/>
  <c r="X363" i="4"/>
  <c r="AI368" i="5"/>
  <c r="Y363" i="4"/>
  <c r="AJ368" i="5"/>
  <c r="Z363" i="4"/>
  <c r="AL368" i="5"/>
  <c r="F368" i="5"/>
  <c r="H368" i="5"/>
  <c r="I368" i="5"/>
  <c r="Z368" i="5"/>
  <c r="AN368" i="5"/>
  <c r="B364" i="4"/>
  <c r="K364" i="4"/>
  <c r="O369" i="5"/>
  <c r="H364" i="4"/>
  <c r="K369" i="5"/>
  <c r="W364" i="4"/>
  <c r="AG369" i="5"/>
  <c r="V364" i="4"/>
  <c r="AF369" i="5"/>
  <c r="C364" i="4"/>
  <c r="C369" i="5"/>
  <c r="D364" i="4"/>
  <c r="E369" i="5"/>
  <c r="I364" i="4"/>
  <c r="L369" i="5"/>
  <c r="J364" i="4"/>
  <c r="N369" i="5"/>
  <c r="L364" i="4"/>
  <c r="Q369" i="5"/>
  <c r="M364" i="4"/>
  <c r="R369" i="5"/>
  <c r="N364" i="4"/>
  <c r="T369" i="5"/>
  <c r="O364" i="4"/>
  <c r="U369" i="5"/>
  <c r="P364" i="4"/>
  <c r="W369" i="5"/>
  <c r="Q364" i="4"/>
  <c r="X369" i="5"/>
  <c r="S364" i="4"/>
  <c r="AA369" i="5"/>
  <c r="T364" i="4"/>
  <c r="AC369" i="5"/>
  <c r="U364" i="4"/>
  <c r="AD369" i="5"/>
  <c r="X364" i="4"/>
  <c r="AI369" i="5"/>
  <c r="Y364" i="4"/>
  <c r="AJ369" i="5"/>
  <c r="Z364" i="4"/>
  <c r="AL369" i="5"/>
  <c r="F369" i="5"/>
  <c r="H369" i="5"/>
  <c r="I369" i="5"/>
  <c r="Z369" i="5"/>
  <c r="AN369" i="5"/>
  <c r="B370" i="4"/>
  <c r="K370" i="4"/>
  <c r="O370" i="5"/>
  <c r="H370" i="4"/>
  <c r="K370" i="5"/>
  <c r="W370" i="4"/>
  <c r="AG370" i="5"/>
  <c r="V370" i="4"/>
  <c r="AF370" i="5"/>
  <c r="C370" i="4"/>
  <c r="C370" i="5"/>
  <c r="D370" i="4"/>
  <c r="E370" i="5"/>
  <c r="I370" i="4"/>
  <c r="L370" i="5"/>
  <c r="J370" i="4"/>
  <c r="N370" i="5"/>
  <c r="L370" i="4"/>
  <c r="Q370" i="5"/>
  <c r="M370" i="4"/>
  <c r="R370" i="5"/>
  <c r="N370" i="4"/>
  <c r="T370" i="5"/>
  <c r="O370" i="4"/>
  <c r="U370" i="5"/>
  <c r="P370" i="4"/>
  <c r="W370" i="5"/>
  <c r="Q370" i="4"/>
  <c r="X370" i="5"/>
  <c r="S370" i="4"/>
  <c r="AA370" i="5"/>
  <c r="T370" i="4"/>
  <c r="AC370" i="5"/>
  <c r="U370" i="4"/>
  <c r="AD370" i="5"/>
  <c r="X370" i="4"/>
  <c r="AI370" i="5"/>
  <c r="Y370" i="4"/>
  <c r="AJ370" i="5"/>
  <c r="Z370" i="4"/>
  <c r="AL370" i="5"/>
  <c r="F370" i="5"/>
  <c r="H370" i="5"/>
  <c r="I370" i="5"/>
  <c r="Z370" i="5"/>
  <c r="AN370" i="5"/>
  <c r="B371" i="4"/>
  <c r="K371" i="4"/>
  <c r="O371" i="5"/>
  <c r="H371" i="4"/>
  <c r="K371" i="5"/>
  <c r="W371" i="4"/>
  <c r="AG371" i="5"/>
  <c r="V371" i="4"/>
  <c r="AF371" i="5"/>
  <c r="C371" i="4"/>
  <c r="C371" i="5"/>
  <c r="D371" i="4"/>
  <c r="E371" i="5"/>
  <c r="I371" i="4"/>
  <c r="L371" i="5"/>
  <c r="J371" i="4"/>
  <c r="N371" i="5"/>
  <c r="L371" i="4"/>
  <c r="Q371" i="5"/>
  <c r="M371" i="4"/>
  <c r="R371" i="5"/>
  <c r="N371" i="4"/>
  <c r="T371" i="5"/>
  <c r="O371" i="4"/>
  <c r="U371" i="5"/>
  <c r="P371" i="4"/>
  <c r="W371" i="5"/>
  <c r="Q371" i="4"/>
  <c r="X371" i="5"/>
  <c r="S371" i="4"/>
  <c r="AA371" i="5"/>
  <c r="T371" i="4"/>
  <c r="AC371" i="5"/>
  <c r="U371" i="4"/>
  <c r="AD371" i="5"/>
  <c r="X371" i="4"/>
  <c r="AI371" i="5"/>
  <c r="Y371" i="4"/>
  <c r="AJ371" i="5"/>
  <c r="Z371" i="4"/>
  <c r="AL371" i="5"/>
  <c r="F371" i="5"/>
  <c r="H371" i="5"/>
  <c r="I371" i="5"/>
  <c r="Z371" i="5"/>
  <c r="AN371" i="5"/>
  <c r="B372" i="4"/>
  <c r="K372" i="4"/>
  <c r="O372" i="5"/>
  <c r="H372" i="4"/>
  <c r="K372" i="5"/>
  <c r="W372" i="4"/>
  <c r="AG372" i="5"/>
  <c r="V372" i="4"/>
  <c r="AF372" i="5"/>
  <c r="C372" i="4"/>
  <c r="C372" i="5"/>
  <c r="D372" i="4"/>
  <c r="E372" i="5"/>
  <c r="I372" i="4"/>
  <c r="L372" i="5"/>
  <c r="J372" i="4"/>
  <c r="N372" i="5"/>
  <c r="L372" i="4"/>
  <c r="Q372" i="5"/>
  <c r="M372" i="4"/>
  <c r="R372" i="5"/>
  <c r="N372" i="4"/>
  <c r="T372" i="5"/>
  <c r="O372" i="4"/>
  <c r="U372" i="5"/>
  <c r="P372" i="4"/>
  <c r="W372" i="5"/>
  <c r="Q372" i="4"/>
  <c r="X372" i="5"/>
  <c r="S372" i="4"/>
  <c r="AA372" i="5"/>
  <c r="T372" i="4"/>
  <c r="AC372" i="5"/>
  <c r="U372" i="4"/>
  <c r="AD372" i="5"/>
  <c r="X372" i="4"/>
  <c r="AI372" i="5"/>
  <c r="Y372" i="4"/>
  <c r="AJ372" i="5"/>
  <c r="Z372" i="4"/>
  <c r="AL372" i="5"/>
  <c r="F372" i="5"/>
  <c r="H372" i="5"/>
  <c r="I372" i="5"/>
  <c r="Z372" i="5"/>
  <c r="AN372" i="5"/>
  <c r="B373" i="4"/>
  <c r="K373" i="4"/>
  <c r="O373" i="5"/>
  <c r="H373" i="4"/>
  <c r="K373" i="5"/>
  <c r="W373" i="4"/>
  <c r="AG373" i="5"/>
  <c r="V373" i="4"/>
  <c r="AF373" i="5"/>
  <c r="C373" i="4"/>
  <c r="C373" i="5"/>
  <c r="D373" i="4"/>
  <c r="E373" i="5"/>
  <c r="I373" i="4"/>
  <c r="L373" i="5"/>
  <c r="J373" i="4"/>
  <c r="N373" i="5"/>
  <c r="L373" i="4"/>
  <c r="Q373" i="5"/>
  <c r="M373" i="4"/>
  <c r="R373" i="5"/>
  <c r="N373" i="4"/>
  <c r="T373" i="5"/>
  <c r="O373" i="4"/>
  <c r="U373" i="5"/>
  <c r="P373" i="4"/>
  <c r="W373" i="5"/>
  <c r="Q373" i="4"/>
  <c r="X373" i="5"/>
  <c r="S373" i="4"/>
  <c r="AA373" i="5"/>
  <c r="T373" i="4"/>
  <c r="AC373" i="5"/>
  <c r="U373" i="4"/>
  <c r="AD373" i="5"/>
  <c r="X373" i="4"/>
  <c r="AI373" i="5"/>
  <c r="Y373" i="4"/>
  <c r="AJ373" i="5"/>
  <c r="Z373" i="4"/>
  <c r="AL373" i="5"/>
  <c r="F373" i="5"/>
  <c r="H373" i="5"/>
  <c r="I373" i="5"/>
  <c r="Z373" i="5"/>
  <c r="AN373" i="5"/>
  <c r="B374" i="4"/>
  <c r="K374" i="4"/>
  <c r="O374" i="5"/>
  <c r="H374" i="4"/>
  <c r="K374" i="5"/>
  <c r="W374" i="4"/>
  <c r="AG374" i="5"/>
  <c r="AF374" i="5"/>
  <c r="C374" i="4"/>
  <c r="C374" i="5"/>
  <c r="D374" i="4"/>
  <c r="E374" i="5"/>
  <c r="I374" i="4"/>
  <c r="L374" i="5"/>
  <c r="J374" i="4"/>
  <c r="N374" i="5"/>
  <c r="L374" i="4"/>
  <c r="Q374" i="5"/>
  <c r="M374" i="4"/>
  <c r="R374" i="5"/>
  <c r="N374" i="4"/>
  <c r="T374" i="5"/>
  <c r="O374" i="4"/>
  <c r="U374" i="5"/>
  <c r="P374" i="4"/>
  <c r="W374" i="5"/>
  <c r="Q374" i="4"/>
  <c r="X374" i="5"/>
  <c r="S374" i="4"/>
  <c r="AA374" i="5"/>
  <c r="T374" i="4"/>
  <c r="AC374" i="5"/>
  <c r="U374" i="4"/>
  <c r="AD374" i="5"/>
  <c r="X374" i="4"/>
  <c r="AI374" i="5"/>
  <c r="Y374" i="4"/>
  <c r="AJ374" i="5"/>
  <c r="Z374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V375" i="4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V376" i="4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7" i="4"/>
  <c r="K377" i="4"/>
  <c r="O377" i="5"/>
  <c r="H377" i="4"/>
  <c r="K377" i="5"/>
  <c r="W377" i="4"/>
  <c r="AG377" i="5"/>
  <c r="V377" i="4"/>
  <c r="AF377" i="5"/>
  <c r="C377" i="4"/>
  <c r="C377" i="5"/>
  <c r="D377" i="4"/>
  <c r="E377" i="5"/>
  <c r="I377" i="4"/>
  <c r="L377" i="5"/>
  <c r="J377" i="4"/>
  <c r="N377" i="5"/>
  <c r="L377" i="4"/>
  <c r="Q377" i="5"/>
  <c r="M377" i="4"/>
  <c r="R377" i="5"/>
  <c r="N377" i="4"/>
  <c r="T377" i="5"/>
  <c r="O377" i="4"/>
  <c r="U377" i="5"/>
  <c r="P377" i="4"/>
  <c r="W377" i="5"/>
  <c r="Q377" i="4"/>
  <c r="X377" i="5"/>
  <c r="S377" i="4"/>
  <c r="AA377" i="5"/>
  <c r="T377" i="4"/>
  <c r="AC377" i="5"/>
  <c r="U377" i="4"/>
  <c r="AD377" i="5"/>
  <c r="X377" i="4"/>
  <c r="AI377" i="5"/>
  <c r="Y377" i="4"/>
  <c r="AJ377" i="5"/>
  <c r="Z377" i="4"/>
  <c r="AL377" i="5"/>
  <c r="F377" i="5"/>
  <c r="H377" i="5"/>
  <c r="I377" i="5"/>
  <c r="Z377" i="5"/>
  <c r="AN377" i="5"/>
  <c r="B378" i="4"/>
  <c r="K378" i="4"/>
  <c r="O378" i="5"/>
  <c r="H378" i="4"/>
  <c r="K378" i="5"/>
  <c r="W378" i="4"/>
  <c r="AG378" i="5"/>
  <c r="V378" i="4"/>
  <c r="AF378" i="5"/>
  <c r="C378" i="4"/>
  <c r="C378" i="5"/>
  <c r="D378" i="4"/>
  <c r="E378" i="5"/>
  <c r="I378" i="4"/>
  <c r="L378" i="5"/>
  <c r="J378" i="4"/>
  <c r="N378" i="5"/>
  <c r="L378" i="4"/>
  <c r="Q378" i="5"/>
  <c r="M378" i="4"/>
  <c r="R378" i="5"/>
  <c r="N378" i="4"/>
  <c r="T378" i="5"/>
  <c r="O378" i="4"/>
  <c r="U378" i="5"/>
  <c r="P378" i="4"/>
  <c r="W378" i="5"/>
  <c r="Q378" i="4"/>
  <c r="X378" i="5"/>
  <c r="S378" i="4"/>
  <c r="AA378" i="5"/>
  <c r="T378" i="4"/>
  <c r="AC378" i="5"/>
  <c r="U378" i="4"/>
  <c r="AD378" i="5"/>
  <c r="X378" i="4"/>
  <c r="AI378" i="5"/>
  <c r="Y378" i="4"/>
  <c r="AJ378" i="5"/>
  <c r="Z378" i="4"/>
  <c r="AL378" i="5"/>
  <c r="F378" i="5"/>
  <c r="H378" i="5"/>
  <c r="I378" i="5"/>
  <c r="Z378" i="5"/>
  <c r="AN378" i="5"/>
  <c r="B379" i="4"/>
  <c r="K379" i="4"/>
  <c r="O379" i="5"/>
  <c r="H379" i="4"/>
  <c r="K379" i="5"/>
  <c r="W379" i="4"/>
  <c r="AG379" i="5"/>
  <c r="V379" i="4"/>
  <c r="AF379" i="5"/>
  <c r="C379" i="4"/>
  <c r="C379" i="5"/>
  <c r="D379" i="4"/>
  <c r="E379" i="5"/>
  <c r="I379" i="4"/>
  <c r="L379" i="5"/>
  <c r="J379" i="4"/>
  <c r="N379" i="5"/>
  <c r="L379" i="4"/>
  <c r="Q379" i="5"/>
  <c r="M379" i="4"/>
  <c r="R379" i="5"/>
  <c r="N379" i="4"/>
  <c r="T379" i="5"/>
  <c r="O379" i="4"/>
  <c r="U379" i="5"/>
  <c r="P379" i="4"/>
  <c r="W379" i="5"/>
  <c r="Q379" i="4"/>
  <c r="X379" i="5"/>
  <c r="S379" i="4"/>
  <c r="AA379" i="5"/>
  <c r="T379" i="4"/>
  <c r="AC379" i="5"/>
  <c r="U379" i="4"/>
  <c r="AD379" i="5"/>
  <c r="X379" i="4"/>
  <c r="AI379" i="5"/>
  <c r="Y379" i="4"/>
  <c r="AJ379" i="5"/>
  <c r="Z379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3" i="4"/>
  <c r="C383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87" i="4"/>
  <c r="P387" i="4"/>
  <c r="W387" i="5"/>
  <c r="O387" i="5"/>
  <c r="K387" i="5"/>
  <c r="AG387" i="5"/>
  <c r="AF387" i="5"/>
  <c r="C387" i="5"/>
  <c r="L387" i="5"/>
  <c r="N387" i="5"/>
  <c r="L387" i="4"/>
  <c r="Q387" i="5"/>
  <c r="U387" i="5"/>
  <c r="Q387" i="4"/>
  <c r="X387" i="5"/>
  <c r="R15" i="2"/>
  <c r="R387" i="4"/>
  <c r="Z387" i="5"/>
  <c r="AC387" i="5"/>
  <c r="AD387" i="5"/>
  <c r="X387" i="4"/>
  <c r="AI387" i="5"/>
  <c r="Y387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13" i="2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AL392" i="5"/>
  <c r="F392" i="5"/>
  <c r="E392" i="5"/>
  <c r="H392" i="5"/>
  <c r="I392" i="5"/>
  <c r="R392" i="5"/>
  <c r="T392" i="5"/>
  <c r="AN392" i="5"/>
  <c r="AA393" i="5"/>
  <c r="B393" i="4"/>
  <c r="P393" i="4"/>
  <c r="W393" i="5"/>
  <c r="O393" i="5"/>
  <c r="K393" i="5"/>
  <c r="AG393" i="5"/>
  <c r="AF393" i="5"/>
  <c r="C393" i="5"/>
  <c r="L393" i="5"/>
  <c r="N393" i="5"/>
  <c r="L393" i="4"/>
  <c r="Q393" i="5"/>
  <c r="U393" i="5"/>
  <c r="Q393" i="4"/>
  <c r="X393" i="5"/>
  <c r="R393" i="4"/>
  <c r="Z393" i="5"/>
  <c r="AC393" i="5"/>
  <c r="AD393" i="5"/>
  <c r="X393" i="4"/>
  <c r="AI393" i="5"/>
  <c r="Y393" i="4"/>
  <c r="AJ393" i="5"/>
  <c r="AL393" i="5"/>
  <c r="F393" i="5"/>
  <c r="E393" i="5"/>
  <c r="H393" i="5"/>
  <c r="I393" i="5"/>
  <c r="R393" i="5"/>
  <c r="T393" i="5"/>
  <c r="AN393" i="5"/>
  <c r="AA394" i="5"/>
  <c r="B394" i="4"/>
  <c r="P394" i="4"/>
  <c r="W394" i="5"/>
  <c r="O394" i="5"/>
  <c r="K394" i="5"/>
  <c r="AG394" i="5"/>
  <c r="AF394" i="5"/>
  <c r="C394" i="5"/>
  <c r="L394" i="5"/>
  <c r="N394" i="5"/>
  <c r="L394" i="4"/>
  <c r="Q394" i="5"/>
  <c r="U394" i="5"/>
  <c r="Q394" i="4"/>
  <c r="X394" i="5"/>
  <c r="R394" i="4"/>
  <c r="Z394" i="5"/>
  <c r="AC394" i="5"/>
  <c r="AD394" i="5"/>
  <c r="X394" i="4"/>
  <c r="AI394" i="5"/>
  <c r="Y394" i="4"/>
  <c r="AJ394" i="5"/>
  <c r="AL394" i="5"/>
  <c r="F394" i="5"/>
  <c r="E394" i="5"/>
  <c r="H394" i="5"/>
  <c r="I394" i="5"/>
  <c r="R394" i="5"/>
  <c r="T394" i="5"/>
  <c r="AN394" i="5"/>
  <c r="AA395" i="5"/>
  <c r="B395" i="4"/>
  <c r="P395" i="4"/>
  <c r="W395" i="5"/>
  <c r="O395" i="5"/>
  <c r="K395" i="5"/>
  <c r="AG395" i="5"/>
  <c r="AF395" i="5"/>
  <c r="C395" i="5"/>
  <c r="L395" i="5"/>
  <c r="N395" i="5"/>
  <c r="L395" i="4"/>
  <c r="Q395" i="5"/>
  <c r="U395" i="5"/>
  <c r="Q395" i="4"/>
  <c r="X395" i="5"/>
  <c r="R395" i="4"/>
  <c r="Z395" i="5"/>
  <c r="AC395" i="5"/>
  <c r="AD395" i="5"/>
  <c r="X395" i="4"/>
  <c r="AI395" i="5"/>
  <c r="Y395" i="4"/>
  <c r="AJ395" i="5"/>
  <c r="AL395" i="5"/>
  <c r="F395" i="5"/>
  <c r="E395" i="5"/>
  <c r="H395" i="5"/>
  <c r="I395" i="5"/>
  <c r="R395" i="5"/>
  <c r="T395" i="5"/>
  <c r="AN395" i="5"/>
  <c r="AA396" i="5"/>
  <c r="B396" i="4"/>
  <c r="P396" i="4"/>
  <c r="W396" i="5"/>
  <c r="O396" i="5"/>
  <c r="K396" i="5"/>
  <c r="AG396" i="5"/>
  <c r="AF396" i="5"/>
  <c r="C396" i="5"/>
  <c r="L396" i="5"/>
  <c r="N396" i="5"/>
  <c r="L396" i="4"/>
  <c r="Q396" i="5"/>
  <c r="U396" i="5"/>
  <c r="Q396" i="4"/>
  <c r="X396" i="5"/>
  <c r="R396" i="4"/>
  <c r="Z396" i="5"/>
  <c r="AC396" i="5"/>
  <c r="AD396" i="5"/>
  <c r="X396" i="4"/>
  <c r="AI396" i="5"/>
  <c r="Y396" i="4"/>
  <c r="AJ396" i="5"/>
  <c r="AL396" i="5"/>
  <c r="F396" i="5"/>
  <c r="E396" i="5"/>
  <c r="H396" i="5"/>
  <c r="I396" i="5"/>
  <c r="R396" i="5"/>
  <c r="T396" i="5"/>
  <c r="AN396" i="5"/>
  <c r="AA397" i="5"/>
  <c r="B397" i="4"/>
  <c r="P397" i="4"/>
  <c r="W397" i="5"/>
  <c r="O397" i="5"/>
  <c r="K397" i="5"/>
  <c r="AG397" i="5"/>
  <c r="AF397" i="5"/>
  <c r="C397" i="5"/>
  <c r="L397" i="5"/>
  <c r="N397" i="5"/>
  <c r="L397" i="4"/>
  <c r="Q397" i="5"/>
  <c r="U397" i="5"/>
  <c r="Q397" i="4"/>
  <c r="X397" i="5"/>
  <c r="R397" i="4"/>
  <c r="Z397" i="5"/>
  <c r="AC397" i="5"/>
  <c r="AD397" i="5"/>
  <c r="X397" i="4"/>
  <c r="AI397" i="5"/>
  <c r="Y397" i="4"/>
  <c r="AJ397" i="5"/>
  <c r="AL397" i="5"/>
  <c r="F397" i="5"/>
  <c r="E397" i="5"/>
  <c r="H397" i="5"/>
  <c r="I397" i="5"/>
  <c r="R397" i="5"/>
  <c r="T397" i="5"/>
  <c r="AN397" i="5"/>
  <c r="AA398" i="5"/>
  <c r="B398" i="4"/>
  <c r="P398" i="4"/>
  <c r="W398" i="5"/>
  <c r="O398" i="5"/>
  <c r="K398" i="5"/>
  <c r="AG398" i="5"/>
  <c r="AF398" i="5"/>
  <c r="C398" i="5"/>
  <c r="L398" i="5"/>
  <c r="N398" i="5"/>
  <c r="L398" i="4"/>
  <c r="Q398" i="5"/>
  <c r="U398" i="5"/>
  <c r="Q398" i="4"/>
  <c r="X398" i="5"/>
  <c r="R27" i="2"/>
  <c r="R398" i="4"/>
  <c r="Z398" i="5"/>
  <c r="AC398" i="5"/>
  <c r="AD398" i="5"/>
  <c r="X398" i="4"/>
  <c r="AI398" i="5"/>
  <c r="Y398" i="4"/>
  <c r="AJ398" i="5"/>
  <c r="AL398" i="5"/>
  <c r="F398" i="5"/>
  <c r="E398" i="5"/>
  <c r="H398" i="5"/>
  <c r="I398" i="5"/>
  <c r="R398" i="5"/>
  <c r="T398" i="5"/>
  <c r="AN398" i="5"/>
  <c r="AA399" i="5"/>
  <c r="B399" i="4"/>
  <c r="P399" i="4"/>
  <c r="W399" i="5"/>
  <c r="O399" i="5"/>
  <c r="K399" i="5"/>
  <c r="AG399" i="5"/>
  <c r="AF399" i="5"/>
  <c r="C399" i="5"/>
  <c r="L399" i="5"/>
  <c r="N399" i="5"/>
  <c r="L399" i="4"/>
  <c r="Q399" i="5"/>
  <c r="U399" i="5"/>
  <c r="Q399" i="4"/>
  <c r="X399" i="5"/>
  <c r="R399" i="4"/>
  <c r="Z399" i="5"/>
  <c r="AC399" i="5"/>
  <c r="AD399" i="5"/>
  <c r="X399" i="4"/>
  <c r="AI399" i="5"/>
  <c r="Y399" i="4"/>
  <c r="AJ399" i="5"/>
  <c r="AL399" i="5"/>
  <c r="F399" i="5"/>
  <c r="E399" i="5"/>
  <c r="H399" i="5"/>
  <c r="I399" i="5"/>
  <c r="R399" i="5"/>
  <c r="T399" i="5"/>
  <c r="AN399" i="5"/>
  <c r="AA400" i="5"/>
  <c r="B400" i="4"/>
  <c r="P400" i="4"/>
  <c r="W400" i="5"/>
  <c r="O400" i="5"/>
  <c r="K400" i="5"/>
  <c r="AG400" i="5"/>
  <c r="AF400" i="5"/>
  <c r="C400" i="5"/>
  <c r="L400" i="5"/>
  <c r="N400" i="5"/>
  <c r="L400" i="4"/>
  <c r="Q400" i="5"/>
  <c r="U400" i="5"/>
  <c r="Q400" i="4"/>
  <c r="X400" i="5"/>
  <c r="R400" i="4"/>
  <c r="Z400" i="5"/>
  <c r="AC400" i="5"/>
  <c r="AD400" i="5"/>
  <c r="X400" i="4"/>
  <c r="AI400" i="5"/>
  <c r="Y400" i="4"/>
  <c r="AJ400" i="5"/>
  <c r="AL400" i="5"/>
  <c r="F400" i="5"/>
  <c r="E400" i="5"/>
  <c r="H400" i="5"/>
  <c r="I400" i="5"/>
  <c r="R400" i="5"/>
  <c r="T400" i="5"/>
  <c r="AN400" i="5"/>
  <c r="AA401" i="5"/>
  <c r="B401" i="4"/>
  <c r="P401" i="4"/>
  <c r="W401" i="5"/>
  <c r="O401" i="5"/>
  <c r="K401" i="5"/>
  <c r="AG401" i="5"/>
  <c r="AF401" i="5"/>
  <c r="C401" i="5"/>
  <c r="L401" i="5"/>
  <c r="N401" i="5"/>
  <c r="L401" i="4"/>
  <c r="Q401" i="5"/>
  <c r="U401" i="5"/>
  <c r="Q401" i="4"/>
  <c r="X401" i="5"/>
  <c r="R401" i="4"/>
  <c r="Z401" i="5"/>
  <c r="AC401" i="5"/>
  <c r="AD401" i="5"/>
  <c r="X401" i="4"/>
  <c r="AI401" i="5"/>
  <c r="Y401" i="4"/>
  <c r="AJ401" i="5"/>
  <c r="AL401" i="5"/>
  <c r="F401" i="5"/>
  <c r="E401" i="5"/>
  <c r="H401" i="5"/>
  <c r="I401" i="5"/>
  <c r="R401" i="5"/>
  <c r="T401" i="5"/>
  <c r="AN401" i="5"/>
  <c r="AA402" i="5"/>
  <c r="B402" i="4"/>
  <c r="P402" i="4"/>
  <c r="W402" i="5"/>
  <c r="O402" i="5"/>
  <c r="K402" i="5"/>
  <c r="AG402" i="5"/>
  <c r="AF402" i="5"/>
  <c r="C402" i="5"/>
  <c r="L402" i="5"/>
  <c r="N402" i="5"/>
  <c r="L402" i="4"/>
  <c r="Q402" i="5"/>
  <c r="U402" i="5"/>
  <c r="Q402" i="4"/>
  <c r="X402" i="5"/>
  <c r="R402" i="4"/>
  <c r="Z402" i="5"/>
  <c r="AC402" i="5"/>
  <c r="AD402" i="5"/>
  <c r="X402" i="4"/>
  <c r="AI402" i="5"/>
  <c r="Y402" i="4"/>
  <c r="AJ402" i="5"/>
  <c r="AL402" i="5"/>
  <c r="F402" i="5"/>
  <c r="E402" i="5"/>
  <c r="H402" i="5"/>
  <c r="I402" i="5"/>
  <c r="R402" i="5"/>
  <c r="T402" i="5"/>
  <c r="AN402" i="5"/>
  <c r="AA403" i="5"/>
  <c r="B403" i="4"/>
  <c r="P403" i="4"/>
  <c r="W403" i="5"/>
  <c r="O403" i="5"/>
  <c r="K403" i="5"/>
  <c r="AG403" i="5"/>
  <c r="AF403" i="5"/>
  <c r="C403" i="5"/>
  <c r="L403" i="5"/>
  <c r="N403" i="5"/>
  <c r="L403" i="4"/>
  <c r="Q403" i="5"/>
  <c r="U403" i="5"/>
  <c r="Q403" i="4"/>
  <c r="X403" i="5"/>
  <c r="R403" i="4"/>
  <c r="Z403" i="5"/>
  <c r="AC403" i="5"/>
  <c r="AD403" i="5"/>
  <c r="X403" i="4"/>
  <c r="AI403" i="5"/>
  <c r="Y403" i="4"/>
  <c r="AJ403" i="5"/>
  <c r="AL403" i="5"/>
  <c r="F403" i="5"/>
  <c r="E403" i="5"/>
  <c r="H403" i="5"/>
  <c r="I403" i="5"/>
  <c r="R403" i="5"/>
  <c r="T403" i="5"/>
  <c r="AN403" i="5"/>
  <c r="AA404" i="5"/>
  <c r="B404" i="4"/>
  <c r="P404" i="4"/>
  <c r="W404" i="5"/>
  <c r="O404" i="5"/>
  <c r="K404" i="5"/>
  <c r="AG404" i="5"/>
  <c r="AF404" i="5"/>
  <c r="C404" i="5"/>
  <c r="L404" i="5"/>
  <c r="N404" i="5"/>
  <c r="L404" i="4"/>
  <c r="Q404" i="5"/>
  <c r="U404" i="5"/>
  <c r="Q404" i="4"/>
  <c r="X404" i="5"/>
  <c r="R404" i="4"/>
  <c r="Z404" i="5"/>
  <c r="AC404" i="5"/>
  <c r="AD404" i="5"/>
  <c r="X404" i="4"/>
  <c r="AI404" i="5"/>
  <c r="Y404" i="4"/>
  <c r="AJ404" i="5"/>
  <c r="AL404" i="5"/>
  <c r="F404" i="5"/>
  <c r="E404" i="5"/>
  <c r="H404" i="5"/>
  <c r="I404" i="5"/>
  <c r="R404" i="5"/>
  <c r="T404" i="5"/>
  <c r="AN404" i="5"/>
  <c r="AA405" i="5"/>
  <c r="B405" i="4"/>
  <c r="P405" i="4"/>
  <c r="W405" i="5"/>
  <c r="O405" i="5"/>
  <c r="K405" i="5"/>
  <c r="AG405" i="5"/>
  <c r="AF405" i="5"/>
  <c r="C405" i="5"/>
  <c r="L405" i="5"/>
  <c r="N405" i="5"/>
  <c r="L405" i="4"/>
  <c r="Q405" i="5"/>
  <c r="U405" i="5"/>
  <c r="Q405" i="4"/>
  <c r="X405" i="5"/>
  <c r="R405" i="4"/>
  <c r="Z405" i="5"/>
  <c r="AC405" i="5"/>
  <c r="AD405" i="5"/>
  <c r="X405" i="4"/>
  <c r="AI405" i="5"/>
  <c r="Y40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295" i="4"/>
  <c r="C295" i="4"/>
  <c r="C2" i="5"/>
  <c r="D295" i="4"/>
  <c r="E2" i="5"/>
  <c r="K2" i="5"/>
  <c r="L295" i="4"/>
  <c r="Q2" i="5"/>
  <c r="M295" i="4"/>
  <c r="R2" i="5"/>
  <c r="T2" i="5"/>
  <c r="U2" i="5"/>
  <c r="P295" i="4"/>
  <c r="W2" i="5"/>
  <c r="Q295" i="4"/>
  <c r="X2" i="5"/>
  <c r="S295" i="4"/>
  <c r="AA2" i="5"/>
  <c r="AI295" i="4"/>
  <c r="T295" i="4" a="1"/>
  <c r="T295" i="4"/>
  <c r="AC2" i="5"/>
  <c r="U295" i="4" a="1"/>
  <c r="U295" i="4"/>
  <c r="AD2" i="5"/>
  <c r="X295" i="4"/>
  <c r="AI2" i="5"/>
  <c r="Y295" i="4"/>
  <c r="AJ2" i="5"/>
  <c r="Z295" i="4"/>
  <c r="AL2" i="5"/>
  <c r="F2" i="5"/>
  <c r="L2" i="5"/>
  <c r="N2" i="5"/>
  <c r="O2" i="5"/>
  <c r="H2" i="5"/>
  <c r="I2" i="5"/>
  <c r="Z2" i="5"/>
  <c r="AN2" i="5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42" i="1"/>
  <c r="BA42" i="1"/>
  <c r="BB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BC42" i="1"/>
  <c r="CT42" i="1"/>
  <c r="AZ41" i="1"/>
  <c r="BA41" i="1"/>
  <c r="BB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BC41" i="1"/>
  <c r="CT41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BB17" i="1"/>
  <c r="AZ17" i="1"/>
  <c r="BA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3" i="1"/>
  <c r="BA43" i="1"/>
  <c r="BB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BC43" i="1"/>
  <c r="CT43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BC120" i="1"/>
  <c r="AZ120" i="1"/>
  <c r="BA120" i="1"/>
  <c r="BB120" i="1"/>
  <c r="CT120" i="1"/>
  <c r="AI304" i="4"/>
  <c r="AI305" i="4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3" i="4"/>
  <c r="F47" i="2"/>
  <c r="F303" i="4"/>
  <c r="R47" i="2"/>
  <c r="R303" i="4"/>
  <c r="AA303" i="4"/>
  <c r="AC303" i="4"/>
  <c r="AD303" i="4"/>
  <c r="AE303" i="4"/>
  <c r="AF303" i="4"/>
  <c r="AG303" i="4"/>
  <c r="AH303" i="4"/>
  <c r="AI303" i="4"/>
  <c r="AJ303" i="4"/>
  <c r="AL303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E409" i="9"/>
  <c r="F409" i="9"/>
  <c r="G409" i="9"/>
  <c r="H409" i="9"/>
  <c r="C115" i="7"/>
  <c r="D115" i="7"/>
  <c r="E115" i="7"/>
  <c r="U23" i="2"/>
  <c r="T23" i="2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E408" i="9"/>
  <c r="G408" i="9"/>
  <c r="H408" i="9"/>
  <c r="F408" i="9"/>
  <c r="E407" i="9"/>
  <c r="G407" i="9"/>
  <c r="H407" i="9"/>
  <c r="F407" i="9"/>
  <c r="E406" i="9"/>
  <c r="G406" i="9"/>
  <c r="H406" i="9"/>
  <c r="F406" i="9"/>
  <c r="E405" i="9"/>
  <c r="G405" i="9"/>
  <c r="H405" i="9"/>
  <c r="F405" i="9"/>
  <c r="E404" i="9"/>
  <c r="G404" i="9"/>
  <c r="H404" i="9"/>
  <c r="F404" i="9"/>
  <c r="E403" i="9"/>
  <c r="G403" i="9"/>
  <c r="H403" i="9"/>
  <c r="F403" i="9"/>
  <c r="E402" i="9"/>
  <c r="G402" i="9"/>
  <c r="H402" i="9"/>
  <c r="F402" i="9"/>
  <c r="E401" i="9"/>
  <c r="G401" i="9"/>
  <c r="H401" i="9"/>
  <c r="F401" i="9"/>
  <c r="E400" i="9"/>
  <c r="G400" i="9"/>
  <c r="H400" i="9"/>
  <c r="F400" i="9"/>
  <c r="E399" i="9"/>
  <c r="G399" i="9"/>
  <c r="H399" i="9"/>
  <c r="F399" i="9"/>
  <c r="E398" i="9"/>
  <c r="G398" i="9"/>
  <c r="H398" i="9"/>
  <c r="F398" i="9"/>
  <c r="E397" i="9"/>
  <c r="G397" i="9"/>
  <c r="H397" i="9"/>
  <c r="F397" i="9"/>
  <c r="E396" i="9"/>
  <c r="G396" i="9"/>
  <c r="H396" i="9"/>
  <c r="F396" i="9"/>
  <c r="E395" i="9"/>
  <c r="G395" i="9"/>
  <c r="H395" i="9"/>
  <c r="F395" i="9"/>
  <c r="E394" i="9"/>
  <c r="G394" i="9"/>
  <c r="H394" i="9"/>
  <c r="F394" i="9"/>
  <c r="E393" i="9"/>
  <c r="G393" i="9"/>
  <c r="H393" i="9"/>
  <c r="F393" i="9"/>
  <c r="E392" i="9"/>
  <c r="G392" i="9"/>
  <c r="H392" i="9"/>
  <c r="F392" i="9"/>
  <c r="E391" i="9"/>
  <c r="G391" i="9"/>
  <c r="H391" i="9"/>
  <c r="F391" i="9"/>
  <c r="E390" i="9"/>
  <c r="G390" i="9"/>
  <c r="H390" i="9"/>
  <c r="F390" i="9"/>
  <c r="E389" i="9"/>
  <c r="G389" i="9"/>
  <c r="H389" i="9"/>
  <c r="F389" i="9"/>
  <c r="E388" i="9"/>
  <c r="G388" i="9"/>
  <c r="H388" i="9"/>
  <c r="F388" i="9"/>
  <c r="E387" i="9"/>
  <c r="G387" i="9"/>
  <c r="H387" i="9"/>
  <c r="F387" i="9"/>
  <c r="E386" i="9"/>
  <c r="G386" i="9"/>
  <c r="H386" i="9"/>
  <c r="F386" i="9"/>
  <c r="E385" i="9"/>
  <c r="G385" i="9"/>
  <c r="H385" i="9"/>
  <c r="F385" i="9"/>
  <c r="E384" i="9"/>
  <c r="G384" i="9"/>
  <c r="H384" i="9"/>
  <c r="F384" i="9"/>
  <c r="E383" i="9"/>
  <c r="G383" i="9"/>
  <c r="H383" i="9"/>
  <c r="F383" i="9"/>
  <c r="E382" i="9"/>
  <c r="G382" i="9"/>
  <c r="H382" i="9"/>
  <c r="F382" i="9"/>
  <c r="E381" i="9"/>
  <c r="G381" i="9"/>
  <c r="H381" i="9"/>
  <c r="F381" i="9"/>
  <c r="E380" i="9"/>
  <c r="G380" i="9"/>
  <c r="H380" i="9"/>
  <c r="F380" i="9"/>
  <c r="E379" i="9"/>
  <c r="G379" i="9"/>
  <c r="H379" i="9"/>
  <c r="F379" i="9"/>
  <c r="E378" i="9"/>
  <c r="G378" i="9"/>
  <c r="H378" i="9"/>
  <c r="F378" i="9"/>
  <c r="E377" i="9"/>
  <c r="G377" i="9"/>
  <c r="H377" i="9"/>
  <c r="F377" i="9"/>
  <c r="E376" i="9"/>
  <c r="G376" i="9"/>
  <c r="H376" i="9"/>
  <c r="F376" i="9"/>
  <c r="E375" i="9"/>
  <c r="G375" i="9"/>
  <c r="H375" i="9"/>
  <c r="F375" i="9"/>
  <c r="E374" i="9"/>
  <c r="G374" i="9"/>
  <c r="H374" i="9"/>
  <c r="F374" i="9"/>
  <c r="E373" i="9"/>
  <c r="G373" i="9"/>
  <c r="H373" i="9"/>
  <c r="F373" i="9"/>
  <c r="E372" i="9"/>
  <c r="G372" i="9"/>
  <c r="H372" i="9"/>
  <c r="F372" i="9"/>
  <c r="E371" i="9"/>
  <c r="G371" i="9"/>
  <c r="H371" i="9"/>
  <c r="F371" i="9"/>
  <c r="E370" i="9"/>
  <c r="G370" i="9"/>
  <c r="H370" i="9"/>
  <c r="F370" i="9"/>
  <c r="E369" i="9"/>
  <c r="G369" i="9"/>
  <c r="H369" i="9"/>
  <c r="F369" i="9"/>
  <c r="E368" i="9"/>
  <c r="G368" i="9"/>
  <c r="H368" i="9"/>
  <c r="F368" i="9"/>
  <c r="E367" i="9"/>
  <c r="G367" i="9"/>
  <c r="H367" i="9"/>
  <c r="F367" i="9"/>
  <c r="E366" i="9"/>
  <c r="G366" i="9"/>
  <c r="H366" i="9"/>
  <c r="F366" i="9"/>
  <c r="E365" i="9"/>
  <c r="G365" i="9"/>
  <c r="H365" i="9"/>
  <c r="F365" i="9"/>
  <c r="E364" i="9"/>
  <c r="G364" i="9"/>
  <c r="H364" i="9"/>
  <c r="F364" i="9"/>
  <c r="E363" i="9"/>
  <c r="G363" i="9"/>
  <c r="H363" i="9"/>
  <c r="F363" i="9"/>
  <c r="E362" i="9"/>
  <c r="G362" i="9"/>
  <c r="H362" i="9"/>
  <c r="F362" i="9"/>
  <c r="E361" i="9"/>
  <c r="G361" i="9"/>
  <c r="H361" i="9"/>
  <c r="F361" i="9"/>
  <c r="E360" i="9"/>
  <c r="G360" i="9"/>
  <c r="H360" i="9"/>
  <c r="F360" i="9"/>
  <c r="E359" i="9"/>
  <c r="G359" i="9"/>
  <c r="H359" i="9"/>
  <c r="F359" i="9"/>
  <c r="E358" i="9"/>
  <c r="G358" i="9"/>
  <c r="H358" i="9"/>
  <c r="F358" i="9"/>
  <c r="E357" i="9"/>
  <c r="G357" i="9"/>
  <c r="H357" i="9"/>
  <c r="F357" i="9"/>
  <c r="E356" i="9"/>
  <c r="G356" i="9"/>
  <c r="H356" i="9"/>
  <c r="F356" i="9"/>
  <c r="E355" i="9"/>
  <c r="G355" i="9"/>
  <c r="H355" i="9"/>
  <c r="F355" i="9"/>
  <c r="E354" i="9"/>
  <c r="G354" i="9"/>
  <c r="H354" i="9"/>
  <c r="F354" i="9"/>
  <c r="E353" i="9"/>
  <c r="G353" i="9"/>
  <c r="H353" i="9"/>
  <c r="F353" i="9"/>
  <c r="E352" i="9"/>
  <c r="G352" i="9"/>
  <c r="H352" i="9"/>
  <c r="F352" i="9"/>
  <c r="E351" i="9"/>
  <c r="G351" i="9"/>
  <c r="H351" i="9"/>
  <c r="F351" i="9"/>
  <c r="E350" i="9"/>
  <c r="G350" i="9"/>
  <c r="H350" i="9"/>
  <c r="F350" i="9"/>
  <c r="E349" i="9"/>
  <c r="G349" i="9"/>
  <c r="H349" i="9"/>
  <c r="F349" i="9"/>
  <c r="E348" i="9"/>
  <c r="G348" i="9"/>
  <c r="H348" i="9"/>
  <c r="F348" i="9"/>
  <c r="E345" i="9"/>
  <c r="G345" i="9"/>
  <c r="H345" i="9"/>
  <c r="F345" i="9"/>
  <c r="E344" i="9"/>
  <c r="G344" i="9"/>
  <c r="H344" i="9"/>
  <c r="F344" i="9"/>
  <c r="E343" i="9"/>
  <c r="G343" i="9"/>
  <c r="H343" i="9"/>
  <c r="F343" i="9"/>
  <c r="E342" i="9"/>
  <c r="G342" i="9"/>
  <c r="H342" i="9"/>
  <c r="F342" i="9"/>
  <c r="E341" i="9"/>
  <c r="G341" i="9"/>
  <c r="H341" i="9"/>
  <c r="F341" i="9"/>
  <c r="E340" i="9"/>
  <c r="G340" i="9"/>
  <c r="H340" i="9"/>
  <c r="F340" i="9"/>
  <c r="E339" i="9"/>
  <c r="G339" i="9"/>
  <c r="H339" i="9"/>
  <c r="F339" i="9"/>
  <c r="E338" i="9"/>
  <c r="G338" i="9"/>
  <c r="H338" i="9"/>
  <c r="F338" i="9"/>
  <c r="E337" i="9"/>
  <c r="G337" i="9"/>
  <c r="H337" i="9"/>
  <c r="F337" i="9"/>
  <c r="E336" i="9"/>
  <c r="G336" i="9"/>
  <c r="H336" i="9"/>
  <c r="F336" i="9"/>
  <c r="E335" i="9"/>
  <c r="G335" i="9"/>
  <c r="H335" i="9"/>
  <c r="F335" i="9"/>
  <c r="E334" i="9"/>
  <c r="G334" i="9"/>
  <c r="H334" i="9"/>
  <c r="F334" i="9"/>
  <c r="E333" i="9"/>
  <c r="G333" i="9"/>
  <c r="H333" i="9"/>
  <c r="F333" i="9"/>
  <c r="E332" i="9"/>
  <c r="G332" i="9"/>
  <c r="H332" i="9"/>
  <c r="F332" i="9"/>
  <c r="E331" i="9"/>
  <c r="G331" i="9"/>
  <c r="H331" i="9"/>
  <c r="F331" i="9"/>
  <c r="E330" i="9"/>
  <c r="G330" i="9"/>
  <c r="H330" i="9"/>
  <c r="F330" i="9"/>
  <c r="E329" i="9"/>
  <c r="G329" i="9"/>
  <c r="H329" i="9"/>
  <c r="F329" i="9"/>
  <c r="E328" i="9"/>
  <c r="G328" i="9"/>
  <c r="H328" i="9"/>
  <c r="F328" i="9"/>
  <c r="E327" i="9"/>
  <c r="G327" i="9"/>
  <c r="H327" i="9"/>
  <c r="F327" i="9"/>
  <c r="E326" i="9"/>
  <c r="G326" i="9"/>
  <c r="H326" i="9"/>
  <c r="F326" i="9"/>
  <c r="E325" i="9"/>
  <c r="G325" i="9"/>
  <c r="H325" i="9"/>
  <c r="F325" i="9"/>
  <c r="E324" i="9"/>
  <c r="G324" i="9"/>
  <c r="H324" i="9"/>
  <c r="F324" i="9"/>
  <c r="E323" i="9"/>
  <c r="G323" i="9"/>
  <c r="H323" i="9"/>
  <c r="F323" i="9"/>
  <c r="E322" i="9"/>
  <c r="G322" i="9"/>
  <c r="H322" i="9"/>
  <c r="F322" i="9"/>
  <c r="E321" i="9"/>
  <c r="G321" i="9"/>
  <c r="H321" i="9"/>
  <c r="F321" i="9"/>
  <c r="E320" i="9"/>
  <c r="G320" i="9"/>
  <c r="H320" i="9"/>
  <c r="F320" i="9"/>
  <c r="E319" i="9"/>
  <c r="G319" i="9"/>
  <c r="H319" i="9"/>
  <c r="F319" i="9"/>
  <c r="E318" i="9"/>
  <c r="G318" i="9"/>
  <c r="H318" i="9"/>
  <c r="F318" i="9"/>
  <c r="E317" i="9"/>
  <c r="G317" i="9"/>
  <c r="H317" i="9"/>
  <c r="F317" i="9"/>
  <c r="E316" i="9"/>
  <c r="G316" i="9"/>
  <c r="H316" i="9"/>
  <c r="F316" i="9"/>
  <c r="E315" i="9"/>
  <c r="G315" i="9"/>
  <c r="H315" i="9"/>
  <c r="F315" i="9"/>
  <c r="E314" i="9"/>
  <c r="G314" i="9"/>
  <c r="H314" i="9"/>
  <c r="F314" i="9"/>
  <c r="E313" i="9"/>
  <c r="G313" i="9"/>
  <c r="H313" i="9"/>
  <c r="F313" i="9"/>
  <c r="E312" i="9"/>
  <c r="G312" i="9"/>
  <c r="H312" i="9"/>
  <c r="F312" i="9"/>
  <c r="E311" i="9"/>
  <c r="G311" i="9"/>
  <c r="H311" i="9"/>
  <c r="F311" i="9"/>
  <c r="E310" i="9"/>
  <c r="G310" i="9"/>
  <c r="H310" i="9"/>
  <c r="F310" i="9"/>
  <c r="E309" i="9"/>
  <c r="G309" i="9"/>
  <c r="H309" i="9"/>
  <c r="F309" i="9"/>
  <c r="E308" i="9"/>
  <c r="G308" i="9"/>
  <c r="H308" i="9"/>
  <c r="F308" i="9"/>
  <c r="E307" i="9"/>
  <c r="G307" i="9"/>
  <c r="H307" i="9"/>
  <c r="F307" i="9"/>
  <c r="E306" i="9"/>
  <c r="G306" i="9"/>
  <c r="H306" i="9"/>
  <c r="F306" i="9"/>
  <c r="E305" i="9"/>
  <c r="G305" i="9"/>
  <c r="H305" i="9"/>
  <c r="F305" i="9"/>
  <c r="E304" i="9"/>
  <c r="G304" i="9"/>
  <c r="H304" i="9"/>
  <c r="F304" i="9"/>
  <c r="E303" i="9"/>
  <c r="G303" i="9"/>
  <c r="H303" i="9"/>
  <c r="F303" i="9"/>
  <c r="E302" i="9"/>
  <c r="G302" i="9"/>
  <c r="H302" i="9"/>
  <c r="F302" i="9"/>
  <c r="E301" i="9"/>
  <c r="G301" i="9"/>
  <c r="H301" i="9"/>
  <c r="F301" i="9"/>
  <c r="E300" i="9"/>
  <c r="G300" i="9"/>
  <c r="H300" i="9"/>
  <c r="F300" i="9"/>
  <c r="E299" i="9"/>
  <c r="G299" i="9"/>
  <c r="H299" i="9"/>
  <c r="F299" i="9"/>
  <c r="E298" i="9"/>
  <c r="G298" i="9"/>
  <c r="H298" i="9"/>
  <c r="F298" i="9"/>
  <c r="E297" i="9"/>
  <c r="G297" i="9"/>
  <c r="H297" i="9"/>
  <c r="F297" i="9"/>
  <c r="E296" i="9"/>
  <c r="G296" i="9"/>
  <c r="H296" i="9"/>
  <c r="F296" i="9"/>
  <c r="E295" i="9"/>
  <c r="G295" i="9"/>
  <c r="H295" i="9"/>
  <c r="F295" i="9"/>
  <c r="E294" i="9"/>
  <c r="G294" i="9"/>
  <c r="H294" i="9"/>
  <c r="F294" i="9"/>
  <c r="E293" i="9"/>
  <c r="G293" i="9"/>
  <c r="H293" i="9"/>
  <c r="F293" i="9"/>
  <c r="E292" i="9"/>
  <c r="G292" i="9"/>
  <c r="H292" i="9"/>
  <c r="F292" i="9"/>
  <c r="E291" i="9"/>
  <c r="G291" i="9"/>
  <c r="H291" i="9"/>
  <c r="F291" i="9"/>
  <c r="E290" i="9"/>
  <c r="G290" i="9"/>
  <c r="H290" i="9"/>
  <c r="F290" i="9"/>
  <c r="E289" i="9"/>
  <c r="G289" i="9"/>
  <c r="H289" i="9"/>
  <c r="F289" i="9"/>
  <c r="E288" i="9"/>
  <c r="G288" i="9"/>
  <c r="H288" i="9"/>
  <c r="F288" i="9"/>
  <c r="E287" i="9"/>
  <c r="G287" i="9"/>
  <c r="H287" i="9"/>
  <c r="F287" i="9"/>
  <c r="E286" i="9"/>
  <c r="G286" i="9"/>
  <c r="H286" i="9"/>
  <c r="F286" i="9"/>
  <c r="E285" i="9"/>
  <c r="G285" i="9"/>
  <c r="H285" i="9"/>
  <c r="F285" i="9"/>
  <c r="E284" i="9"/>
  <c r="G284" i="9"/>
  <c r="H284" i="9"/>
  <c r="F284" i="9"/>
  <c r="E283" i="9"/>
  <c r="G283" i="9"/>
  <c r="H283" i="9"/>
  <c r="F283" i="9"/>
  <c r="E282" i="9"/>
  <c r="G282" i="9"/>
  <c r="H282" i="9"/>
  <c r="F282" i="9"/>
  <c r="E281" i="9"/>
  <c r="G281" i="9"/>
  <c r="H281" i="9"/>
  <c r="F281" i="9"/>
  <c r="E280" i="9"/>
  <c r="G280" i="9"/>
  <c r="H280" i="9"/>
  <c r="F280" i="9"/>
  <c r="E279" i="9"/>
  <c r="G279" i="9"/>
  <c r="H279" i="9"/>
  <c r="F279" i="9"/>
  <c r="E278" i="9"/>
  <c r="G278" i="9"/>
  <c r="H278" i="9"/>
  <c r="F278" i="9"/>
  <c r="E277" i="9"/>
  <c r="G277" i="9"/>
  <c r="H277" i="9"/>
  <c r="F277" i="9"/>
  <c r="E276" i="9"/>
  <c r="G276" i="9"/>
  <c r="H276" i="9"/>
  <c r="F276" i="9"/>
  <c r="E275" i="9"/>
  <c r="G275" i="9"/>
  <c r="H275" i="9"/>
  <c r="F275" i="9"/>
  <c r="E274" i="9"/>
  <c r="G274" i="9"/>
  <c r="H274" i="9"/>
  <c r="F274" i="9"/>
  <c r="E273" i="9"/>
  <c r="G273" i="9"/>
  <c r="H273" i="9"/>
  <c r="F273" i="9"/>
  <c r="E272" i="9"/>
  <c r="G272" i="9"/>
  <c r="H272" i="9"/>
  <c r="F272" i="9"/>
  <c r="E271" i="9"/>
  <c r="G271" i="9"/>
  <c r="H271" i="9"/>
  <c r="F271" i="9"/>
  <c r="E270" i="9"/>
  <c r="G270" i="9"/>
  <c r="H270" i="9"/>
  <c r="F270" i="9"/>
  <c r="E269" i="9"/>
  <c r="G269" i="9"/>
  <c r="H269" i="9"/>
  <c r="F269" i="9"/>
  <c r="E268" i="9"/>
  <c r="G268" i="9"/>
  <c r="H268" i="9"/>
  <c r="F268" i="9"/>
  <c r="E267" i="9"/>
  <c r="G267" i="9"/>
  <c r="H267" i="9"/>
  <c r="F267" i="9"/>
  <c r="E266" i="9"/>
  <c r="G266" i="9"/>
  <c r="H266" i="9"/>
  <c r="F266" i="9"/>
  <c r="E265" i="9"/>
  <c r="G265" i="9"/>
  <c r="H265" i="9"/>
  <c r="F265" i="9"/>
  <c r="E264" i="9"/>
  <c r="G264" i="9"/>
  <c r="H264" i="9"/>
  <c r="F264" i="9"/>
  <c r="E263" i="9"/>
  <c r="G263" i="9"/>
  <c r="H263" i="9"/>
  <c r="F263" i="9"/>
  <c r="E262" i="9"/>
  <c r="G262" i="9"/>
  <c r="H262" i="9"/>
  <c r="F262" i="9"/>
  <c r="E261" i="9"/>
  <c r="G261" i="9"/>
  <c r="H261" i="9"/>
  <c r="F261" i="9"/>
  <c r="E260" i="9"/>
  <c r="G260" i="9"/>
  <c r="H260" i="9"/>
  <c r="F260" i="9"/>
  <c r="E259" i="9"/>
  <c r="G259" i="9"/>
  <c r="H259" i="9"/>
  <c r="F259" i="9"/>
  <c r="E258" i="9"/>
  <c r="G258" i="9"/>
  <c r="H258" i="9"/>
  <c r="F258" i="9"/>
  <c r="E257" i="9"/>
  <c r="G257" i="9"/>
  <c r="H257" i="9"/>
  <c r="F257" i="9"/>
  <c r="E256" i="9"/>
  <c r="G256" i="9"/>
  <c r="H256" i="9"/>
  <c r="F256" i="9"/>
  <c r="E255" i="9"/>
  <c r="G255" i="9"/>
  <c r="H255" i="9"/>
  <c r="F255" i="9"/>
  <c r="E254" i="9"/>
  <c r="G254" i="9"/>
  <c r="H254" i="9"/>
  <c r="F254" i="9"/>
  <c r="E253" i="9"/>
  <c r="G253" i="9"/>
  <c r="H253" i="9"/>
  <c r="F253" i="9"/>
  <c r="E252" i="9"/>
  <c r="G252" i="9"/>
  <c r="H252" i="9"/>
  <c r="F252" i="9"/>
  <c r="E251" i="9"/>
  <c r="G251" i="9"/>
  <c r="H251" i="9"/>
  <c r="F251" i="9"/>
  <c r="E250" i="9"/>
  <c r="G250" i="9"/>
  <c r="H250" i="9"/>
  <c r="F250" i="9"/>
  <c r="E249" i="9"/>
  <c r="G249" i="9"/>
  <c r="H249" i="9"/>
  <c r="F249" i="9"/>
  <c r="E248" i="9"/>
  <c r="G248" i="9"/>
  <c r="H248" i="9"/>
  <c r="F248" i="9"/>
  <c r="E247" i="9"/>
  <c r="G247" i="9"/>
  <c r="H247" i="9"/>
  <c r="F247" i="9"/>
  <c r="E246" i="9"/>
  <c r="G246" i="9"/>
  <c r="H246" i="9"/>
  <c r="F246" i="9"/>
  <c r="E245" i="9"/>
  <c r="G245" i="9"/>
  <c r="H245" i="9"/>
  <c r="F245" i="9"/>
  <c r="E244" i="9"/>
  <c r="G244" i="9"/>
  <c r="H244" i="9"/>
  <c r="F244" i="9"/>
  <c r="E243" i="9"/>
  <c r="G243" i="9"/>
  <c r="H243" i="9"/>
  <c r="F243" i="9"/>
  <c r="E242" i="9"/>
  <c r="G242" i="9"/>
  <c r="H242" i="9"/>
  <c r="F242" i="9"/>
  <c r="E241" i="9"/>
  <c r="G241" i="9"/>
  <c r="H241" i="9"/>
  <c r="F241" i="9"/>
  <c r="E240" i="9"/>
  <c r="G240" i="9"/>
  <c r="H240" i="9"/>
  <c r="F240" i="9"/>
  <c r="E239" i="9"/>
  <c r="G239" i="9"/>
  <c r="H239" i="9"/>
  <c r="F239" i="9"/>
  <c r="E238" i="9"/>
  <c r="G238" i="9"/>
  <c r="H238" i="9"/>
  <c r="F238" i="9"/>
  <c r="E237" i="9"/>
  <c r="G237" i="9"/>
  <c r="H237" i="9"/>
  <c r="F237" i="9"/>
  <c r="E236" i="9"/>
  <c r="G236" i="9"/>
  <c r="H236" i="9"/>
  <c r="F236" i="9"/>
  <c r="E235" i="9"/>
  <c r="G235" i="9"/>
  <c r="H235" i="9"/>
  <c r="F235" i="9"/>
  <c r="E234" i="9"/>
  <c r="G234" i="9"/>
  <c r="H234" i="9"/>
  <c r="F234" i="9"/>
  <c r="E233" i="9"/>
  <c r="G233" i="9"/>
  <c r="H233" i="9"/>
  <c r="F233" i="9"/>
  <c r="E232" i="9"/>
  <c r="G232" i="9"/>
  <c r="H232" i="9"/>
  <c r="F232" i="9"/>
  <c r="E231" i="9"/>
  <c r="G231" i="9"/>
  <c r="H231" i="9"/>
  <c r="F231" i="9"/>
  <c r="E230" i="9"/>
  <c r="G230" i="9"/>
  <c r="H230" i="9"/>
  <c r="F230" i="9"/>
  <c r="E229" i="9"/>
  <c r="G229" i="9"/>
  <c r="H229" i="9"/>
  <c r="F229" i="9"/>
  <c r="E228" i="9"/>
  <c r="G228" i="9"/>
  <c r="H228" i="9"/>
  <c r="F228" i="9"/>
  <c r="E227" i="9"/>
  <c r="G227" i="9"/>
  <c r="H227" i="9"/>
  <c r="F227" i="9"/>
  <c r="E226" i="9"/>
  <c r="G226" i="9"/>
  <c r="H226" i="9"/>
  <c r="F226" i="9"/>
  <c r="E225" i="9"/>
  <c r="G225" i="9"/>
  <c r="H225" i="9"/>
  <c r="F225" i="9"/>
  <c r="E224" i="9"/>
  <c r="G224" i="9"/>
  <c r="H224" i="9"/>
  <c r="F224" i="9"/>
  <c r="E223" i="9"/>
  <c r="G223" i="9"/>
  <c r="H223" i="9"/>
  <c r="F223" i="9"/>
  <c r="E222" i="9"/>
  <c r="G222" i="9"/>
  <c r="H222" i="9"/>
  <c r="F222" i="9"/>
  <c r="E221" i="9"/>
  <c r="G221" i="9"/>
  <c r="H221" i="9"/>
  <c r="F221" i="9"/>
  <c r="E220" i="9"/>
  <c r="G220" i="9"/>
  <c r="H220" i="9"/>
  <c r="F220" i="9"/>
  <c r="E219" i="9"/>
  <c r="G219" i="9"/>
  <c r="H219" i="9"/>
  <c r="F219" i="9"/>
  <c r="E218" i="9"/>
  <c r="G218" i="9"/>
  <c r="H218" i="9"/>
  <c r="F218" i="9"/>
  <c r="E217" i="9"/>
  <c r="G217" i="9"/>
  <c r="H217" i="9"/>
  <c r="F217" i="9"/>
  <c r="E216" i="9"/>
  <c r="G216" i="9"/>
  <c r="H216" i="9"/>
  <c r="F216" i="9"/>
  <c r="E215" i="9"/>
  <c r="G215" i="9"/>
  <c r="H215" i="9"/>
  <c r="F215" i="9"/>
  <c r="E214" i="9"/>
  <c r="G214" i="9"/>
  <c r="H214" i="9"/>
  <c r="F214" i="9"/>
  <c r="E213" i="9"/>
  <c r="G213" i="9"/>
  <c r="H213" i="9"/>
  <c r="F213" i="9"/>
  <c r="E212" i="9"/>
  <c r="G212" i="9"/>
  <c r="H212" i="9"/>
  <c r="F212" i="9"/>
  <c r="E211" i="9"/>
  <c r="G211" i="9"/>
  <c r="H211" i="9"/>
  <c r="F211" i="9"/>
  <c r="E210" i="9"/>
  <c r="G210" i="9"/>
  <c r="H210" i="9"/>
  <c r="F210" i="9"/>
  <c r="E209" i="9"/>
  <c r="G209" i="9"/>
  <c r="H209" i="9"/>
  <c r="F209" i="9"/>
  <c r="E208" i="9"/>
  <c r="G208" i="9"/>
  <c r="H208" i="9"/>
  <c r="F208" i="9"/>
  <c r="E207" i="9"/>
  <c r="G207" i="9"/>
  <c r="H207" i="9"/>
  <c r="F207" i="9"/>
  <c r="E206" i="9"/>
  <c r="G206" i="9"/>
  <c r="H206" i="9"/>
  <c r="F206" i="9"/>
  <c r="E205" i="9"/>
  <c r="G205" i="9"/>
  <c r="H205" i="9"/>
  <c r="F205" i="9"/>
  <c r="E204" i="9"/>
  <c r="G204" i="9"/>
  <c r="H204" i="9"/>
  <c r="F204" i="9"/>
  <c r="E203" i="9"/>
  <c r="G203" i="9"/>
  <c r="H203" i="9"/>
  <c r="F203" i="9"/>
  <c r="E202" i="9"/>
  <c r="G202" i="9"/>
  <c r="H202" i="9"/>
  <c r="F202" i="9"/>
  <c r="E201" i="9"/>
  <c r="G201" i="9"/>
  <c r="H201" i="9"/>
  <c r="F201" i="9"/>
  <c r="E200" i="9"/>
  <c r="G200" i="9"/>
  <c r="H200" i="9"/>
  <c r="F200" i="9"/>
  <c r="E199" i="9"/>
  <c r="G199" i="9"/>
  <c r="H199" i="9"/>
  <c r="F199" i="9"/>
  <c r="E198" i="9"/>
  <c r="G198" i="9"/>
  <c r="H198" i="9"/>
  <c r="F198" i="9"/>
  <c r="E197" i="9"/>
  <c r="G197" i="9"/>
  <c r="H197" i="9"/>
  <c r="F197" i="9"/>
  <c r="E196" i="9"/>
  <c r="G196" i="9"/>
  <c r="H196" i="9"/>
  <c r="F196" i="9"/>
  <c r="E195" i="9"/>
  <c r="G195" i="9"/>
  <c r="H195" i="9"/>
  <c r="F195" i="9"/>
  <c r="E194" i="9"/>
  <c r="G194" i="9"/>
  <c r="H194" i="9"/>
  <c r="F194" i="9"/>
  <c r="E193" i="9"/>
  <c r="G193" i="9"/>
  <c r="H193" i="9"/>
  <c r="F193" i="9"/>
  <c r="E192" i="9"/>
  <c r="G192" i="9"/>
  <c r="H192" i="9"/>
  <c r="F192" i="9"/>
  <c r="E191" i="9"/>
  <c r="G191" i="9"/>
  <c r="H191" i="9"/>
  <c r="F191" i="9"/>
  <c r="E190" i="9"/>
  <c r="G190" i="9"/>
  <c r="H190" i="9"/>
  <c r="F190" i="9"/>
  <c r="E189" i="9"/>
  <c r="G189" i="9"/>
  <c r="H189" i="9"/>
  <c r="F189" i="9"/>
  <c r="E188" i="9"/>
  <c r="G188" i="9"/>
  <c r="H188" i="9"/>
  <c r="F188" i="9"/>
  <c r="E187" i="9"/>
  <c r="G187" i="9"/>
  <c r="H187" i="9"/>
  <c r="F187" i="9"/>
  <c r="E186" i="9"/>
  <c r="G186" i="9"/>
  <c r="H186" i="9"/>
  <c r="F186" i="9"/>
  <c r="E185" i="9"/>
  <c r="G185" i="9"/>
  <c r="H185" i="9"/>
  <c r="F185" i="9"/>
  <c r="E184" i="9"/>
  <c r="G184" i="9"/>
  <c r="H184" i="9"/>
  <c r="F184" i="9"/>
  <c r="E183" i="9"/>
  <c r="G183" i="9"/>
  <c r="H183" i="9"/>
  <c r="F183" i="9"/>
  <c r="E182" i="9"/>
  <c r="G182" i="9"/>
  <c r="H182" i="9"/>
  <c r="F182" i="9"/>
  <c r="E181" i="9"/>
  <c r="G181" i="9"/>
  <c r="H181" i="9"/>
  <c r="F181" i="9"/>
  <c r="E180" i="9"/>
  <c r="G180" i="9"/>
  <c r="H180" i="9"/>
  <c r="F180" i="9"/>
  <c r="E179" i="9"/>
  <c r="G179" i="9"/>
  <c r="H179" i="9"/>
  <c r="F179" i="9"/>
  <c r="E178" i="9"/>
  <c r="G178" i="9"/>
  <c r="H178" i="9"/>
  <c r="F178" i="9"/>
  <c r="E177" i="9"/>
  <c r="G177" i="9"/>
  <c r="H177" i="9"/>
  <c r="F177" i="9"/>
  <c r="E176" i="9"/>
  <c r="G176" i="9"/>
  <c r="H176" i="9"/>
  <c r="F176" i="9"/>
  <c r="E175" i="9"/>
  <c r="G175" i="9"/>
  <c r="H175" i="9"/>
  <c r="F175" i="9"/>
  <c r="E174" i="9"/>
  <c r="G174" i="9"/>
  <c r="H174" i="9"/>
  <c r="F174" i="9"/>
  <c r="E173" i="9"/>
  <c r="G173" i="9"/>
  <c r="H173" i="9"/>
  <c r="F173" i="9"/>
  <c r="E172" i="9"/>
  <c r="G172" i="9"/>
  <c r="H172" i="9"/>
  <c r="F172" i="9"/>
  <c r="E171" i="9"/>
  <c r="G171" i="9"/>
  <c r="H171" i="9"/>
  <c r="F171" i="9"/>
  <c r="E170" i="9"/>
  <c r="G170" i="9"/>
  <c r="H170" i="9"/>
  <c r="F170" i="9"/>
  <c r="E169" i="9"/>
  <c r="G169" i="9"/>
  <c r="H169" i="9"/>
  <c r="F169" i="9"/>
  <c r="E168" i="9"/>
  <c r="G168" i="9"/>
  <c r="H168" i="9"/>
  <c r="F168" i="9"/>
  <c r="E167" i="9"/>
  <c r="G167" i="9"/>
  <c r="H167" i="9"/>
  <c r="F167" i="9"/>
  <c r="E166" i="9"/>
  <c r="G166" i="9"/>
  <c r="H166" i="9"/>
  <c r="F166" i="9"/>
  <c r="E165" i="9"/>
  <c r="G165" i="9"/>
  <c r="H165" i="9"/>
  <c r="F165" i="9"/>
  <c r="E164" i="9"/>
  <c r="G164" i="9"/>
  <c r="H164" i="9"/>
  <c r="F164" i="9"/>
  <c r="E163" i="9"/>
  <c r="G163" i="9"/>
  <c r="H163" i="9"/>
  <c r="F163" i="9"/>
  <c r="E162" i="9"/>
  <c r="G162" i="9"/>
  <c r="H162" i="9"/>
  <c r="F162" i="9"/>
  <c r="E161" i="9"/>
  <c r="G161" i="9"/>
  <c r="H161" i="9"/>
  <c r="F161" i="9"/>
  <c r="E160" i="9"/>
  <c r="G160" i="9"/>
  <c r="H160" i="9"/>
  <c r="F160" i="9"/>
  <c r="E159" i="9"/>
  <c r="G159" i="9"/>
  <c r="H159" i="9"/>
  <c r="F159" i="9"/>
  <c r="E158" i="9"/>
  <c r="G158" i="9"/>
  <c r="H158" i="9"/>
  <c r="F158" i="9"/>
  <c r="E157" i="9"/>
  <c r="G157" i="9"/>
  <c r="H157" i="9"/>
  <c r="F157" i="9"/>
  <c r="E156" i="9"/>
  <c r="G156" i="9"/>
  <c r="H156" i="9"/>
  <c r="F156" i="9"/>
  <c r="E155" i="9"/>
  <c r="G155" i="9"/>
  <c r="H155" i="9"/>
  <c r="F155" i="9"/>
  <c r="E154" i="9"/>
  <c r="G154" i="9"/>
  <c r="H154" i="9"/>
  <c r="F154" i="9"/>
  <c r="E153" i="9"/>
  <c r="G153" i="9"/>
  <c r="H153" i="9"/>
  <c r="F153" i="9"/>
  <c r="E152" i="9"/>
  <c r="G152" i="9"/>
  <c r="H152" i="9"/>
  <c r="F152" i="9"/>
  <c r="E151" i="9"/>
  <c r="G151" i="9"/>
  <c r="H151" i="9"/>
  <c r="F151" i="9"/>
  <c r="E150" i="9"/>
  <c r="G150" i="9"/>
  <c r="H150" i="9"/>
  <c r="F150" i="9"/>
  <c r="E149" i="9"/>
  <c r="G149" i="9"/>
  <c r="H149" i="9"/>
  <c r="F149" i="9"/>
  <c r="E148" i="9"/>
  <c r="G148" i="9"/>
  <c r="H148" i="9"/>
  <c r="F148" i="9"/>
  <c r="E147" i="9"/>
  <c r="G147" i="9"/>
  <c r="H147" i="9"/>
  <c r="F147" i="9"/>
  <c r="E146" i="9"/>
  <c r="G146" i="9"/>
  <c r="H146" i="9"/>
  <c r="F146" i="9"/>
  <c r="E145" i="9"/>
  <c r="G145" i="9"/>
  <c r="H145" i="9"/>
  <c r="F145" i="9"/>
  <c r="E144" i="9"/>
  <c r="G144" i="9"/>
  <c r="H144" i="9"/>
  <c r="F144" i="9"/>
  <c r="E143" i="9"/>
  <c r="G143" i="9"/>
  <c r="H143" i="9"/>
  <c r="F143" i="9"/>
  <c r="E142" i="9"/>
  <c r="G142" i="9"/>
  <c r="H142" i="9"/>
  <c r="F142" i="9"/>
  <c r="E141" i="9"/>
  <c r="G141" i="9"/>
  <c r="H141" i="9"/>
  <c r="F141" i="9"/>
  <c r="E140" i="9"/>
  <c r="G140" i="9"/>
  <c r="H140" i="9"/>
  <c r="F140" i="9"/>
  <c r="E139" i="9"/>
  <c r="G139" i="9"/>
  <c r="H139" i="9"/>
  <c r="F139" i="9"/>
  <c r="E138" i="9"/>
  <c r="G138" i="9"/>
  <c r="H138" i="9"/>
  <c r="F138" i="9"/>
  <c r="E137" i="9"/>
  <c r="G137" i="9"/>
  <c r="H137" i="9"/>
  <c r="F137" i="9"/>
  <c r="E136" i="9"/>
  <c r="G136" i="9"/>
  <c r="H136" i="9"/>
  <c r="F136" i="9"/>
  <c r="E135" i="9"/>
  <c r="G135" i="9"/>
  <c r="H135" i="9"/>
  <c r="F135" i="9"/>
  <c r="E134" i="9"/>
  <c r="G134" i="9"/>
  <c r="H134" i="9"/>
  <c r="F134" i="9"/>
  <c r="E133" i="9"/>
  <c r="G133" i="9"/>
  <c r="H133" i="9"/>
  <c r="F133" i="9"/>
  <c r="E132" i="9"/>
  <c r="G132" i="9"/>
  <c r="H132" i="9"/>
  <c r="F132" i="9"/>
  <c r="E131" i="9"/>
  <c r="G131" i="9"/>
  <c r="H131" i="9"/>
  <c r="F131" i="9"/>
  <c r="E130" i="9"/>
  <c r="G130" i="9"/>
  <c r="H130" i="9"/>
  <c r="F130" i="9"/>
  <c r="E129" i="9"/>
  <c r="G129" i="9"/>
  <c r="H129" i="9"/>
  <c r="F129" i="9"/>
  <c r="E128" i="9"/>
  <c r="G128" i="9"/>
  <c r="H128" i="9"/>
  <c r="F128" i="9"/>
  <c r="E127" i="9"/>
  <c r="G127" i="9"/>
  <c r="H127" i="9"/>
  <c r="F127" i="9"/>
  <c r="E126" i="9"/>
  <c r="G126" i="9"/>
  <c r="H126" i="9"/>
  <c r="F126" i="9"/>
  <c r="E125" i="9"/>
  <c r="G125" i="9"/>
  <c r="H125" i="9"/>
  <c r="F125" i="9"/>
  <c r="E124" i="9"/>
  <c r="G124" i="9"/>
  <c r="H124" i="9"/>
  <c r="F124" i="9"/>
  <c r="E123" i="9"/>
  <c r="G123" i="9"/>
  <c r="H123" i="9"/>
  <c r="F123" i="9"/>
  <c r="E122" i="9"/>
  <c r="G122" i="9"/>
  <c r="H122" i="9"/>
  <c r="F122" i="9"/>
  <c r="E121" i="9"/>
  <c r="G121" i="9"/>
  <c r="H121" i="9"/>
  <c r="F121" i="9"/>
  <c r="E120" i="9"/>
  <c r="G120" i="9"/>
  <c r="H120" i="9"/>
  <c r="F120" i="9"/>
  <c r="E119" i="9"/>
  <c r="G119" i="9"/>
  <c r="H119" i="9"/>
  <c r="F119" i="9"/>
  <c r="E118" i="9"/>
  <c r="G118" i="9"/>
  <c r="H118" i="9"/>
  <c r="F118" i="9"/>
  <c r="E117" i="9"/>
  <c r="G117" i="9"/>
  <c r="H117" i="9"/>
  <c r="F117" i="9"/>
  <c r="E116" i="9"/>
  <c r="G116" i="9"/>
  <c r="H116" i="9"/>
  <c r="F116" i="9"/>
  <c r="E115" i="9"/>
  <c r="G115" i="9"/>
  <c r="H115" i="9"/>
  <c r="F115" i="9"/>
  <c r="E114" i="9"/>
  <c r="G114" i="9"/>
  <c r="H114" i="9"/>
  <c r="F114" i="9"/>
  <c r="E113" i="9"/>
  <c r="G113" i="9"/>
  <c r="H113" i="9"/>
  <c r="F113" i="9"/>
  <c r="E112" i="9"/>
  <c r="G112" i="9"/>
  <c r="H112" i="9"/>
  <c r="F112" i="9"/>
  <c r="E111" i="9"/>
  <c r="G111" i="9"/>
  <c r="H111" i="9"/>
  <c r="F111" i="9"/>
  <c r="E110" i="9"/>
  <c r="G110" i="9"/>
  <c r="H110" i="9"/>
  <c r="F110" i="9"/>
  <c r="E109" i="9"/>
  <c r="G109" i="9"/>
  <c r="H109" i="9"/>
  <c r="F109" i="9"/>
  <c r="E108" i="9"/>
  <c r="G108" i="9"/>
  <c r="H108" i="9"/>
  <c r="F108" i="9"/>
  <c r="E107" i="9"/>
  <c r="G107" i="9"/>
  <c r="H107" i="9"/>
  <c r="F107" i="9"/>
  <c r="E106" i="9"/>
  <c r="G106" i="9"/>
  <c r="H106" i="9"/>
  <c r="F106" i="9"/>
  <c r="E105" i="9"/>
  <c r="G105" i="9"/>
  <c r="H105" i="9"/>
  <c r="F105" i="9"/>
  <c r="E104" i="9"/>
  <c r="G104" i="9"/>
  <c r="H104" i="9"/>
  <c r="F104" i="9"/>
  <c r="E103" i="9"/>
  <c r="G103" i="9"/>
  <c r="H103" i="9"/>
  <c r="F103" i="9"/>
  <c r="E102" i="9"/>
  <c r="G102" i="9"/>
  <c r="H102" i="9"/>
  <c r="F102" i="9"/>
  <c r="E101" i="9"/>
  <c r="G101" i="9"/>
  <c r="H101" i="9"/>
  <c r="F101" i="9"/>
  <c r="E100" i="9"/>
  <c r="G100" i="9"/>
  <c r="H100" i="9"/>
  <c r="F100" i="9"/>
  <c r="E99" i="9"/>
  <c r="G99" i="9"/>
  <c r="H99" i="9"/>
  <c r="F99" i="9"/>
  <c r="E98" i="9"/>
  <c r="G98" i="9"/>
  <c r="H98" i="9"/>
  <c r="F98" i="9"/>
  <c r="E97" i="9"/>
  <c r="G97" i="9"/>
  <c r="H97" i="9"/>
  <c r="F97" i="9"/>
  <c r="E96" i="9"/>
  <c r="G96" i="9"/>
  <c r="H96" i="9"/>
  <c r="F96" i="9"/>
  <c r="E95" i="9"/>
  <c r="G95" i="9"/>
  <c r="H95" i="9"/>
  <c r="F95" i="9"/>
  <c r="E94" i="9"/>
  <c r="G94" i="9"/>
  <c r="H94" i="9"/>
  <c r="F94" i="9"/>
  <c r="E93" i="9"/>
  <c r="G93" i="9"/>
  <c r="H93" i="9"/>
  <c r="F93" i="9"/>
  <c r="E92" i="9"/>
  <c r="G92" i="9"/>
  <c r="H92" i="9"/>
  <c r="F92" i="9"/>
  <c r="E91" i="9"/>
  <c r="G91" i="9"/>
  <c r="H91" i="9"/>
  <c r="F91" i="9"/>
  <c r="E90" i="9"/>
  <c r="G90" i="9"/>
  <c r="H90" i="9"/>
  <c r="F90" i="9"/>
  <c r="E89" i="9"/>
  <c r="G89" i="9"/>
  <c r="H89" i="9"/>
  <c r="F89" i="9"/>
  <c r="E88" i="9"/>
  <c r="G88" i="9"/>
  <c r="H88" i="9"/>
  <c r="F88" i="9"/>
  <c r="E87" i="9"/>
  <c r="G87" i="9"/>
  <c r="H87" i="9"/>
  <c r="F87" i="9"/>
  <c r="E86" i="9"/>
  <c r="G86" i="9"/>
  <c r="H86" i="9"/>
  <c r="F86" i="9"/>
  <c r="E85" i="9"/>
  <c r="G85" i="9"/>
  <c r="H85" i="9"/>
  <c r="F85" i="9"/>
  <c r="E84" i="9"/>
  <c r="G84" i="9"/>
  <c r="H84" i="9"/>
  <c r="F84" i="9"/>
  <c r="E83" i="9"/>
  <c r="G83" i="9"/>
  <c r="H83" i="9"/>
  <c r="F83" i="9"/>
  <c r="E82" i="9"/>
  <c r="G82" i="9"/>
  <c r="H82" i="9"/>
  <c r="F82" i="9"/>
  <c r="E81" i="9"/>
  <c r="G81" i="9"/>
  <c r="H81" i="9"/>
  <c r="F81" i="9"/>
  <c r="E80" i="9"/>
  <c r="G80" i="9"/>
  <c r="H80" i="9"/>
  <c r="F80" i="9"/>
  <c r="E79" i="9"/>
  <c r="G79" i="9"/>
  <c r="H79" i="9"/>
  <c r="F79" i="9"/>
  <c r="E78" i="9"/>
  <c r="G78" i="9"/>
  <c r="H78" i="9"/>
  <c r="F78" i="9"/>
  <c r="E77" i="9"/>
  <c r="G77" i="9"/>
  <c r="H77" i="9"/>
  <c r="F77" i="9"/>
  <c r="E76" i="9"/>
  <c r="G76" i="9"/>
  <c r="H76" i="9"/>
  <c r="F76" i="9"/>
  <c r="E75" i="9"/>
  <c r="G75" i="9"/>
  <c r="H75" i="9"/>
  <c r="F75" i="9"/>
  <c r="E74" i="9"/>
  <c r="G74" i="9"/>
  <c r="H74" i="9"/>
  <c r="F74" i="9"/>
  <c r="E73" i="9"/>
  <c r="G73" i="9"/>
  <c r="H73" i="9"/>
  <c r="F73" i="9"/>
  <c r="E72" i="9"/>
  <c r="G72" i="9"/>
  <c r="H72" i="9"/>
  <c r="F72" i="9"/>
  <c r="E71" i="9"/>
  <c r="G71" i="9"/>
  <c r="H71" i="9"/>
  <c r="F71" i="9"/>
  <c r="E70" i="9"/>
  <c r="G70" i="9"/>
  <c r="H70" i="9"/>
  <c r="F70" i="9"/>
  <c r="E69" i="9"/>
  <c r="G69" i="9"/>
  <c r="H69" i="9"/>
  <c r="F69" i="9"/>
  <c r="E68" i="9"/>
  <c r="G68" i="9"/>
  <c r="H68" i="9"/>
  <c r="F68" i="9"/>
  <c r="E67" i="9"/>
  <c r="G67" i="9"/>
  <c r="H67" i="9"/>
  <c r="F67" i="9"/>
  <c r="E66" i="9"/>
  <c r="G66" i="9"/>
  <c r="H66" i="9"/>
  <c r="F66" i="9"/>
  <c r="E65" i="9"/>
  <c r="G65" i="9"/>
  <c r="H65" i="9"/>
  <c r="F65" i="9"/>
  <c r="E64" i="9"/>
  <c r="G64" i="9"/>
  <c r="H64" i="9"/>
  <c r="F64" i="9"/>
  <c r="E63" i="9"/>
  <c r="G63" i="9"/>
  <c r="H63" i="9"/>
  <c r="F63" i="9"/>
  <c r="E62" i="9"/>
  <c r="G62" i="9"/>
  <c r="H62" i="9"/>
  <c r="F62" i="9"/>
  <c r="E61" i="9"/>
  <c r="G61" i="9"/>
  <c r="H61" i="9"/>
  <c r="F61" i="9"/>
  <c r="E60" i="9"/>
  <c r="G60" i="9"/>
  <c r="H60" i="9"/>
  <c r="F60" i="9"/>
  <c r="E59" i="9"/>
  <c r="G59" i="9"/>
  <c r="H59" i="9"/>
  <c r="F59" i="9"/>
  <c r="E58" i="9"/>
  <c r="G58" i="9"/>
  <c r="H58" i="9"/>
  <c r="F58" i="9"/>
  <c r="E57" i="9"/>
  <c r="G57" i="9"/>
  <c r="H57" i="9"/>
  <c r="F57" i="9"/>
  <c r="E56" i="9"/>
  <c r="G56" i="9"/>
  <c r="H56" i="9"/>
  <c r="F56" i="9"/>
  <c r="E55" i="9"/>
  <c r="G55" i="9"/>
  <c r="H55" i="9"/>
  <c r="F55" i="9"/>
  <c r="E54" i="9"/>
  <c r="G54" i="9"/>
  <c r="H54" i="9"/>
  <c r="F54" i="9"/>
  <c r="E53" i="9"/>
  <c r="G53" i="9"/>
  <c r="H53" i="9"/>
  <c r="F53" i="9"/>
  <c r="E52" i="9"/>
  <c r="G52" i="9"/>
  <c r="H52" i="9"/>
  <c r="F52" i="9"/>
  <c r="E51" i="9"/>
  <c r="G51" i="9"/>
  <c r="H51" i="9"/>
  <c r="F51" i="9"/>
  <c r="E50" i="9"/>
  <c r="G50" i="9"/>
  <c r="H50" i="9"/>
  <c r="F50" i="9"/>
  <c r="E49" i="9"/>
  <c r="G49" i="9"/>
  <c r="H49" i="9"/>
  <c r="F49" i="9"/>
  <c r="E48" i="9"/>
  <c r="G48" i="9"/>
  <c r="H48" i="9"/>
  <c r="F48" i="9"/>
  <c r="E47" i="9"/>
  <c r="G47" i="9"/>
  <c r="H47" i="9"/>
  <c r="F47" i="9"/>
  <c r="E46" i="9"/>
  <c r="G46" i="9"/>
  <c r="H46" i="9"/>
  <c r="F46" i="9"/>
  <c r="E45" i="9"/>
  <c r="G45" i="9"/>
  <c r="H45" i="9"/>
  <c r="F45" i="9"/>
  <c r="E44" i="9"/>
  <c r="G44" i="9"/>
  <c r="H44" i="9"/>
  <c r="F44" i="9"/>
  <c r="E43" i="9"/>
  <c r="G43" i="9"/>
  <c r="H43" i="9"/>
  <c r="F43" i="9"/>
  <c r="E42" i="9"/>
  <c r="G42" i="9"/>
  <c r="H42" i="9"/>
  <c r="F42" i="9"/>
  <c r="E41" i="9"/>
  <c r="G41" i="9"/>
  <c r="H41" i="9"/>
  <c r="F41" i="9"/>
  <c r="E40" i="9"/>
  <c r="G40" i="9"/>
  <c r="H40" i="9"/>
  <c r="F40" i="9"/>
  <c r="E39" i="9"/>
  <c r="G39" i="9"/>
  <c r="H39" i="9"/>
  <c r="F39" i="9"/>
  <c r="E38" i="9"/>
  <c r="G38" i="9"/>
  <c r="H38" i="9"/>
  <c r="F38" i="9"/>
  <c r="E37" i="9"/>
  <c r="G37" i="9"/>
  <c r="H37" i="9"/>
  <c r="F37" i="9"/>
  <c r="E36" i="9"/>
  <c r="G36" i="9"/>
  <c r="H36" i="9"/>
  <c r="F36" i="9"/>
  <c r="E35" i="9"/>
  <c r="G35" i="9"/>
  <c r="H35" i="9"/>
  <c r="F35" i="9"/>
  <c r="E34" i="9"/>
  <c r="G34" i="9"/>
  <c r="H34" i="9"/>
  <c r="F34" i="9"/>
  <c r="E33" i="9"/>
  <c r="G33" i="9"/>
  <c r="H33" i="9"/>
  <c r="F33" i="9"/>
  <c r="E32" i="9"/>
  <c r="G32" i="9"/>
  <c r="H32" i="9"/>
  <c r="F32" i="9"/>
  <c r="E31" i="9"/>
  <c r="G31" i="9"/>
  <c r="H31" i="9"/>
  <c r="F31" i="9"/>
  <c r="E30" i="9"/>
  <c r="G30" i="9"/>
  <c r="H30" i="9"/>
  <c r="F30" i="9"/>
  <c r="E29" i="9"/>
  <c r="G29" i="9"/>
  <c r="H29" i="9"/>
  <c r="F29" i="9"/>
  <c r="E28" i="9"/>
  <c r="G28" i="9"/>
  <c r="H28" i="9"/>
  <c r="F28" i="9"/>
  <c r="E27" i="9"/>
  <c r="G27" i="9"/>
  <c r="H27" i="9"/>
  <c r="F27" i="9"/>
  <c r="E26" i="9"/>
  <c r="G26" i="9"/>
  <c r="H26" i="9"/>
  <c r="F26" i="9"/>
  <c r="E25" i="9"/>
  <c r="G25" i="9"/>
  <c r="H25" i="9"/>
  <c r="F25" i="9"/>
  <c r="E24" i="9"/>
  <c r="G24" i="9"/>
  <c r="H24" i="9"/>
  <c r="F24" i="9"/>
  <c r="E23" i="9"/>
  <c r="G23" i="9"/>
  <c r="H23" i="9"/>
  <c r="F23" i="9"/>
  <c r="E22" i="9"/>
  <c r="G22" i="9"/>
  <c r="H22" i="9"/>
  <c r="F22" i="9"/>
  <c r="E21" i="9"/>
  <c r="G21" i="9"/>
  <c r="H21" i="9"/>
  <c r="F21" i="9"/>
  <c r="E20" i="9"/>
  <c r="G20" i="9"/>
  <c r="H20" i="9"/>
  <c r="F20" i="9"/>
  <c r="E19" i="9"/>
  <c r="G19" i="9"/>
  <c r="H19" i="9"/>
  <c r="F19" i="9"/>
  <c r="E18" i="9"/>
  <c r="G18" i="9"/>
  <c r="H18" i="9"/>
  <c r="F18" i="9"/>
  <c r="E17" i="9"/>
  <c r="G17" i="9"/>
  <c r="H17" i="9"/>
  <c r="F17" i="9"/>
  <c r="E16" i="9"/>
  <c r="G16" i="9"/>
  <c r="H16" i="9"/>
  <c r="F16" i="9"/>
  <c r="E15" i="9"/>
  <c r="G15" i="9"/>
  <c r="H15" i="9"/>
  <c r="F15" i="9"/>
  <c r="E14" i="9"/>
  <c r="G14" i="9"/>
  <c r="H14" i="9"/>
  <c r="F14" i="9"/>
  <c r="E13" i="9"/>
  <c r="G13" i="9"/>
  <c r="H13" i="9"/>
  <c r="F13" i="9"/>
  <c r="E12" i="9"/>
  <c r="G12" i="9"/>
  <c r="H12" i="9"/>
  <c r="F12" i="9"/>
  <c r="E11" i="9"/>
  <c r="G11" i="9"/>
  <c r="H11" i="9"/>
  <c r="F11" i="9"/>
  <c r="E10" i="9"/>
  <c r="G10" i="9"/>
  <c r="H10" i="9"/>
  <c r="F10" i="9"/>
  <c r="E9" i="9"/>
  <c r="G9" i="9"/>
  <c r="H9" i="9"/>
  <c r="F9" i="9"/>
  <c r="E8" i="9"/>
  <c r="G8" i="9"/>
  <c r="H8" i="9"/>
  <c r="F8" i="9"/>
  <c r="E7" i="9"/>
  <c r="G7" i="9"/>
  <c r="H7" i="9"/>
  <c r="F7" i="9"/>
  <c r="E6" i="9"/>
  <c r="G6" i="9"/>
  <c r="H6" i="9"/>
  <c r="F6" i="9"/>
  <c r="E5" i="9"/>
  <c r="G5" i="9"/>
  <c r="H5" i="9"/>
  <c r="F5" i="9"/>
  <c r="E4" i="9"/>
  <c r="G4" i="9"/>
  <c r="H4" i="9"/>
  <c r="F4" i="9"/>
  <c r="E3" i="9"/>
  <c r="G3" i="9"/>
  <c r="H3" i="9"/>
  <c r="F3" i="9"/>
  <c r="E2" i="9"/>
  <c r="G2" i="9"/>
  <c r="H2" i="9"/>
  <c r="F2" i="9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109" i="1"/>
  <c r="BA109" i="1"/>
  <c r="BB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BC109" i="1"/>
  <c r="CT109" i="1"/>
  <c r="AZ108" i="1"/>
  <c r="BA108" i="1"/>
  <c r="BB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BC108" i="1"/>
  <c r="CT108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E33" i="2"/>
  <c r="F33" i="2"/>
  <c r="I33" i="2"/>
  <c r="J33" i="2"/>
  <c r="R33" i="2"/>
  <c r="R14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73" i="4"/>
  <c r="AH25" i="4"/>
  <c r="AH87" i="4"/>
  <c r="AH27" i="4"/>
  <c r="AH29" i="4"/>
  <c r="AH26" i="4"/>
  <c r="AH4" i="4"/>
  <c r="AH20" i="4"/>
  <c r="AH28" i="4"/>
  <c r="AH23" i="4"/>
  <c r="AH34" i="4"/>
  <c r="AH35" i="4"/>
  <c r="AH289" i="4"/>
  <c r="AH159" i="4"/>
  <c r="AH6" i="4"/>
  <c r="AH116" i="4"/>
  <c r="AH18" i="4"/>
  <c r="AH16" i="4"/>
  <c r="AH8" i="4"/>
  <c r="AH53" i="4"/>
  <c r="AH91" i="4"/>
  <c r="AH92" i="4"/>
  <c r="AH52" i="4"/>
  <c r="AH90" i="4"/>
  <c r="AH81" i="4"/>
  <c r="AH85" i="4"/>
  <c r="AH245" i="4"/>
  <c r="AH96" i="4"/>
  <c r="AH84" i="4"/>
  <c r="AH54" i="4"/>
  <c r="AH248" i="4"/>
  <c r="AH78" i="4"/>
  <c r="AH80" i="4"/>
  <c r="AH83" i="4"/>
  <c r="AH86" i="4"/>
  <c r="AH94" i="4"/>
  <c r="AH93" i="4"/>
  <c r="AH10" i="4"/>
  <c r="AH11" i="4"/>
  <c r="AH12" i="4"/>
  <c r="AH36" i="4"/>
  <c r="AH17" i="4"/>
  <c r="AH24" i="4"/>
  <c r="AH242" i="4"/>
  <c r="AH79" i="4"/>
  <c r="AH82" i="4"/>
  <c r="AH95" i="4"/>
  <c r="AH5" i="4"/>
  <c r="AH110" i="4"/>
  <c r="AH22" i="4"/>
  <c r="AH254" i="4"/>
  <c r="AH264" i="4"/>
  <c r="AH151" i="4"/>
  <c r="AH125" i="4"/>
  <c r="AH282" i="4"/>
  <c r="AH150" i="4"/>
  <c r="AH253" i="4"/>
  <c r="AH267" i="4"/>
  <c r="AH103" i="4"/>
  <c r="AH158" i="4"/>
  <c r="AH240" i="4"/>
  <c r="AH182" i="4"/>
  <c r="AH279" i="4"/>
  <c r="AH274" i="4"/>
  <c r="AH200" i="4"/>
  <c r="AH156" i="4"/>
  <c r="AH203" i="4"/>
  <c r="AH121" i="4"/>
  <c r="AH132" i="4"/>
  <c r="AH143" i="4"/>
  <c r="AH144" i="4"/>
  <c r="AH201" i="4"/>
  <c r="AH270" i="4"/>
  <c r="AH214" i="4"/>
  <c r="AH108" i="4"/>
  <c r="AH209" i="4"/>
  <c r="AH257" i="4"/>
  <c r="AH88" i="4"/>
  <c r="AH142" i="4"/>
  <c r="AH112" i="4"/>
  <c r="AH207" i="4"/>
  <c r="AH222" i="4"/>
  <c r="AH118" i="4"/>
  <c r="AH73" i="4"/>
  <c r="AH72" i="4"/>
  <c r="AH277" i="4"/>
  <c r="AH256" i="4"/>
  <c r="AH114" i="4"/>
  <c r="AH208" i="4"/>
  <c r="AH231" i="4"/>
  <c r="AH157" i="4"/>
  <c r="AH155" i="4"/>
  <c r="AH122" i="4"/>
  <c r="AH205" i="4"/>
  <c r="AH128" i="4"/>
  <c r="AH124" i="4"/>
  <c r="AH288" i="4"/>
  <c r="AH210" i="4"/>
  <c r="AH75" i="4"/>
  <c r="AH120" i="4"/>
  <c r="AH291" i="4"/>
  <c r="AH89" i="4"/>
  <c r="AH281" i="4"/>
  <c r="AH19" i="4"/>
  <c r="AH130" i="4"/>
  <c r="AH61" i="4"/>
  <c r="AH247" i="4"/>
  <c r="AH230" i="4"/>
  <c r="AH275" i="4"/>
  <c r="AH241" i="4"/>
  <c r="AH204" i="4"/>
  <c r="AH206" i="4"/>
  <c r="AH31" i="4"/>
  <c r="AH33" i="4"/>
  <c r="AH32" i="4"/>
  <c r="AH294" i="4"/>
  <c r="AH74" i="4"/>
  <c r="AH186" i="4"/>
  <c r="AH187" i="4"/>
  <c r="AH229" i="4"/>
  <c r="AH175" i="4"/>
  <c r="AH136" i="4"/>
  <c r="AH188" i="4"/>
  <c r="AH190" i="4"/>
  <c r="AH226" i="4"/>
  <c r="AH189" i="4"/>
  <c r="AH227" i="4"/>
  <c r="AH191" i="4"/>
  <c r="AH174" i="4"/>
  <c r="AH285" i="4"/>
  <c r="AH276" i="4"/>
  <c r="AH117" i="4"/>
  <c r="AH129" i="4"/>
  <c r="AH223" i="4"/>
  <c r="AH224" i="4"/>
  <c r="AH220" i="4"/>
  <c r="AH219" i="4"/>
  <c r="AH104" i="4"/>
  <c r="AH193" i="4"/>
  <c r="AH194" i="4"/>
  <c r="AH192" i="4"/>
  <c r="AH197" i="4"/>
  <c r="AH196" i="4"/>
  <c r="AH179" i="4"/>
  <c r="AH167" i="4"/>
  <c r="AH101" i="4"/>
  <c r="AH102" i="4"/>
  <c r="AH131" i="4"/>
  <c r="AH165" i="4"/>
  <c r="AH100" i="4"/>
  <c r="AH106" i="4"/>
  <c r="AH164" i="4"/>
  <c r="AH290" i="4"/>
  <c r="AH228" i="4"/>
  <c r="AH166" i="4"/>
  <c r="AH180" i="4"/>
  <c r="AH293" i="4"/>
  <c r="AH50" i="4"/>
  <c r="AH146" i="4"/>
  <c r="AH173" i="4"/>
  <c r="AH168" i="4"/>
  <c r="AH170" i="4"/>
  <c r="AH178" i="4"/>
  <c r="AH268" i="4"/>
  <c r="AH211" i="4"/>
  <c r="AH212" i="4"/>
  <c r="AH233" i="4"/>
  <c r="AH235" i="4"/>
  <c r="AH51" i="4"/>
  <c r="AH162" i="4"/>
  <c r="AH152" i="4"/>
  <c r="AH153" i="4"/>
  <c r="AH154" i="4"/>
  <c r="AH183" i="4"/>
  <c r="AH185" i="4"/>
  <c r="AH169" i="4"/>
  <c r="AH123" i="4"/>
  <c r="AH137" i="4"/>
  <c r="AH213" i="4"/>
  <c r="AH161" i="4"/>
  <c r="AH48" i="4"/>
  <c r="AH271" i="4"/>
  <c r="AH141" i="4"/>
  <c r="AH171" i="4"/>
  <c r="AH127" i="4"/>
  <c r="AH21" i="4"/>
  <c r="AH109" i="4"/>
  <c r="AH76" i="4"/>
  <c r="AH176" i="4"/>
  <c r="AH134" i="4"/>
  <c r="AH119" i="4"/>
  <c r="AH163" i="4"/>
  <c r="AH14" i="4"/>
  <c r="AH177" i="4"/>
  <c r="AH221" i="4"/>
  <c r="AH160" i="4"/>
  <c r="AH49" i="4"/>
  <c r="AH250" i="4"/>
  <c r="AH295" i="4"/>
  <c r="AH140" i="4"/>
  <c r="AH234" i="4"/>
  <c r="AH272" i="4"/>
  <c r="AH149" i="4"/>
  <c r="AH218" i="4"/>
  <c r="AH225" i="4"/>
  <c r="AH260" i="4"/>
  <c r="AH236" i="4"/>
  <c r="AH238" i="4"/>
  <c r="AH237" i="4"/>
  <c r="AH232" i="4"/>
  <c r="AH184" i="4"/>
  <c r="AH195" i="4"/>
  <c r="AH115" i="4"/>
  <c r="AH255" i="4"/>
  <c r="AH261" i="4"/>
  <c r="AH113" i="4"/>
  <c r="AH292" i="4"/>
  <c r="AH265" i="4"/>
  <c r="AH139" i="4"/>
  <c r="AH284" i="4"/>
  <c r="AH30" i="4"/>
  <c r="AH258" i="4"/>
  <c r="AH297" i="4"/>
  <c r="AH172" i="4"/>
  <c r="AH283" i="4"/>
  <c r="AH246" i="4"/>
  <c r="AH286" i="4"/>
  <c r="AH298" i="4"/>
  <c r="AH249" i="4"/>
  <c r="AH3" i="4"/>
  <c r="AH266" i="4"/>
  <c r="AH263" i="4"/>
  <c r="AH252" i="4"/>
  <c r="AH287" i="4"/>
  <c r="AH135" i="4"/>
  <c r="AH133" i="4"/>
  <c r="AH9" i="4"/>
  <c r="AH13" i="4"/>
  <c r="AH70" i="4"/>
  <c r="AH243" i="4"/>
  <c r="AH239" i="4"/>
  <c r="AH202" i="4"/>
  <c r="AH251" i="4"/>
  <c r="AH2" i="4"/>
  <c r="AH46" i="4"/>
  <c r="AH199" i="4"/>
  <c r="AH111" i="4"/>
  <c r="AH244" i="4"/>
  <c r="AH69" i="4"/>
  <c r="AH198" i="4"/>
  <c r="AH45" i="4"/>
  <c r="AH280" i="4"/>
  <c r="AH62" i="4"/>
  <c r="AH47" i="4"/>
  <c r="AH71" i="4"/>
  <c r="AH42" i="4"/>
  <c r="AH63" i="4"/>
  <c r="AH269" i="4"/>
  <c r="AH296" i="4"/>
  <c r="AH15" i="4"/>
  <c r="AH64" i="4"/>
  <c r="AH138" i="4"/>
  <c r="AH44" i="4"/>
  <c r="AH68" i="4"/>
  <c r="AH262" i="4"/>
  <c r="AH39" i="4"/>
  <c r="AH77" i="4"/>
  <c r="AH38" i="4"/>
  <c r="AH43" i="4"/>
  <c r="AH126" i="4"/>
  <c r="AH40" i="4"/>
  <c r="AH259" i="4"/>
  <c r="AH41" i="4"/>
  <c r="AH105" i="4"/>
  <c r="AH278" i="4"/>
  <c r="AH148" i="4"/>
  <c r="AH98" i="4"/>
  <c r="AH37" i="4"/>
  <c r="AH181" i="4"/>
  <c r="AH147" i="4"/>
  <c r="AH67" i="4"/>
  <c r="AH55" i="4"/>
  <c r="AH65" i="4"/>
  <c r="AH97" i="4"/>
  <c r="AH66" i="4"/>
  <c r="AH56" i="4"/>
  <c r="AH59" i="4"/>
  <c r="AH107" i="4"/>
  <c r="AH145" i="4"/>
  <c r="AH60" i="4"/>
  <c r="AH58" i="4"/>
  <c r="AH57" i="4"/>
  <c r="AH302" i="4"/>
  <c r="AH301" i="4"/>
  <c r="AH299" i="4"/>
  <c r="AH300" i="4"/>
  <c r="AH305" i="4"/>
  <c r="AH306" i="4"/>
  <c r="AH307" i="4"/>
  <c r="AH308" i="4"/>
  <c r="AH304" i="4"/>
  <c r="AH309" i="4"/>
  <c r="AH312" i="4"/>
  <c r="AH313" i="4"/>
  <c r="AH314" i="4"/>
  <c r="AH311" i="4"/>
  <c r="AH310" i="4"/>
  <c r="AH347" i="4"/>
  <c r="AH332" i="4"/>
  <c r="AH330" i="4"/>
  <c r="AH331" i="4"/>
  <c r="AH318" i="4"/>
  <c r="AH324" i="4"/>
  <c r="AH339" i="4"/>
  <c r="AH336" i="4"/>
  <c r="AH335" i="4"/>
  <c r="AH337" i="4"/>
  <c r="AH344" i="4"/>
  <c r="AH338" i="4"/>
  <c r="AH340" i="4"/>
  <c r="AH325" i="4"/>
  <c r="AH326" i="4"/>
  <c r="AH327" i="4"/>
  <c r="AH328" i="4"/>
  <c r="AH320" i="4"/>
  <c r="AH321" i="4"/>
  <c r="AH322" i="4"/>
  <c r="AH323" i="4"/>
  <c r="AH343" i="4"/>
  <c r="AH341" i="4"/>
  <c r="AH345" i="4"/>
  <c r="AH329" i="4"/>
  <c r="AH346" i="4"/>
  <c r="AH342" i="4"/>
  <c r="AH319" i="4"/>
  <c r="AH333" i="4"/>
  <c r="AH334" i="4"/>
  <c r="AH317" i="4"/>
  <c r="AH315" i="4"/>
  <c r="AH316" i="4"/>
  <c r="AH365" i="4"/>
  <c r="AH354" i="4"/>
  <c r="AH352" i="4"/>
  <c r="AH353" i="4"/>
  <c r="AH362" i="4"/>
  <c r="AH363" i="4"/>
  <c r="AH364" i="4"/>
  <c r="AH358" i="4"/>
  <c r="AH348" i="4"/>
  <c r="AH355" i="4"/>
  <c r="AH356" i="4"/>
  <c r="AH357" i="4"/>
  <c r="AH359" i="4"/>
  <c r="AH360" i="4"/>
  <c r="AH361" i="4"/>
  <c r="AH349" i="4"/>
  <c r="AH350" i="4"/>
  <c r="AH366" i="4"/>
  <c r="AH367" i="4"/>
  <c r="AH368" i="4"/>
  <c r="AH369" i="4"/>
  <c r="AH351" i="4"/>
  <c r="AH375" i="4"/>
  <c r="AH371" i="4"/>
  <c r="AH379" i="4"/>
  <c r="AH370" i="4"/>
  <c r="AH372" i="4"/>
  <c r="AH374" i="4"/>
  <c r="AH377" i="4"/>
  <c r="AH373" i="4"/>
  <c r="AH376" i="4"/>
  <c r="AH381" i="4"/>
  <c r="AH378" i="4"/>
  <c r="AH386" i="4"/>
  <c r="AH385" i="4"/>
  <c r="AH383" i="4"/>
  <c r="AH384" i="4"/>
  <c r="AH382" i="4"/>
  <c r="AH390" i="4"/>
  <c r="AH389" i="4"/>
  <c r="AH404" i="4"/>
  <c r="AH388" i="4"/>
  <c r="AH407" i="4"/>
  <c r="AH396" i="4"/>
  <c r="AH391" i="4"/>
  <c r="AH392" i="4"/>
  <c r="AH393" i="4"/>
  <c r="AH394" i="4"/>
  <c r="AH400" i="4"/>
  <c r="AH402" i="4"/>
  <c r="AH403" i="4"/>
  <c r="AH398" i="4"/>
  <c r="AH399" i="4"/>
  <c r="AH406" i="4"/>
  <c r="AH409" i="4"/>
  <c r="AH410" i="4"/>
  <c r="AH411" i="4"/>
  <c r="AH395" i="4"/>
  <c r="AH397" i="4"/>
  <c r="AH405" i="4"/>
  <c r="AH387" i="4"/>
  <c r="AH408" i="4"/>
  <c r="AH401" i="4"/>
  <c r="AH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C44" i="1"/>
  <c r="BB44" i="1"/>
  <c r="BA44" i="1"/>
  <c r="AZ44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N249" i="4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21" i="1"/>
  <c r="BA121" i="1"/>
  <c r="BB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BC121" i="1"/>
  <c r="CT12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1" i="1"/>
  <c r="BA65" i="1"/>
  <c r="BA64" i="1"/>
  <c r="BA94" i="1"/>
  <c r="BA92" i="1"/>
  <c r="BA95" i="1"/>
  <c r="BA96" i="1"/>
  <c r="BA97" i="1"/>
  <c r="BA98" i="1"/>
  <c r="BA175" i="1"/>
  <c r="BA186" i="1"/>
  <c r="BA187" i="1"/>
  <c r="BA240" i="1"/>
  <c r="BA3" i="1"/>
  <c r="BA4" i="1"/>
  <c r="BA7" i="1"/>
  <c r="BA9" i="1"/>
  <c r="BA8" i="1"/>
  <c r="BA10" i="1"/>
  <c r="BA20" i="1"/>
  <c r="BA30" i="1"/>
  <c r="BA28" i="1"/>
  <c r="BA33" i="1"/>
  <c r="BA37" i="1"/>
  <c r="BA38" i="1"/>
  <c r="BA39" i="1"/>
  <c r="BA40" i="1"/>
  <c r="BA29" i="1"/>
  <c r="BA35" i="1"/>
  <c r="BA25" i="1"/>
  <c r="BA26" i="1"/>
  <c r="BA27" i="1"/>
  <c r="BA32" i="1"/>
  <c r="BA34" i="1"/>
  <c r="BA36" i="1"/>
  <c r="BA31" i="1"/>
  <c r="BA24" i="1"/>
  <c r="BA23" i="1"/>
  <c r="BA60" i="1"/>
  <c r="BA61" i="1"/>
  <c r="BA62" i="1"/>
  <c r="BA63" i="1"/>
  <c r="BA66" i="1"/>
  <c r="BA67" i="1"/>
  <c r="BA68" i="1"/>
  <c r="BA69" i="1"/>
  <c r="BA70" i="1"/>
  <c r="BA71" i="1"/>
  <c r="BA72" i="1"/>
  <c r="BA73" i="1"/>
  <c r="BA74" i="1"/>
  <c r="BA75" i="1"/>
  <c r="BA78" i="1"/>
  <c r="BA79" i="1"/>
  <c r="BA81" i="1"/>
  <c r="BA82" i="1"/>
  <c r="BA77" i="1"/>
  <c r="BA84" i="1"/>
  <c r="BA80" i="1"/>
  <c r="BA76" i="1"/>
  <c r="BA85" i="1"/>
  <c r="BA83" i="1"/>
  <c r="BA86" i="1"/>
  <c r="BA100" i="1"/>
  <c r="BA93" i="1"/>
  <c r="BA87" i="1"/>
  <c r="BA99" i="1"/>
  <c r="BA88" i="1"/>
  <c r="BA89" i="1"/>
  <c r="BA90" i="1"/>
  <c r="BA91" i="1"/>
  <c r="BA102" i="1"/>
  <c r="BA104" i="1"/>
  <c r="BA105" i="1"/>
  <c r="BA103" i="1"/>
  <c r="BA116" i="1"/>
  <c r="BA117" i="1"/>
  <c r="BA118" i="1"/>
  <c r="BA119" i="1"/>
  <c r="BA122" i="1"/>
  <c r="BA124" i="1"/>
  <c r="BA125" i="1"/>
  <c r="BA126" i="1"/>
  <c r="BA247" i="1"/>
  <c r="BA251" i="1"/>
  <c r="BA250" i="1"/>
  <c r="BA249" i="1"/>
  <c r="BA248" i="1"/>
  <c r="BA129" i="1"/>
  <c r="BA130" i="1"/>
  <c r="BA132" i="1"/>
  <c r="BA131" i="1"/>
  <c r="BA135" i="1"/>
  <c r="BA136" i="1"/>
  <c r="BA142" i="1"/>
  <c r="BA141" i="1"/>
  <c r="BA140" i="1"/>
  <c r="BA145" i="1"/>
  <c r="BA146" i="1"/>
  <c r="BA252" i="1"/>
  <c r="BA254" i="1"/>
  <c r="BA253" i="1"/>
  <c r="BA255" i="1"/>
  <c r="BA266" i="1"/>
  <c r="BA267" i="1"/>
  <c r="BA268" i="1"/>
  <c r="BA269" i="1"/>
  <c r="BA270" i="1"/>
  <c r="BA271" i="1"/>
  <c r="BA150" i="1"/>
  <c r="BA151" i="1"/>
  <c r="BA152" i="1"/>
  <c r="BA153" i="1"/>
  <c r="BA154" i="1"/>
  <c r="BA155" i="1"/>
  <c r="BA159" i="1"/>
  <c r="BA160" i="1"/>
  <c r="BA163" i="1"/>
  <c r="BA162" i="1"/>
  <c r="BA161" i="1"/>
  <c r="BA165" i="1"/>
  <c r="BA166" i="1"/>
  <c r="BA167" i="1"/>
  <c r="BA168" i="1"/>
  <c r="BA169" i="1"/>
  <c r="BA170" i="1"/>
  <c r="BA171" i="1"/>
  <c r="BA173" i="1"/>
  <c r="BA174" i="1"/>
  <c r="BA178" i="1"/>
  <c r="BA180" i="1"/>
  <c r="BA179" i="1"/>
  <c r="BA181" i="1"/>
  <c r="BA182" i="1"/>
  <c r="BA189" i="1"/>
  <c r="BA190" i="1"/>
  <c r="BA191" i="1"/>
  <c r="BA183" i="1"/>
  <c r="BA184" i="1"/>
  <c r="BA203" i="1"/>
  <c r="BA204" i="1"/>
  <c r="BA208" i="1"/>
  <c r="BA209" i="1"/>
  <c r="BA210" i="1"/>
  <c r="BA211" i="1"/>
  <c r="BA212" i="1"/>
  <c r="BA213" i="1"/>
  <c r="BA214" i="1"/>
  <c r="BA217" i="1"/>
  <c r="BA219" i="1"/>
  <c r="BA218" i="1"/>
  <c r="BA220" i="1"/>
  <c r="BA221" i="1"/>
  <c r="BA222" i="1"/>
  <c r="BA223" i="1"/>
  <c r="BA224" i="1"/>
  <c r="BA225" i="1"/>
  <c r="BA237" i="1"/>
  <c r="BA238" i="1"/>
  <c r="BA274" i="1"/>
  <c r="BA276" i="1"/>
  <c r="BA275" i="1"/>
  <c r="BA278" i="1"/>
  <c r="BA279" i="1"/>
  <c r="BA280" i="1"/>
  <c r="BA281" i="1"/>
  <c r="BA277" i="1"/>
  <c r="BA239" i="1"/>
  <c r="BA22" i="1"/>
  <c r="AZ22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C116" i="1"/>
  <c r="BB116" i="1"/>
  <c r="AZ116" i="1"/>
  <c r="BB187" i="1"/>
  <c r="BB4" i="1"/>
  <c r="BB10" i="1"/>
  <c r="BB184" i="1"/>
  <c r="BB186" i="1"/>
  <c r="BB189" i="1"/>
  <c r="BB190" i="1"/>
  <c r="BB191" i="1"/>
  <c r="BB203" i="1"/>
  <c r="BB35" i="1"/>
  <c r="BB36" i="1"/>
  <c r="BB37" i="1"/>
  <c r="BB38" i="1"/>
  <c r="BB39" i="1"/>
  <c r="BB40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2" i="1"/>
  <c r="BB103" i="1"/>
  <c r="BB104" i="1"/>
  <c r="BB105" i="1"/>
  <c r="BB118" i="1"/>
  <c r="BB119" i="1"/>
  <c r="BB122" i="1"/>
  <c r="BB124" i="1"/>
  <c r="BB125" i="1"/>
  <c r="BB126" i="1"/>
  <c r="BB247" i="1"/>
  <c r="BB248" i="1"/>
  <c r="BB249" i="1"/>
  <c r="BB250" i="1"/>
  <c r="BB251" i="1"/>
  <c r="BB129" i="1"/>
  <c r="BB130" i="1"/>
  <c r="BB131" i="1"/>
  <c r="BB132" i="1"/>
  <c r="BB135" i="1"/>
  <c r="BB136" i="1"/>
  <c r="BB140" i="1"/>
  <c r="BB141" i="1"/>
  <c r="BB142" i="1"/>
  <c r="BB145" i="1"/>
  <c r="BB146" i="1"/>
  <c r="BB252" i="1"/>
  <c r="BB253" i="1"/>
  <c r="BB254" i="1"/>
  <c r="BB255" i="1"/>
  <c r="BB266" i="1"/>
  <c r="BB267" i="1"/>
  <c r="BB268" i="1"/>
  <c r="BB269" i="1"/>
  <c r="BB270" i="1"/>
  <c r="BB271" i="1"/>
  <c r="BB150" i="1"/>
  <c r="BB151" i="1"/>
  <c r="BB152" i="1"/>
  <c r="BB153" i="1"/>
  <c r="BB154" i="1"/>
  <c r="BB155" i="1"/>
  <c r="BB159" i="1"/>
  <c r="BB160" i="1"/>
  <c r="BB161" i="1"/>
  <c r="BB162" i="1"/>
  <c r="BB163" i="1"/>
  <c r="BB165" i="1"/>
  <c r="BB166" i="1"/>
  <c r="BB167" i="1"/>
  <c r="BB168" i="1"/>
  <c r="BB169" i="1"/>
  <c r="BB170" i="1"/>
  <c r="BB171" i="1"/>
  <c r="BB173" i="1"/>
  <c r="BB174" i="1"/>
  <c r="BB175" i="1"/>
  <c r="BB178" i="1"/>
  <c r="BB179" i="1"/>
  <c r="BB180" i="1"/>
  <c r="BB181" i="1"/>
  <c r="BB182" i="1"/>
  <c r="BB183" i="1"/>
  <c r="BB32" i="1"/>
  <c r="BB33" i="1"/>
  <c r="BB34" i="1"/>
  <c r="AZ32" i="1"/>
  <c r="AZ186" i="1"/>
  <c r="AZ187" i="1"/>
  <c r="AZ189" i="1"/>
  <c r="AZ190" i="1"/>
  <c r="AZ191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C142" i="1"/>
  <c r="BC141" i="1"/>
  <c r="BC31" i="1"/>
  <c r="BC85" i="1"/>
  <c r="BC191" i="1"/>
  <c r="BC255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96" i="4"/>
  <c r="AF260" i="4"/>
  <c r="AF292" i="4"/>
  <c r="AF183" i="4"/>
  <c r="AF242" i="4"/>
  <c r="AF133" i="4"/>
  <c r="AF135" i="4"/>
  <c r="AF202" i="4"/>
  <c r="AF3" i="4"/>
  <c r="AF291" i="4"/>
  <c r="AF54" i="4"/>
  <c r="AF295" i="4"/>
  <c r="AF180" i="4"/>
  <c r="AF168" i="4"/>
  <c r="AF170" i="4"/>
  <c r="AF178" i="4"/>
  <c r="AF268" i="4"/>
  <c r="AF123" i="4"/>
  <c r="AF137" i="4"/>
  <c r="AF169" i="4"/>
  <c r="AF176" i="4"/>
  <c r="AF177" i="4"/>
  <c r="AF30" i="4"/>
  <c r="AF262" i="4"/>
  <c r="AF181" i="4"/>
  <c r="AF179" i="4"/>
  <c r="AF213" i="4"/>
  <c r="AF211" i="4"/>
  <c r="AF212" i="4"/>
  <c r="AF115" i="4"/>
  <c r="AF109" i="4"/>
  <c r="AF199" i="4"/>
  <c r="AF198" i="4"/>
  <c r="AF91" i="4"/>
  <c r="AF92" i="4"/>
  <c r="AF222" i="4"/>
  <c r="AF241" i="4"/>
  <c r="AF153" i="4"/>
  <c r="AF154" i="4"/>
  <c r="AF225" i="4"/>
  <c r="AF223" i="4"/>
  <c r="AF114" i="4"/>
  <c r="AF208" i="4"/>
  <c r="AF73" i="4"/>
  <c r="AF210" i="4"/>
  <c r="AF192" i="4"/>
  <c r="AF197" i="4"/>
  <c r="AF185" i="4"/>
  <c r="AF244" i="4"/>
  <c r="AF243" i="4"/>
  <c r="AF276" i="4"/>
  <c r="AF196" i="4"/>
  <c r="AF256" i="4"/>
  <c r="AF278" i="4"/>
  <c r="AF257" i="4"/>
  <c r="AF219" i="4"/>
  <c r="AF220" i="4"/>
  <c r="AF221" i="4"/>
  <c r="AF152" i="4"/>
  <c r="AF193" i="4"/>
  <c r="AF194" i="4"/>
  <c r="AF25" i="4"/>
  <c r="AF26" i="4"/>
  <c r="AF28" i="4"/>
  <c r="AF29" i="4"/>
  <c r="AF130" i="4"/>
  <c r="AF127" i="4"/>
  <c r="AF134" i="4"/>
  <c r="AF119" i="4"/>
  <c r="AF124" i="4"/>
  <c r="AF288" i="4"/>
  <c r="AF52" i="4"/>
  <c r="AF90" i="4"/>
  <c r="AF50" i="4"/>
  <c r="AF258" i="4"/>
  <c r="AF95" i="4"/>
  <c r="AF118" i="4"/>
  <c r="AF93" i="4"/>
  <c r="AF81" i="4"/>
  <c r="AF85" i="4"/>
  <c r="AF245" i="4"/>
  <c r="AF79" i="4"/>
  <c r="AF51" i="4"/>
  <c r="AF48" i="4"/>
  <c r="AF159" i="4"/>
  <c r="AF279" i="4"/>
  <c r="AF226" i="4"/>
  <c r="AF250" i="4"/>
  <c r="AF252" i="4"/>
  <c r="AF9" i="4"/>
  <c r="AF251" i="4"/>
  <c r="AF296" i="4"/>
  <c r="AF78" i="4"/>
  <c r="AF80" i="4"/>
  <c r="AF224" i="4"/>
  <c r="AF228" i="4"/>
  <c r="AF231" i="4"/>
  <c r="AF189" i="4"/>
  <c r="AF227" i="4"/>
  <c r="AF156" i="4"/>
  <c r="AF157" i="4"/>
  <c r="AF230" i="4"/>
  <c r="AF22" i="4"/>
  <c r="AF17" i="4"/>
  <c r="AF110" i="4"/>
  <c r="AF155" i="4"/>
  <c r="AF229" i="4"/>
  <c r="AF122" i="4"/>
  <c r="AF6" i="4"/>
  <c r="AF10" i="4"/>
  <c r="AF116" i="4"/>
  <c r="AF18" i="4"/>
  <c r="AF24" i="4"/>
  <c r="AF5" i="4"/>
  <c r="AF254" i="4"/>
  <c r="AF125" i="4"/>
  <c r="AF282" i="4"/>
  <c r="AF274" i="4"/>
  <c r="AF108" i="4"/>
  <c r="AF121" i="4"/>
  <c r="AF132" i="4"/>
  <c r="AF143" i="4"/>
  <c r="AF144" i="4"/>
  <c r="AF182" i="4"/>
  <c r="AF200" i="4"/>
  <c r="AF201" i="4"/>
  <c r="AF270" i="4"/>
  <c r="AF214" i="4"/>
  <c r="AF88" i="4"/>
  <c r="AF112" i="4"/>
  <c r="AF142" i="4"/>
  <c r="AF207" i="4"/>
  <c r="AF277" i="4"/>
  <c r="AF205" i="4"/>
  <c r="AF75" i="4"/>
  <c r="AF120" i="4"/>
  <c r="AF281" i="4"/>
  <c r="AF275" i="4"/>
  <c r="AF204" i="4"/>
  <c r="AF33" i="4"/>
  <c r="AF74" i="4"/>
  <c r="AF117" i="4"/>
  <c r="AF129" i="4"/>
  <c r="AF285" i="4"/>
  <c r="AF104" i="4"/>
  <c r="AF290" i="4"/>
  <c r="AF106" i="4"/>
  <c r="AF164" i="4"/>
  <c r="AF165" i="4"/>
  <c r="AF166" i="4"/>
  <c r="AF146" i="4"/>
  <c r="AF233" i="4"/>
  <c r="AF235" i="4"/>
  <c r="AF76" i="4"/>
  <c r="AF141" i="4"/>
  <c r="AF21" i="4"/>
  <c r="AF149" i="4"/>
  <c r="AF234" i="4"/>
  <c r="AF184" i="4"/>
  <c r="AF232" i="4"/>
  <c r="AF236" i="4"/>
  <c r="AF238" i="4"/>
  <c r="AF261" i="4"/>
  <c r="AF283" i="4"/>
  <c r="AF266" i="4"/>
  <c r="AF239" i="4"/>
  <c r="AF111" i="4"/>
  <c r="AF280" i="4"/>
  <c r="AF71" i="4"/>
  <c r="AF63" i="4"/>
  <c r="AF64" i="4"/>
  <c r="AF138" i="4"/>
  <c r="AF68" i="4"/>
  <c r="AF39" i="4"/>
  <c r="AF40" i="4"/>
  <c r="AF41" i="4"/>
  <c r="AF105" i="4"/>
  <c r="AF37" i="4"/>
  <c r="AF65" i="4"/>
  <c r="AF66" i="4"/>
  <c r="AF107" i="4"/>
  <c r="AF60" i="4"/>
  <c r="AF57" i="4"/>
  <c r="AF7" i="4"/>
  <c r="AF23" i="4"/>
  <c r="AF11" i="4"/>
  <c r="AF128" i="4"/>
  <c r="AF171" i="4"/>
  <c r="AF218" i="4"/>
  <c r="AF4" i="4"/>
  <c r="AF34" i="4"/>
  <c r="AF16" i="4"/>
  <c r="AF89" i="4"/>
  <c r="AF255" i="4"/>
  <c r="AF237" i="4"/>
  <c r="AF62" i="4"/>
  <c r="AF27" i="4"/>
  <c r="AF53" i="4"/>
  <c r="AF36" i="4"/>
  <c r="AF247" i="4"/>
  <c r="AF167" i="4"/>
  <c r="AF265" i="4"/>
  <c r="AF263" i="4"/>
  <c r="AF77" i="4"/>
  <c r="AF35" i="4"/>
  <c r="AF8" i="4"/>
  <c r="AF264" i="4"/>
  <c r="AF32" i="4"/>
  <c r="AF46" i="4"/>
  <c r="AF67" i="4"/>
  <c r="AF12" i="4"/>
  <c r="AF19" i="4"/>
  <c r="AF20" i="4"/>
  <c r="AF173" i="4"/>
  <c r="AF113" i="4"/>
  <c r="AF139" i="4"/>
  <c r="AF172" i="4"/>
  <c r="AF45" i="4"/>
  <c r="AF47" i="4"/>
  <c r="AF42" i="4"/>
  <c r="AF44" i="4"/>
  <c r="AF14" i="4"/>
  <c r="AF284" i="4"/>
  <c r="AF286" i="4"/>
  <c r="AF2" i="4"/>
  <c r="AF269" i="4"/>
  <c r="AF13" i="4"/>
  <c r="AF289" i="4"/>
  <c r="AF294" i="4"/>
  <c r="AF293" i="4"/>
  <c r="AF298" i="4"/>
  <c r="AF15" i="4"/>
  <c r="AF161" i="4"/>
  <c r="AF271" i="4"/>
  <c r="AF100" i="4"/>
  <c r="AF61" i="4"/>
  <c r="AF162" i="4"/>
  <c r="AF163" i="4"/>
  <c r="AF160" i="4"/>
  <c r="AF297" i="4"/>
  <c r="AF150" i="4"/>
  <c r="AF151" i="4"/>
  <c r="AF267" i="4"/>
  <c r="AF103" i="4"/>
  <c r="AF158" i="4"/>
  <c r="AF240" i="4"/>
  <c r="AF259" i="4"/>
  <c r="AF82" i="4"/>
  <c r="AF94" i="4"/>
  <c r="AF49" i="4"/>
  <c r="AF249" i="4"/>
  <c r="AF186" i="4"/>
  <c r="AF190" i="4"/>
  <c r="AF191" i="4"/>
  <c r="AF187" i="4"/>
  <c r="AF188" i="4"/>
  <c r="AF253" i="4"/>
  <c r="AF203" i="4"/>
  <c r="AF209" i="4"/>
  <c r="AF72" i="4"/>
  <c r="AF31" i="4"/>
  <c r="AF70" i="4"/>
  <c r="AF69" i="4"/>
  <c r="AF38" i="4"/>
  <c r="AF55" i="4"/>
  <c r="AF56" i="4"/>
  <c r="AF59" i="4"/>
  <c r="AF145" i="4"/>
  <c r="AF58" i="4"/>
  <c r="AF101" i="4"/>
  <c r="AF195" i="4"/>
  <c r="AF43" i="4"/>
  <c r="AF287" i="4"/>
  <c r="AF87" i="4"/>
  <c r="AF248" i="4"/>
  <c r="AF148" i="4"/>
  <c r="AF102" i="4"/>
  <c r="AF131" i="4"/>
  <c r="AF97" i="4"/>
  <c r="AF206" i="4"/>
  <c r="AF246" i="4"/>
  <c r="AF147" i="4"/>
  <c r="AF126" i="4"/>
  <c r="AF140" i="4"/>
  <c r="AF84" i="4"/>
  <c r="AF174" i="4"/>
  <c r="AF175" i="4"/>
  <c r="AF83" i="4"/>
  <c r="AF86" i="4"/>
  <c r="AF98" i="4"/>
  <c r="AF272" i="4"/>
  <c r="AF136" i="4"/>
  <c r="AF314" i="4"/>
  <c r="AF302" i="4"/>
  <c r="AF299" i="4"/>
  <c r="AF300" i="4"/>
  <c r="AF304" i="4"/>
  <c r="AF309" i="4"/>
  <c r="AF312" i="4"/>
  <c r="AF313" i="4"/>
  <c r="AF305" i="4"/>
  <c r="AF306" i="4"/>
  <c r="AF307" i="4"/>
  <c r="AF311" i="4"/>
  <c r="AF310" i="4"/>
  <c r="AF301" i="4"/>
  <c r="AF308" i="4"/>
  <c r="AF339" i="4"/>
  <c r="AF333" i="4"/>
  <c r="AF334" i="4"/>
  <c r="AF332" i="4"/>
  <c r="AF330" i="4"/>
  <c r="AF331" i="4"/>
  <c r="AF340" i="4"/>
  <c r="AF325" i="4"/>
  <c r="AF326" i="4"/>
  <c r="AF327" i="4"/>
  <c r="AF328" i="4"/>
  <c r="AF319" i="4"/>
  <c r="AF318" i="4"/>
  <c r="AF329" i="4"/>
  <c r="AF347" i="4"/>
  <c r="AF336" i="4"/>
  <c r="AF335" i="4"/>
  <c r="AF337" i="4"/>
  <c r="AF346" i="4"/>
  <c r="AF324" i="4"/>
  <c r="AF338" i="4"/>
  <c r="AF343" i="4"/>
  <c r="AF344" i="4"/>
  <c r="AF341" i="4"/>
  <c r="AF342" i="4"/>
  <c r="AF345" i="4"/>
  <c r="AF320" i="4"/>
  <c r="AF321" i="4"/>
  <c r="AF322" i="4"/>
  <c r="AF323" i="4"/>
  <c r="AF317" i="4"/>
  <c r="AF315" i="4"/>
  <c r="AF316" i="4"/>
  <c r="AF352" i="4"/>
  <c r="AF353" i="4"/>
  <c r="AF366" i="4"/>
  <c r="AF367" i="4"/>
  <c r="AF368" i="4"/>
  <c r="AF369" i="4"/>
  <c r="AF350" i="4"/>
  <c r="AF365" i="4"/>
  <c r="AF351" i="4"/>
  <c r="AF348" i="4"/>
  <c r="AF355" i="4"/>
  <c r="AF356" i="4"/>
  <c r="AF357" i="4"/>
  <c r="AF359" i="4"/>
  <c r="AF360" i="4"/>
  <c r="AF361" i="4"/>
  <c r="AF349" i="4"/>
  <c r="AF362" i="4"/>
  <c r="AF363" i="4"/>
  <c r="AF364" i="4"/>
  <c r="AF354" i="4"/>
  <c r="AF358" i="4"/>
  <c r="AF375" i="4"/>
  <c r="AF371" i="4"/>
  <c r="AF379" i="4"/>
  <c r="AF370" i="4"/>
  <c r="AF372" i="4"/>
  <c r="AF374" i="4"/>
  <c r="AF377" i="4"/>
  <c r="AF373" i="4"/>
  <c r="AF376" i="4"/>
  <c r="AF378" i="4"/>
  <c r="AF381" i="4"/>
  <c r="AF385" i="4"/>
  <c r="AF384" i="4"/>
  <c r="AF383" i="4"/>
  <c r="AF382" i="4"/>
  <c r="AF386" i="4"/>
  <c r="AF390" i="4"/>
  <c r="AF405" i="4"/>
  <c r="AF408" i="4"/>
  <c r="AF391" i="4"/>
  <c r="AF392" i="4"/>
  <c r="AF393" i="4"/>
  <c r="AF394" i="4"/>
  <c r="AF400" i="4"/>
  <c r="AF402" i="4"/>
  <c r="AF403" i="4"/>
  <c r="AF407" i="4"/>
  <c r="AF401" i="4"/>
  <c r="AF389" i="4"/>
  <c r="AF387" i="4"/>
  <c r="AF388" i="4"/>
  <c r="AF396" i="4"/>
  <c r="AF397" i="4"/>
  <c r="AF398" i="4"/>
  <c r="AF399" i="4"/>
  <c r="AF404" i="4"/>
  <c r="AF406" i="4"/>
  <c r="AF409" i="4"/>
  <c r="AF410" i="4"/>
  <c r="AF411" i="4"/>
  <c r="AF395" i="4"/>
  <c r="AF273" i="4"/>
  <c r="AE87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22" i="1"/>
  <c r="BC122" i="1"/>
  <c r="AZ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K35" i="2"/>
  <c r="K186" i="4"/>
  <c r="K34" i="2"/>
  <c r="K32" i="2"/>
  <c r="K190" i="4"/>
  <c r="K33" i="2"/>
  <c r="K8" i="2"/>
  <c r="K16" i="2"/>
  <c r="K191" i="4"/>
  <c r="K31" i="2"/>
  <c r="K187" i="4"/>
  <c r="K188" i="4"/>
  <c r="K152" i="4"/>
  <c r="K221" i="4"/>
  <c r="AL25" i="4"/>
  <c r="AL273" i="4"/>
  <c r="AL26" i="4"/>
  <c r="AL28" i="4"/>
  <c r="AL29" i="4"/>
  <c r="AL130" i="4"/>
  <c r="AL127" i="4"/>
  <c r="AL134" i="4"/>
  <c r="AL124" i="4"/>
  <c r="AL288" i="4"/>
  <c r="AL291" i="4"/>
  <c r="AL260" i="4"/>
  <c r="AL52" i="4"/>
  <c r="AL54" i="4"/>
  <c r="AL90" i="4"/>
  <c r="AL91" i="4"/>
  <c r="AL96" i="4"/>
  <c r="AL50" i="4"/>
  <c r="AL258" i="4"/>
  <c r="AL82" i="4"/>
  <c r="AL95" i="4"/>
  <c r="AL118" i="4"/>
  <c r="AL248" i="4"/>
  <c r="AL93" i="4"/>
  <c r="AL94" i="4"/>
  <c r="AL92" i="4"/>
  <c r="AL81" i="4"/>
  <c r="AL84" i="4"/>
  <c r="AL49" i="4"/>
  <c r="AL86" i="4"/>
  <c r="AL159" i="4"/>
  <c r="AL279" i="4"/>
  <c r="AL222" i="4"/>
  <c r="AL241" i="4"/>
  <c r="AL174" i="4"/>
  <c r="AL226" i="4"/>
  <c r="AL153" i="4"/>
  <c r="AL154" i="4"/>
  <c r="AL221" i="4"/>
  <c r="AL250" i="4"/>
  <c r="AL225" i="4"/>
  <c r="AL252" i="4"/>
  <c r="AL9" i="4"/>
  <c r="AL251" i="4"/>
  <c r="AL296" i="4"/>
  <c r="AL148" i="4"/>
  <c r="AL249" i="4"/>
  <c r="AL78" i="4"/>
  <c r="AL80" i="4"/>
  <c r="AL186" i="4"/>
  <c r="AL190" i="4"/>
  <c r="AL191" i="4"/>
  <c r="AL224" i="4"/>
  <c r="AL228" i="4"/>
  <c r="AL295" i="4"/>
  <c r="AL231" i="4"/>
  <c r="AL175" i="4"/>
  <c r="AL187" i="4"/>
  <c r="AL189" i="4"/>
  <c r="AL227" i="4"/>
  <c r="AL156" i="4"/>
  <c r="AL157" i="4"/>
  <c r="AL230" i="4"/>
  <c r="AL188" i="4"/>
  <c r="AL223" i="4"/>
  <c r="AL22" i="4"/>
  <c r="AL83" i="4"/>
  <c r="AL17" i="4"/>
  <c r="AL110" i="4"/>
  <c r="AL114" i="4"/>
  <c r="AL208" i="4"/>
  <c r="AL155" i="4"/>
  <c r="AL6" i="4"/>
  <c r="AL10" i="4"/>
  <c r="AL116" i="4"/>
  <c r="AL18" i="4"/>
  <c r="AL24" i="4"/>
  <c r="AL5" i="4"/>
  <c r="AL254" i="4"/>
  <c r="AL253" i="4"/>
  <c r="AL125" i="4"/>
  <c r="AL282" i="4"/>
  <c r="AL274" i="4"/>
  <c r="AL108" i="4"/>
  <c r="AL121" i="4"/>
  <c r="AL132" i="4"/>
  <c r="AL143" i="4"/>
  <c r="AL144" i="4"/>
  <c r="AL182" i="4"/>
  <c r="AL200" i="4"/>
  <c r="AL201" i="4"/>
  <c r="AL203" i="4"/>
  <c r="AL270" i="4"/>
  <c r="AL209" i="4"/>
  <c r="AL214" i="4"/>
  <c r="AL88" i="4"/>
  <c r="AL112" i="4"/>
  <c r="AL142" i="4"/>
  <c r="AL207" i="4"/>
  <c r="AL72" i="4"/>
  <c r="AL73" i="4"/>
  <c r="AL277" i="4"/>
  <c r="AL205" i="4"/>
  <c r="AL210" i="4"/>
  <c r="AL75" i="4"/>
  <c r="AL120" i="4"/>
  <c r="AL281" i="4"/>
  <c r="AL275" i="4"/>
  <c r="AL204" i="4"/>
  <c r="AL31" i="4"/>
  <c r="AL33" i="4"/>
  <c r="AL74" i="4"/>
  <c r="AL117" i="4"/>
  <c r="AL129" i="4"/>
  <c r="AL285" i="4"/>
  <c r="AL104" i="4"/>
  <c r="AL192" i="4"/>
  <c r="AL193" i="4"/>
  <c r="AL194" i="4"/>
  <c r="AL197" i="4"/>
  <c r="AL102" i="4"/>
  <c r="AL131" i="4"/>
  <c r="AL290" i="4"/>
  <c r="AL106" i="4"/>
  <c r="AL164" i="4"/>
  <c r="AL165" i="4"/>
  <c r="AL166" i="4"/>
  <c r="AL180" i="4"/>
  <c r="AL146" i="4"/>
  <c r="AL168" i="4"/>
  <c r="AL170" i="4"/>
  <c r="AL178" i="4"/>
  <c r="AL268" i="4"/>
  <c r="AL123" i="4"/>
  <c r="AL137" i="4"/>
  <c r="AL169" i="4"/>
  <c r="AL183" i="4"/>
  <c r="AL185" i="4"/>
  <c r="AL233" i="4"/>
  <c r="AL235" i="4"/>
  <c r="AL76" i="4"/>
  <c r="AL141" i="4"/>
  <c r="AL21" i="4"/>
  <c r="AL176" i="4"/>
  <c r="AL177" i="4"/>
  <c r="AL149" i="4"/>
  <c r="AL272" i="4"/>
  <c r="AL234" i="4"/>
  <c r="AL184" i="4"/>
  <c r="AL232" i="4"/>
  <c r="AL236" i="4"/>
  <c r="AL238" i="4"/>
  <c r="AL261" i="4"/>
  <c r="AL30" i="4"/>
  <c r="AL283" i="4"/>
  <c r="AL266" i="4"/>
  <c r="AL133" i="4"/>
  <c r="AL70" i="4"/>
  <c r="AL239" i="4"/>
  <c r="AL199" i="4"/>
  <c r="AL111" i="4"/>
  <c r="AL244" i="4"/>
  <c r="AL69" i="4"/>
  <c r="AL198" i="4"/>
  <c r="AL280" i="4"/>
  <c r="AL71" i="4"/>
  <c r="AL63" i="4"/>
  <c r="AL64" i="4"/>
  <c r="AL138" i="4"/>
  <c r="AL68" i="4"/>
  <c r="AL262" i="4"/>
  <c r="AL39" i="4"/>
  <c r="AL38" i="4"/>
  <c r="AL40" i="4"/>
  <c r="AL41" i="4"/>
  <c r="AL105" i="4"/>
  <c r="AL37" i="4"/>
  <c r="AL181" i="4"/>
  <c r="AL55" i="4"/>
  <c r="AL65" i="4"/>
  <c r="AL97" i="4"/>
  <c r="AL66" i="4"/>
  <c r="AL56" i="4"/>
  <c r="AL59" i="4"/>
  <c r="AL107" i="4"/>
  <c r="AL145" i="4"/>
  <c r="AL60" i="4"/>
  <c r="AL57" i="4"/>
  <c r="AL101" i="4"/>
  <c r="AL7" i="4"/>
  <c r="AL23" i="4"/>
  <c r="AL11" i="4"/>
  <c r="AL128" i="4"/>
  <c r="AL206" i="4"/>
  <c r="AL171" i="4"/>
  <c r="AL218" i="4"/>
  <c r="AL243" i="4"/>
  <c r="AL4" i="4"/>
  <c r="AL34" i="4"/>
  <c r="AL16" i="4"/>
  <c r="AL89" i="4"/>
  <c r="AL276" i="4"/>
  <c r="AL255" i="4"/>
  <c r="AL237" i="4"/>
  <c r="AL62" i="4"/>
  <c r="AL27" i="4"/>
  <c r="AL53" i="4"/>
  <c r="AL36" i="4"/>
  <c r="AL247" i="4"/>
  <c r="AL167" i="4"/>
  <c r="AL265" i="4"/>
  <c r="AL263" i="4"/>
  <c r="AL77" i="4"/>
  <c r="AL35" i="4"/>
  <c r="AL8" i="4"/>
  <c r="AL264" i="4"/>
  <c r="AL32" i="4"/>
  <c r="AL196" i="4"/>
  <c r="AL135" i="4"/>
  <c r="AL46" i="4"/>
  <c r="AL67" i="4"/>
  <c r="AL20" i="4"/>
  <c r="AL256" i="4"/>
  <c r="AL173" i="4"/>
  <c r="AL213" i="4"/>
  <c r="AL195" i="4"/>
  <c r="AL113" i="4"/>
  <c r="AL139" i="4"/>
  <c r="AL172" i="4"/>
  <c r="AL45" i="4"/>
  <c r="AL47" i="4"/>
  <c r="AL42" i="4"/>
  <c r="AL44" i="4"/>
  <c r="AL43" i="4"/>
  <c r="AL278" i="4"/>
  <c r="AL98" i="4"/>
  <c r="AL211" i="4"/>
  <c r="AL212" i="4"/>
  <c r="AL14" i="4"/>
  <c r="AL292" i="4"/>
  <c r="AL284" i="4"/>
  <c r="AL286" i="4"/>
  <c r="AL287" i="4"/>
  <c r="AL2" i="4"/>
  <c r="AL269" i="4"/>
  <c r="AL115" i="4"/>
  <c r="AL3" i="4"/>
  <c r="AL13" i="4"/>
  <c r="AL289" i="4"/>
  <c r="AL294" i="4"/>
  <c r="AL136" i="4"/>
  <c r="AL293" i="4"/>
  <c r="AL298" i="4"/>
  <c r="AL15" i="4"/>
  <c r="AL126" i="4"/>
  <c r="AL161" i="4"/>
  <c r="AL271" i="4"/>
  <c r="AL100" i="4"/>
  <c r="AL61" i="4"/>
  <c r="AL162" i="4"/>
  <c r="AL163" i="4"/>
  <c r="AL160" i="4"/>
  <c r="AL297" i="4"/>
  <c r="AL150" i="4"/>
  <c r="AL151" i="4"/>
  <c r="AL267" i="4"/>
  <c r="AL103" i="4"/>
  <c r="AL158" i="4"/>
  <c r="AL240" i="4"/>
  <c r="AL219" i="4"/>
  <c r="AL220" i="4"/>
  <c r="AL109" i="4"/>
  <c r="AL140" i="4"/>
  <c r="AL259" i="4"/>
  <c r="AL302" i="4"/>
  <c r="AL301" i="4"/>
  <c r="AL299" i="4"/>
  <c r="AL300" i="4"/>
  <c r="AL304" i="4"/>
  <c r="AL309" i="4"/>
  <c r="AL312" i="4"/>
  <c r="AL313" i="4"/>
  <c r="AL314" i="4"/>
  <c r="AL305" i="4"/>
  <c r="AL306" i="4"/>
  <c r="AL307" i="4"/>
  <c r="AL308" i="4"/>
  <c r="AL311" i="4"/>
  <c r="AL310" i="4"/>
  <c r="AL332" i="4"/>
  <c r="AL330" i="4"/>
  <c r="AL331" i="4"/>
  <c r="AL339" i="4"/>
  <c r="AL340" i="4"/>
  <c r="AL320" i="4"/>
  <c r="AL321" i="4"/>
  <c r="AL322" i="4"/>
  <c r="AL323" i="4"/>
  <c r="AL325" i="4"/>
  <c r="AL326" i="4"/>
  <c r="AL327" i="4"/>
  <c r="AL328" i="4"/>
  <c r="AL319" i="4"/>
  <c r="AL333" i="4"/>
  <c r="AL334" i="4"/>
  <c r="AL347" i="4"/>
  <c r="AL318" i="4"/>
  <c r="AL336" i="4"/>
  <c r="AL335" i="4"/>
  <c r="AL337" i="4"/>
  <c r="AL329" i="4"/>
  <c r="AL346" i="4"/>
  <c r="AL317" i="4"/>
  <c r="AL315" i="4"/>
  <c r="AL316" i="4"/>
  <c r="AL324" i="4"/>
  <c r="AL343" i="4"/>
  <c r="AL344" i="4"/>
  <c r="AL341" i="4"/>
  <c r="AL342" i="4"/>
  <c r="AL345" i="4"/>
  <c r="AL338" i="4"/>
  <c r="AL365" i="4"/>
  <c r="AL348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6" i="4"/>
  <c r="AL367" i="4"/>
  <c r="AL368" i="4"/>
  <c r="AL369" i="4"/>
  <c r="AL351" i="4"/>
  <c r="AL349" i="4"/>
  <c r="AL350" i="4"/>
  <c r="AL375" i="4"/>
  <c r="AL371" i="4"/>
  <c r="AL379" i="4"/>
  <c r="AL370" i="4"/>
  <c r="AL372" i="4"/>
  <c r="AL374" i="4"/>
  <c r="AL377" i="4"/>
  <c r="AL381" i="4"/>
  <c r="AL373" i="4"/>
  <c r="AL376" i="4"/>
  <c r="AL378" i="4"/>
  <c r="AL384" i="4"/>
  <c r="AL383" i="4"/>
  <c r="AL385" i="4"/>
  <c r="AL386" i="4"/>
  <c r="AL382" i="4"/>
  <c r="AL390" i="4"/>
  <c r="AL405" i="4"/>
  <c r="AL408" i="4"/>
  <c r="AL391" i="4"/>
  <c r="AL392" i="4"/>
  <c r="AL393" i="4"/>
  <c r="AL394" i="4"/>
  <c r="AL400" i="4"/>
  <c r="AL402" i="4"/>
  <c r="AL403" i="4"/>
  <c r="AL407" i="4"/>
  <c r="AL401" i="4"/>
  <c r="AL389" i="4"/>
  <c r="AL387" i="4"/>
  <c r="AL388" i="4"/>
  <c r="AL396" i="4"/>
  <c r="AL397" i="4"/>
  <c r="AL398" i="4"/>
  <c r="AL399" i="4"/>
  <c r="AL404" i="4"/>
  <c r="AL406" i="4"/>
  <c r="AL409" i="4"/>
  <c r="AL410" i="4"/>
  <c r="AL411" i="4"/>
  <c r="AL395" i="4"/>
  <c r="AL119" i="4"/>
  <c r="AL85" i="4"/>
  <c r="AL245" i="4"/>
  <c r="AL79" i="4"/>
  <c r="AL51" i="4"/>
  <c r="AL48" i="4"/>
  <c r="AL242" i="4"/>
  <c r="AL229" i="4"/>
  <c r="AL152" i="4"/>
  <c r="AL122" i="4"/>
  <c r="AL12" i="4"/>
  <c r="AL19" i="4"/>
  <c r="AL179" i="4"/>
  <c r="AL246" i="4"/>
  <c r="AL202" i="4"/>
  <c r="AL147" i="4"/>
  <c r="AL257" i="4"/>
  <c r="AL87" i="4"/>
  <c r="F249" i="4"/>
  <c r="F250" i="4"/>
  <c r="E250" i="4"/>
  <c r="E249" i="4"/>
  <c r="M249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24" i="1"/>
  <c r="BC124" i="1"/>
  <c r="AZ125" i="1"/>
  <c r="BC125" i="1"/>
  <c r="BC190" i="1"/>
  <c r="AZ181" i="1"/>
  <c r="BC181" i="1"/>
  <c r="AZ180" i="1"/>
  <c r="BC180" i="1"/>
  <c r="AZ85" i="1"/>
  <c r="AZ281" i="1"/>
  <c r="BC281" i="1"/>
  <c r="BB281" i="1"/>
  <c r="AZ280" i="1"/>
  <c r="BC280" i="1"/>
  <c r="BB280" i="1"/>
  <c r="AZ163" i="1"/>
  <c r="BC163" i="1"/>
  <c r="AZ162" i="1"/>
  <c r="BC162" i="1"/>
  <c r="AZ36" i="1"/>
  <c r="BC36" i="1"/>
  <c r="AZ35" i="1"/>
  <c r="BC35" i="1"/>
  <c r="AZ34" i="1"/>
  <c r="BC34" i="1"/>
  <c r="AZ33" i="1"/>
  <c r="BC33" i="1"/>
  <c r="BC32" i="1"/>
  <c r="AZ100" i="1"/>
  <c r="BC100" i="1"/>
  <c r="AZ99" i="1"/>
  <c r="BC99" i="1"/>
  <c r="AZ40" i="1"/>
  <c r="BC40" i="1"/>
  <c r="AZ39" i="1"/>
  <c r="BC39" i="1"/>
  <c r="AZ3" i="1"/>
  <c r="AZ4" i="1"/>
  <c r="AZ7" i="1"/>
  <c r="AZ8" i="1"/>
  <c r="AZ9" i="1"/>
  <c r="AZ10" i="1"/>
  <c r="AZ20" i="1"/>
  <c r="AZ21" i="1"/>
  <c r="AZ23" i="1"/>
  <c r="AZ24" i="1"/>
  <c r="AZ25" i="1"/>
  <c r="AZ26" i="1"/>
  <c r="AZ27" i="1"/>
  <c r="AZ28" i="1"/>
  <c r="AZ29" i="1"/>
  <c r="AZ30" i="1"/>
  <c r="AZ31" i="1"/>
  <c r="AZ37" i="1"/>
  <c r="AZ3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2" i="1"/>
  <c r="AZ103" i="1"/>
  <c r="AZ104" i="1"/>
  <c r="AZ105" i="1"/>
  <c r="AZ118" i="1"/>
  <c r="AZ119" i="1"/>
  <c r="AZ129" i="1"/>
  <c r="AZ130" i="1"/>
  <c r="AZ131" i="1"/>
  <c r="AZ132" i="1"/>
  <c r="AZ135" i="1"/>
  <c r="AZ136" i="1"/>
  <c r="AZ140" i="1"/>
  <c r="AZ141" i="1"/>
  <c r="AZ142" i="1"/>
  <c r="AZ145" i="1"/>
  <c r="AZ146" i="1"/>
  <c r="AZ150" i="1"/>
  <c r="AZ151" i="1"/>
  <c r="AZ152" i="1"/>
  <c r="AZ153" i="1"/>
  <c r="AZ154" i="1"/>
  <c r="AZ155" i="1"/>
  <c r="AZ159" i="1"/>
  <c r="AZ160" i="1"/>
  <c r="AZ161" i="1"/>
  <c r="AZ165" i="1"/>
  <c r="AZ166" i="1"/>
  <c r="AZ167" i="1"/>
  <c r="AZ168" i="1"/>
  <c r="AZ169" i="1"/>
  <c r="AZ170" i="1"/>
  <c r="AZ171" i="1"/>
  <c r="AZ173" i="1"/>
  <c r="AZ174" i="1"/>
  <c r="AZ175" i="1"/>
  <c r="AZ178" i="1"/>
  <c r="AZ179" i="1"/>
  <c r="AZ182" i="1"/>
  <c r="AZ183" i="1"/>
  <c r="AZ184" i="1"/>
  <c r="AZ203" i="1"/>
  <c r="AZ204" i="1"/>
  <c r="AZ208" i="1"/>
  <c r="AZ209" i="1"/>
  <c r="AZ210" i="1"/>
  <c r="AZ211" i="1"/>
  <c r="AZ212" i="1"/>
  <c r="AZ213" i="1"/>
  <c r="AZ214" i="1"/>
  <c r="AZ217" i="1"/>
  <c r="AZ218" i="1"/>
  <c r="AZ219" i="1"/>
  <c r="AZ220" i="1"/>
  <c r="AZ221" i="1"/>
  <c r="AZ222" i="1"/>
  <c r="AZ223" i="1"/>
  <c r="AZ224" i="1"/>
  <c r="AZ225" i="1"/>
  <c r="AZ237" i="1"/>
  <c r="AZ238" i="1"/>
  <c r="AZ239" i="1"/>
  <c r="AZ240" i="1"/>
  <c r="AZ247" i="1"/>
  <c r="AZ248" i="1"/>
  <c r="AZ249" i="1"/>
  <c r="AZ250" i="1"/>
  <c r="AZ251" i="1"/>
  <c r="AZ252" i="1"/>
  <c r="AZ253" i="1"/>
  <c r="AZ254" i="1"/>
  <c r="AZ255" i="1"/>
  <c r="AZ266" i="1"/>
  <c r="AZ267" i="1"/>
  <c r="AZ268" i="1"/>
  <c r="AZ269" i="1"/>
  <c r="AZ270" i="1"/>
  <c r="AZ271" i="1"/>
  <c r="AZ274" i="1"/>
  <c r="AZ275" i="1"/>
  <c r="AZ276" i="1"/>
  <c r="AZ277" i="1"/>
  <c r="AZ278" i="1"/>
  <c r="AZ279" i="1"/>
  <c r="AZ2" i="1"/>
  <c r="BC38" i="1"/>
  <c r="BC37" i="1"/>
  <c r="BC167" i="1"/>
  <c r="BB279" i="1"/>
  <c r="BC279" i="1"/>
  <c r="BB278" i="1"/>
  <c r="BC278" i="1"/>
  <c r="BB277" i="1"/>
  <c r="BC277" i="1"/>
  <c r="BB276" i="1"/>
  <c r="BC276" i="1"/>
  <c r="BB275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B274" i="1"/>
  <c r="BC274" i="1"/>
  <c r="BC271" i="1"/>
  <c r="BC270" i="1"/>
  <c r="BC269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C268" i="1"/>
  <c r="BC267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C266" i="1"/>
  <c r="BC254" i="1"/>
  <c r="BC253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C251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C249" i="1"/>
  <c r="BC248" i="1"/>
  <c r="BC247" i="1"/>
  <c r="BB240" i="1"/>
  <c r="BC240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B239" i="1"/>
  <c r="BC239" i="1"/>
  <c r="BB238" i="1"/>
  <c r="BC238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B237" i="1"/>
  <c r="BC237" i="1"/>
  <c r="BB225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B224" i="1"/>
  <c r="BC224" i="1"/>
  <c r="BB223" i="1"/>
  <c r="BC223" i="1"/>
  <c r="BB222" i="1"/>
  <c r="BC222" i="1"/>
  <c r="BB221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B220" i="1"/>
  <c r="BC220" i="1"/>
  <c r="BB219" i="1"/>
  <c r="BC219" i="1"/>
  <c r="BB218" i="1"/>
  <c r="BC218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B217" i="1"/>
  <c r="BC217" i="1"/>
  <c r="BB214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B213" i="1"/>
  <c r="BC213" i="1"/>
  <c r="BB212" i="1"/>
  <c r="BC212" i="1"/>
  <c r="BB211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B210" i="1"/>
  <c r="BC210" i="1"/>
  <c r="BB209" i="1"/>
  <c r="BC209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B208" i="1"/>
  <c r="BC208" i="1"/>
  <c r="BB204" i="1"/>
  <c r="BC204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C203" i="1"/>
  <c r="BC189" i="1"/>
  <c r="BC187" i="1"/>
  <c r="BC186" i="1"/>
  <c r="BC184" i="1"/>
  <c r="BC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C178" i="1"/>
  <c r="BC175" i="1"/>
  <c r="BC174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C173" i="1"/>
  <c r="BC171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C170" i="1"/>
  <c r="BC169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C168" i="1"/>
  <c r="BC166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C165" i="1"/>
  <c r="BC161" i="1"/>
  <c r="BC160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C159" i="1"/>
  <c r="BC155" i="1"/>
  <c r="BC154" i="1"/>
  <c r="BC153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C152" i="1"/>
  <c r="BC151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C150" i="1"/>
  <c r="BC146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C145" i="1"/>
  <c r="BC136" i="1"/>
  <c r="BC135" i="1"/>
  <c r="BC132" i="1"/>
  <c r="BC131" i="1"/>
  <c r="BC130" i="1"/>
  <c r="BC129" i="1"/>
  <c r="BC119" i="1"/>
  <c r="BC118" i="1"/>
  <c r="BC105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C104" i="1"/>
  <c r="BC103" i="1"/>
  <c r="BC102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4" i="1"/>
  <c r="BC83" i="1"/>
  <c r="BC82" i="1"/>
  <c r="BC81" i="1"/>
  <c r="BC80" i="1"/>
  <c r="BC79" i="1"/>
  <c r="BC78" i="1"/>
  <c r="BC77" i="1"/>
  <c r="BC76" i="1"/>
  <c r="BC75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B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B23" i="1"/>
  <c r="BC23" i="1"/>
  <c r="BB22" i="1"/>
  <c r="BC22" i="1"/>
  <c r="BB21" i="1"/>
  <c r="BC21" i="1"/>
  <c r="BB20" i="1"/>
  <c r="BC20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03" i="4"/>
  <c r="AI195" i="4"/>
  <c r="U195" i="4" a="1"/>
  <c r="U195" i="4"/>
  <c r="AI199" i="4"/>
  <c r="AI198" i="4"/>
  <c r="G39" i="3"/>
  <c r="G40" i="3"/>
  <c r="G41" i="3"/>
  <c r="T195" i="4" a="1"/>
  <c r="T195" i="4"/>
  <c r="T199" i="4" a="1"/>
  <c r="T199" i="4"/>
  <c r="T198" i="4" a="1"/>
  <c r="T198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36" i="4"/>
  <c r="R332" i="4"/>
  <c r="R330" i="4"/>
  <c r="R331" i="4"/>
  <c r="R345" i="4"/>
  <c r="R339" i="4"/>
  <c r="R333" i="4"/>
  <c r="R334" i="4"/>
  <c r="R337" i="4"/>
  <c r="R327" i="4"/>
  <c r="R325" i="4"/>
  <c r="R326" i="4"/>
  <c r="R316" i="4"/>
  <c r="R343" i="4"/>
  <c r="R317" i="4"/>
  <c r="R319" i="4"/>
  <c r="R335" i="4"/>
  <c r="R320" i="4"/>
  <c r="R50" i="2"/>
  <c r="R348" i="4"/>
  <c r="R341" i="4"/>
  <c r="R349" i="4"/>
  <c r="R360" i="4"/>
  <c r="R354" i="4"/>
  <c r="R357" i="4"/>
  <c r="R365" i="4"/>
  <c r="R359" i="4"/>
  <c r="R361" i="4"/>
  <c r="R340" i="4"/>
  <c r="R358" i="4"/>
  <c r="R356" i="4"/>
  <c r="R364" i="4"/>
  <c r="R355" i="4"/>
  <c r="R362" i="4"/>
  <c r="R363" i="4"/>
  <c r="R36" i="2"/>
  <c r="R267" i="4"/>
  <c r="R151" i="4"/>
  <c r="R321" i="4"/>
  <c r="R150" i="4"/>
  <c r="R329" i="4"/>
  <c r="R350" i="4"/>
  <c r="R338" i="4"/>
  <c r="R342" i="4"/>
  <c r="R347" i="4"/>
  <c r="R328" i="4"/>
  <c r="R344" i="4"/>
  <c r="R220" i="4"/>
  <c r="R352" i="4"/>
  <c r="R240" i="4"/>
  <c r="R219" i="4"/>
  <c r="R353" i="4"/>
  <c r="R322" i="4"/>
  <c r="R103" i="4"/>
  <c r="R37" i="2"/>
  <c r="R158" i="4"/>
  <c r="R370" i="4"/>
  <c r="R378" i="4"/>
  <c r="R346" i="4"/>
  <c r="R324" i="4"/>
  <c r="R131" i="4"/>
  <c r="R377" i="4"/>
  <c r="R372" i="4"/>
  <c r="R375" i="4"/>
  <c r="R381" i="4"/>
  <c r="R379" i="4"/>
  <c r="R371" i="4"/>
  <c r="R374" i="4"/>
  <c r="R373" i="4"/>
  <c r="R323" i="4"/>
  <c r="R376" i="4"/>
  <c r="R299" i="4"/>
  <c r="R310" i="4"/>
  <c r="R307" i="4"/>
  <c r="R300" i="4"/>
  <c r="R177" i="4"/>
  <c r="R311" i="4"/>
  <c r="R306" i="4"/>
  <c r="R309" i="4"/>
  <c r="R308" i="4"/>
  <c r="R301" i="4"/>
  <c r="R102" i="4"/>
  <c r="R305" i="4"/>
  <c r="R312" i="4"/>
  <c r="R313" i="4"/>
  <c r="R302" i="4"/>
  <c r="R304" i="4"/>
  <c r="R314" i="4"/>
  <c r="R285" i="4"/>
  <c r="R109" i="4"/>
  <c r="R101" i="4"/>
  <c r="R209" i="4"/>
  <c r="R34" i="4"/>
  <c r="R272" i="4"/>
  <c r="R64" i="4"/>
  <c r="R100" i="4"/>
  <c r="R200" i="4"/>
  <c r="R164" i="4"/>
  <c r="R170" i="4"/>
  <c r="R47" i="4"/>
  <c r="R135" i="4"/>
  <c r="R35" i="4"/>
  <c r="R42" i="4"/>
  <c r="R210" i="4"/>
  <c r="R287" i="4"/>
  <c r="R137" i="4"/>
  <c r="R286" i="4"/>
  <c r="R10" i="2"/>
  <c r="R57" i="4"/>
  <c r="R184" i="4"/>
  <c r="R58" i="4"/>
  <c r="R172" i="4"/>
  <c r="R189" i="4"/>
  <c r="R252" i="4"/>
  <c r="R292" i="4"/>
  <c r="R190" i="4"/>
  <c r="R211" i="4"/>
  <c r="R68" i="4"/>
  <c r="R75" i="4"/>
  <c r="R213" i="4"/>
  <c r="R84" i="4"/>
  <c r="R123" i="4"/>
  <c r="R284" i="4"/>
  <c r="R188" i="4"/>
  <c r="R199" i="4"/>
  <c r="R121" i="4"/>
  <c r="R212" i="4"/>
  <c r="R226" i="4"/>
  <c r="R43" i="4"/>
  <c r="R44" i="4"/>
  <c r="R105" i="4"/>
  <c r="R118" i="4"/>
  <c r="R129" i="4"/>
  <c r="R173" i="4"/>
  <c r="R76" i="4"/>
  <c r="R93" i="4"/>
  <c r="R176" i="4"/>
  <c r="R179" i="4"/>
  <c r="R196" i="4"/>
  <c r="R197" i="4"/>
  <c r="R243" i="4"/>
  <c r="R67" i="4"/>
  <c r="R95" i="4"/>
  <c r="R116" i="4"/>
  <c r="R279" i="4"/>
  <c r="R198" i="4"/>
  <c r="R203" i="4"/>
  <c r="R367" i="4"/>
  <c r="R180" i="4"/>
  <c r="R218" i="4"/>
  <c r="R233" i="4"/>
  <c r="R295" i="4"/>
  <c r="R191" i="4"/>
  <c r="R38" i="4"/>
  <c r="R69" i="4"/>
  <c r="R241" i="4"/>
  <c r="R86" i="4"/>
  <c r="R106" i="4"/>
  <c r="R26" i="2"/>
  <c r="R171" i="4"/>
  <c r="R178" i="4"/>
  <c r="R181" i="4"/>
  <c r="R186" i="4"/>
  <c r="R187" i="4"/>
  <c r="R229" i="4"/>
  <c r="R83" i="4"/>
  <c r="R262" i="4"/>
  <c r="R175" i="4"/>
  <c r="R30" i="4"/>
  <c r="R315" i="4"/>
  <c r="R53" i="4"/>
  <c r="R71" i="4"/>
  <c r="R77" i="4"/>
  <c r="R92" i="4"/>
  <c r="R141" i="4"/>
  <c r="R273" i="4"/>
  <c r="R52" i="4"/>
  <c r="R63" i="4"/>
  <c r="R73" i="4"/>
  <c r="R2" i="4"/>
  <c r="R283" i="4"/>
  <c r="R9" i="4"/>
  <c r="R269" i="4"/>
  <c r="R32" i="4"/>
  <c r="R265" i="4"/>
  <c r="R227" i="4"/>
  <c r="R366" i="4"/>
  <c r="R45" i="4"/>
  <c r="R115" i="4"/>
  <c r="R19" i="4"/>
  <c r="R235" i="4"/>
  <c r="R70" i="4"/>
  <c r="R248" i="4"/>
  <c r="R125" i="4"/>
  <c r="R17" i="4"/>
  <c r="R149" i="4"/>
  <c r="R270" i="4"/>
  <c r="R282" i="4"/>
  <c r="R228" i="4"/>
  <c r="R79" i="4"/>
  <c r="R166" i="4"/>
  <c r="R236" i="4"/>
  <c r="R238" i="4"/>
  <c r="R74" i="4"/>
  <c r="R8" i="4"/>
  <c r="R278" i="4"/>
  <c r="R234" i="4"/>
  <c r="R237" i="4"/>
  <c r="R39" i="4"/>
  <c r="R65" i="4"/>
  <c r="R6" i="4"/>
  <c r="R147" i="4"/>
  <c r="R155" i="4"/>
  <c r="R174" i="4"/>
  <c r="R183" i="4"/>
  <c r="R37" i="4"/>
  <c r="R81" i="4"/>
  <c r="R89" i="4"/>
  <c r="R91" i="4"/>
  <c r="R275" i="4"/>
  <c r="R276" i="4"/>
  <c r="R16" i="4"/>
  <c r="R193" i="4"/>
  <c r="R194" i="4"/>
  <c r="R202" i="4"/>
  <c r="R298" i="4"/>
  <c r="R7" i="4"/>
  <c r="R94" i="4"/>
  <c r="R251" i="4"/>
  <c r="R108" i="4"/>
  <c r="R195" i="4"/>
  <c r="R230" i="4"/>
  <c r="R244" i="4"/>
  <c r="R59" i="4"/>
  <c r="R205" i="4"/>
  <c r="R246" i="4"/>
  <c r="R54" i="4"/>
  <c r="R21" i="4"/>
  <c r="R192" i="4"/>
  <c r="R60" i="4"/>
  <c r="R78" i="4"/>
  <c r="R80" i="4"/>
  <c r="R85" i="4"/>
  <c r="R120" i="4"/>
  <c r="R185" i="4"/>
  <c r="R201" i="4"/>
  <c r="R204" i="4"/>
  <c r="R297" i="4"/>
  <c r="R97" i="4"/>
  <c r="R107" i="4"/>
  <c r="R277" i="4"/>
  <c r="R133" i="4"/>
  <c r="R36" i="4"/>
  <c r="R232" i="4"/>
  <c r="R247" i="4"/>
  <c r="R87" i="4"/>
  <c r="R98" i="4"/>
  <c r="R117" i="4"/>
  <c r="R261" i="4"/>
  <c r="R169" i="4"/>
  <c r="R208" i="4"/>
  <c r="R46" i="4"/>
  <c r="R72" i="4"/>
  <c r="R96" i="4"/>
  <c r="R145" i="4"/>
  <c r="R168" i="4"/>
  <c r="R18" i="4"/>
  <c r="R239" i="4"/>
  <c r="R55" i="4"/>
  <c r="R82" i="4"/>
  <c r="R111" i="4"/>
  <c r="R167" i="4"/>
  <c r="R143" i="4"/>
  <c r="R144" i="4"/>
  <c r="R165" i="4"/>
  <c r="R206" i="4"/>
  <c r="R56" i="4"/>
  <c r="R62" i="4"/>
  <c r="R10" i="4"/>
  <c r="R11" i="4"/>
  <c r="R12" i="4"/>
  <c r="R90" i="4"/>
  <c r="R104" i="4"/>
  <c r="R156" i="4"/>
  <c r="R207" i="4"/>
  <c r="R31" i="4"/>
  <c r="R245" i="4"/>
  <c r="R14" i="4"/>
  <c r="R113" i="4"/>
  <c r="R146" i="4"/>
  <c r="R40" i="4"/>
  <c r="R88" i="4"/>
  <c r="R281" i="4"/>
  <c r="R242" i="4"/>
  <c r="R41" i="4"/>
  <c r="R5" i="4"/>
  <c r="R290" i="4"/>
  <c r="R122" i="4"/>
  <c r="R139" i="4"/>
  <c r="R182" i="4"/>
  <c r="R33" i="4"/>
  <c r="R231" i="4"/>
  <c r="R50" i="4"/>
  <c r="R126" i="4"/>
  <c r="R253" i="4"/>
  <c r="R271" i="4"/>
  <c r="R214" i="4"/>
  <c r="R48" i="4"/>
  <c r="R254" i="4"/>
  <c r="R264" i="4"/>
  <c r="R15" i="4"/>
  <c r="R114" i="4"/>
  <c r="R132" i="4"/>
  <c r="R288" i="4"/>
  <c r="R138" i="4"/>
  <c r="R157" i="4"/>
  <c r="R159" i="4"/>
  <c r="R49" i="4"/>
  <c r="R51" i="4"/>
  <c r="R110" i="4"/>
  <c r="R112" i="4"/>
  <c r="R142" i="4"/>
  <c r="R66" i="4"/>
  <c r="R274" i="4"/>
  <c r="R148" i="4"/>
  <c r="R128" i="4"/>
  <c r="R130" i="4"/>
  <c r="R3" i="4"/>
  <c r="R13" i="4"/>
  <c r="R263" i="4"/>
  <c r="R266" i="4"/>
  <c r="Z367" i="4"/>
  <c r="Z368" i="4"/>
  <c r="Z369" i="4"/>
  <c r="U2" i="12"/>
  <c r="R289" i="4"/>
  <c r="R293" i="4"/>
  <c r="R255" i="4"/>
  <c r="R318" i="4"/>
  <c r="Q2" i="12"/>
  <c r="O2" i="12"/>
  <c r="N387" i="4"/>
  <c r="N408" i="4"/>
  <c r="M2" i="12"/>
  <c r="K2" i="12"/>
  <c r="J7" i="4"/>
  <c r="J20" i="4"/>
  <c r="J34" i="4"/>
  <c r="J35" i="4"/>
  <c r="J289" i="4"/>
  <c r="J6" i="4"/>
  <c r="J78" i="4"/>
  <c r="J248" i="4"/>
  <c r="J80" i="4"/>
  <c r="J81" i="4"/>
  <c r="J83" i="4"/>
  <c r="J84" i="4"/>
  <c r="J85" i="4"/>
  <c r="J86" i="4"/>
  <c r="J8" i="4"/>
  <c r="J91" i="4"/>
  <c r="J92" i="4"/>
  <c r="J93" i="4"/>
  <c r="J94" i="4"/>
  <c r="J96" i="4"/>
  <c r="J10" i="4"/>
  <c r="J11" i="4"/>
  <c r="J12" i="4"/>
  <c r="J116" i="4"/>
  <c r="J16" i="4"/>
  <c r="J17" i="4"/>
  <c r="J18" i="4"/>
  <c r="J159" i="4"/>
  <c r="J36" i="4"/>
  <c r="J245" i="4"/>
  <c r="J5" i="4"/>
  <c r="J79" i="4"/>
  <c r="J82" i="4"/>
  <c r="J95" i="4"/>
  <c r="J254" i="4"/>
  <c r="J110" i="4"/>
  <c r="J264" i="4"/>
  <c r="J26" i="2"/>
  <c r="J253" i="4"/>
  <c r="J125" i="4"/>
  <c r="J282" i="4"/>
  <c r="J274" i="4"/>
  <c r="J103" i="4"/>
  <c r="J108" i="4"/>
  <c r="J121" i="4"/>
  <c r="J132" i="4"/>
  <c r="J143" i="4"/>
  <c r="J144" i="4"/>
  <c r="J156" i="4"/>
  <c r="J158" i="4"/>
  <c r="J279" i="4"/>
  <c r="J182" i="4"/>
  <c r="J200" i="4"/>
  <c r="J201" i="4"/>
  <c r="J203" i="4"/>
  <c r="J270" i="4"/>
  <c r="J209" i="4"/>
  <c r="J214" i="4"/>
  <c r="J240" i="4"/>
  <c r="J88" i="4"/>
  <c r="J142" i="4"/>
  <c r="J207" i="4"/>
  <c r="J222" i="4"/>
  <c r="J72" i="4"/>
  <c r="J73" i="4"/>
  <c r="J256" i="4"/>
  <c r="J277" i="4"/>
  <c r="J114" i="4"/>
  <c r="J118" i="4"/>
  <c r="J122" i="4"/>
  <c r="J128" i="4"/>
  <c r="J155" i="4"/>
  <c r="J157" i="4"/>
  <c r="J205" i="4"/>
  <c r="J208" i="4"/>
  <c r="J210" i="4"/>
  <c r="J231" i="4"/>
  <c r="J75" i="4"/>
  <c r="J89" i="4"/>
  <c r="J291" i="4"/>
  <c r="J120" i="4"/>
  <c r="J19" i="4"/>
  <c r="J281" i="4"/>
  <c r="J247" i="4"/>
  <c r="J275" i="4"/>
  <c r="J204" i="4"/>
  <c r="J206" i="4"/>
  <c r="J32" i="4"/>
  <c r="J294" i="4"/>
  <c r="J230" i="4"/>
  <c r="J241" i="4"/>
  <c r="J74" i="4"/>
  <c r="J276" i="4"/>
  <c r="J117" i="4"/>
  <c r="J129" i="4"/>
  <c r="J136" i="4"/>
  <c r="J285" i="4"/>
  <c r="J174" i="4"/>
  <c r="J175" i="4"/>
  <c r="J186" i="4"/>
  <c r="J188" i="4"/>
  <c r="J189" i="4"/>
  <c r="J191" i="4"/>
  <c r="J223" i="4"/>
  <c r="J224" i="4"/>
  <c r="J226" i="4"/>
  <c r="J227" i="4"/>
  <c r="J229" i="4"/>
  <c r="J104" i="4"/>
  <c r="J167" i="4"/>
  <c r="J179" i="4"/>
  <c r="J192" i="4"/>
  <c r="J194" i="4"/>
  <c r="J196" i="4"/>
  <c r="J197" i="4"/>
  <c r="J220" i="4"/>
  <c r="J101" i="4"/>
  <c r="J131" i="4"/>
  <c r="J100" i="4"/>
  <c r="J290" i="4"/>
  <c r="J106" i="4"/>
  <c r="J164" i="4"/>
  <c r="J165" i="4"/>
  <c r="J166" i="4"/>
  <c r="J180" i="4"/>
  <c r="J293" i="4"/>
  <c r="J228" i="4"/>
  <c r="J50" i="4"/>
  <c r="J146" i="4"/>
  <c r="J168" i="4"/>
  <c r="J170" i="4"/>
  <c r="J173" i="4"/>
  <c r="J178" i="4"/>
  <c r="J268" i="4"/>
  <c r="J211" i="4"/>
  <c r="J212" i="4"/>
  <c r="J51" i="4"/>
  <c r="J123" i="4"/>
  <c r="J137" i="4"/>
  <c r="J152" i="4"/>
  <c r="J153" i="4"/>
  <c r="J154" i="4"/>
  <c r="J169" i="4"/>
  <c r="J183" i="4"/>
  <c r="J185" i="4"/>
  <c r="J213" i="4"/>
  <c r="J233" i="4"/>
  <c r="J235" i="4"/>
  <c r="J48" i="4"/>
  <c r="J76" i="4"/>
  <c r="J141" i="4"/>
  <c r="J21" i="4"/>
  <c r="J171" i="4"/>
  <c r="J176" i="4"/>
  <c r="J177" i="4"/>
  <c r="J221" i="4"/>
  <c r="J49" i="4"/>
  <c r="J295" i="4"/>
  <c r="J149" i="4"/>
  <c r="J218" i="4"/>
  <c r="J272" i="4"/>
  <c r="J225" i="4"/>
  <c r="J234" i="4"/>
  <c r="J115" i="4"/>
  <c r="J184" i="4"/>
  <c r="J232" i="4"/>
  <c r="J236" i="4"/>
  <c r="J237" i="4"/>
  <c r="J238" i="4"/>
  <c r="J113" i="4"/>
  <c r="J139" i="4"/>
  <c r="J30" i="4"/>
  <c r="J258" i="4"/>
  <c r="J172" i="4"/>
  <c r="J283" i="4"/>
  <c r="J246" i="4"/>
  <c r="J286" i="4"/>
  <c r="J252" i="4"/>
  <c r="J133" i="4"/>
  <c r="J135" i="4"/>
  <c r="J9" i="4"/>
  <c r="J13" i="4"/>
  <c r="J70" i="4"/>
  <c r="J202" i="4"/>
  <c r="J239" i="4"/>
  <c r="J243" i="4"/>
  <c r="J251" i="4"/>
  <c r="J2" i="4"/>
  <c r="J46" i="4"/>
  <c r="J199" i="4"/>
  <c r="J111" i="4"/>
  <c r="J244" i="4"/>
  <c r="J198" i="4"/>
  <c r="J45" i="4"/>
  <c r="J47" i="4"/>
  <c r="J62" i="4"/>
  <c r="J71" i="4"/>
  <c r="J42" i="4"/>
  <c r="J63" i="4"/>
  <c r="J269" i="4"/>
  <c r="J10" i="2"/>
  <c r="J15" i="4"/>
  <c r="J296" i="4"/>
  <c r="J64" i="4"/>
  <c r="J44" i="4"/>
  <c r="J68" i="4"/>
  <c r="J39" i="4"/>
  <c r="J77" i="4"/>
  <c r="J38" i="4"/>
  <c r="J43" i="4"/>
  <c r="J40" i="4"/>
  <c r="J259" i="4"/>
  <c r="J41" i="4"/>
  <c r="J105" i="4"/>
  <c r="J13" i="2"/>
  <c r="J148" i="4"/>
  <c r="J98" i="4"/>
  <c r="J37" i="4"/>
  <c r="J181" i="4"/>
  <c r="J147" i="4"/>
  <c r="J67" i="4"/>
  <c r="J55" i="4"/>
  <c r="J65" i="4"/>
  <c r="J97" i="4"/>
  <c r="J66" i="4"/>
  <c r="J56" i="4"/>
  <c r="J59" i="4"/>
  <c r="J107" i="4"/>
  <c r="J145" i="4"/>
  <c r="J60" i="4"/>
  <c r="J57" i="4"/>
  <c r="I2" i="12"/>
  <c r="H185" i="4"/>
  <c r="H184" i="4"/>
  <c r="G2" i="12"/>
  <c r="F87" i="4"/>
  <c r="F46" i="2"/>
  <c r="F52" i="4"/>
  <c r="F53" i="4"/>
  <c r="F54" i="4"/>
  <c r="F78" i="4"/>
  <c r="F248" i="4"/>
  <c r="F80" i="4"/>
  <c r="F81" i="4"/>
  <c r="F83" i="4"/>
  <c r="F84" i="4"/>
  <c r="F85" i="4"/>
  <c r="F86" i="4"/>
  <c r="F90" i="4"/>
  <c r="F91" i="4"/>
  <c r="F92" i="4"/>
  <c r="F93" i="4"/>
  <c r="F94" i="4"/>
  <c r="F96" i="4"/>
  <c r="F116" i="4"/>
  <c r="F159" i="4"/>
  <c r="F242" i="4"/>
  <c r="F245" i="4"/>
  <c r="F79" i="4"/>
  <c r="F82" i="4"/>
  <c r="F95" i="4"/>
  <c r="F110" i="4"/>
  <c r="F125" i="4"/>
  <c r="F282" i="4"/>
  <c r="F103" i="4"/>
  <c r="F156" i="4"/>
  <c r="F37" i="2"/>
  <c r="F158" i="4"/>
  <c r="F279" i="4"/>
  <c r="F200" i="4"/>
  <c r="F209" i="4"/>
  <c r="F240" i="4"/>
  <c r="F222" i="4"/>
  <c r="F72" i="4"/>
  <c r="F118" i="4"/>
  <c r="F124" i="4"/>
  <c r="F128" i="4"/>
  <c r="F155" i="4"/>
  <c r="F157" i="4"/>
  <c r="F12" i="2"/>
  <c r="F61" i="4"/>
  <c r="F75" i="4"/>
  <c r="F130" i="4"/>
  <c r="F206" i="4"/>
  <c r="F294" i="4"/>
  <c r="F230" i="4"/>
  <c r="F241" i="4"/>
  <c r="F74" i="4"/>
  <c r="F117" i="4"/>
  <c r="F285" i="4"/>
  <c r="F174" i="4"/>
  <c r="F175" i="4"/>
  <c r="F186" i="4"/>
  <c r="F187" i="4"/>
  <c r="F188" i="4"/>
  <c r="F189" i="4"/>
  <c r="F190" i="4"/>
  <c r="F191" i="4"/>
  <c r="F223" i="4"/>
  <c r="F224" i="4"/>
  <c r="F226" i="4"/>
  <c r="F227" i="4"/>
  <c r="F229" i="4"/>
  <c r="F104" i="4"/>
  <c r="F167" i="4"/>
  <c r="F179" i="4"/>
  <c r="F192" i="4"/>
  <c r="F193" i="4"/>
  <c r="F194" i="4"/>
  <c r="F196" i="4"/>
  <c r="F197" i="4"/>
  <c r="F219" i="4"/>
  <c r="F220" i="4"/>
  <c r="F101" i="4"/>
  <c r="F102" i="4"/>
  <c r="F131" i="4"/>
  <c r="F100" i="4"/>
  <c r="F290" i="4"/>
  <c r="F106" i="4"/>
  <c r="F164" i="4"/>
  <c r="F165" i="4"/>
  <c r="F166" i="4"/>
  <c r="F180" i="4"/>
  <c r="F228" i="4"/>
  <c r="F50" i="4"/>
  <c r="F146" i="4"/>
  <c r="F168" i="4"/>
  <c r="F170" i="4"/>
  <c r="F173" i="4"/>
  <c r="F178" i="4"/>
  <c r="F268" i="4"/>
  <c r="F211" i="4"/>
  <c r="F212" i="4"/>
  <c r="F51" i="4"/>
  <c r="F123" i="4"/>
  <c r="F137" i="4"/>
  <c r="F152" i="4"/>
  <c r="F153" i="4"/>
  <c r="F154" i="4"/>
  <c r="F161" i="4"/>
  <c r="F162" i="4"/>
  <c r="F169" i="4"/>
  <c r="F183" i="4"/>
  <c r="F185" i="4"/>
  <c r="F213" i="4"/>
  <c r="F7" i="2"/>
  <c r="F233" i="4"/>
  <c r="F235" i="4"/>
  <c r="F48" i="4"/>
  <c r="F76" i="4"/>
  <c r="F109" i="4"/>
  <c r="F127" i="4"/>
  <c r="F134" i="4"/>
  <c r="F141" i="4"/>
  <c r="F163" i="4"/>
  <c r="F171" i="4"/>
  <c r="F176" i="4"/>
  <c r="F160" i="4"/>
  <c r="F177" i="4"/>
  <c r="F221" i="4"/>
  <c r="F49" i="4"/>
  <c r="F295" i="4"/>
  <c r="F140" i="4"/>
  <c r="F149" i="4"/>
  <c r="F218" i="4"/>
  <c r="F272" i="4"/>
  <c r="F225" i="4"/>
  <c r="F234" i="4"/>
  <c r="F13" i="2"/>
  <c r="F260" i="4"/>
  <c r="F115" i="4"/>
  <c r="F184" i="4"/>
  <c r="F195" i="4"/>
  <c r="F232" i="4"/>
  <c r="F236" i="4"/>
  <c r="F237" i="4"/>
  <c r="F238" i="4"/>
  <c r="F261" i="4"/>
  <c r="F113" i="4"/>
  <c r="F265" i="4"/>
  <c r="F139" i="4"/>
  <c r="F258" i="4"/>
  <c r="F172" i="4"/>
  <c r="F283" i="4"/>
  <c r="F246" i="4"/>
  <c r="F286" i="4"/>
  <c r="F298" i="4"/>
  <c r="F263" i="4"/>
  <c r="F266" i="4"/>
  <c r="F252" i="4"/>
  <c r="F287" i="4"/>
  <c r="F133" i="4"/>
  <c r="F135" i="4"/>
  <c r="F13" i="4"/>
  <c r="F70" i="4"/>
  <c r="F202" i="4"/>
  <c r="F239" i="4"/>
  <c r="F243" i="4"/>
  <c r="F251" i="4"/>
  <c r="F46" i="4"/>
  <c r="F199" i="4"/>
  <c r="F111" i="4"/>
  <c r="F244" i="4"/>
  <c r="F69" i="4"/>
  <c r="F198" i="4"/>
  <c r="F45" i="4"/>
  <c r="F47" i="4"/>
  <c r="F62" i="4"/>
  <c r="F71" i="4"/>
  <c r="F42" i="4"/>
  <c r="F63" i="4"/>
  <c r="F10" i="2"/>
  <c r="F15" i="4"/>
  <c r="F296" i="4"/>
  <c r="F64" i="4"/>
  <c r="F138" i="4"/>
  <c r="F44" i="4"/>
  <c r="F68" i="4"/>
  <c r="F262" i="4"/>
  <c r="F39" i="4"/>
  <c r="F77" i="4"/>
  <c r="F38" i="4"/>
  <c r="F43" i="4"/>
  <c r="F126" i="4"/>
  <c r="F40" i="4"/>
  <c r="F41" i="4"/>
  <c r="F105" i="4"/>
  <c r="F278" i="4"/>
  <c r="F148" i="4"/>
  <c r="F98" i="4"/>
  <c r="F37" i="4"/>
  <c r="F181" i="4"/>
  <c r="F147" i="4"/>
  <c r="F67" i="4"/>
  <c r="F55" i="4"/>
  <c r="F65" i="4"/>
  <c r="F97" i="4"/>
  <c r="F66" i="4"/>
  <c r="F56" i="4"/>
  <c r="F59" i="4"/>
  <c r="F107" i="4"/>
  <c r="F50" i="2"/>
  <c r="F145" i="4"/>
  <c r="F60" i="4"/>
  <c r="F57" i="4"/>
  <c r="F58" i="4"/>
  <c r="F299" i="4"/>
  <c r="F300" i="4"/>
  <c r="F301" i="4"/>
  <c r="F302" i="4"/>
  <c r="F305" i="4"/>
  <c r="F306" i="4"/>
  <c r="F307" i="4"/>
  <c r="F308" i="4"/>
  <c r="F304" i="4"/>
  <c r="F309" i="4"/>
  <c r="F312" i="4"/>
  <c r="F313" i="4"/>
  <c r="F314" i="4"/>
  <c r="F310" i="4"/>
  <c r="F51" i="2"/>
  <c r="F311" i="4"/>
  <c r="F347" i="4"/>
  <c r="F332" i="4"/>
  <c r="F330" i="4"/>
  <c r="F331" i="4"/>
  <c r="F324" i="4"/>
  <c r="F318" i="4"/>
  <c r="F336" i="4"/>
  <c r="F339" i="4"/>
  <c r="F342" i="4"/>
  <c r="F344" i="4"/>
  <c r="F335" i="4"/>
  <c r="F338" i="4"/>
  <c r="F337" i="4"/>
  <c r="F340" i="4"/>
  <c r="F320" i="4"/>
  <c r="F321" i="4"/>
  <c r="F322" i="4"/>
  <c r="F323" i="4"/>
  <c r="F341" i="4"/>
  <c r="F343" i="4"/>
  <c r="F345" i="4"/>
  <c r="F325" i="4"/>
  <c r="F326" i="4"/>
  <c r="F327" i="4"/>
  <c r="F328" i="4"/>
  <c r="F329" i="4"/>
  <c r="F346" i="4"/>
  <c r="F319" i="4"/>
  <c r="F333" i="4"/>
  <c r="F334" i="4"/>
  <c r="F317" i="4"/>
  <c r="F315" i="4"/>
  <c r="F316" i="4"/>
  <c r="F365" i="4"/>
  <c r="F348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49" i="4"/>
  <c r="F350" i="4"/>
  <c r="F351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9" i="4"/>
  <c r="F378" i="4"/>
  <c r="F381" i="4"/>
  <c r="F390" i="4"/>
  <c r="F389" i="4"/>
  <c r="F387" i="4"/>
  <c r="F388" i="4"/>
  <c r="F391" i="4"/>
  <c r="F392" i="4"/>
  <c r="F393" i="4"/>
  <c r="F394" i="4"/>
  <c r="F395" i="4"/>
  <c r="F396" i="4"/>
  <c r="F397" i="4"/>
  <c r="F398" i="4"/>
  <c r="F399" i="4"/>
  <c r="F400" i="4"/>
  <c r="F402" i="4"/>
  <c r="F403" i="4"/>
  <c r="F404" i="4"/>
  <c r="F405" i="4"/>
  <c r="F406" i="4"/>
  <c r="F407" i="4"/>
  <c r="F408" i="4"/>
  <c r="F409" i="4"/>
  <c r="F410" i="4"/>
  <c r="F411" i="4"/>
  <c r="F401" i="4"/>
  <c r="E2" i="12"/>
  <c r="C2" i="12"/>
  <c r="E87" i="4"/>
  <c r="E46" i="2"/>
  <c r="E52" i="4"/>
  <c r="E53" i="4"/>
  <c r="E54" i="4"/>
  <c r="E78" i="4"/>
  <c r="E248" i="4"/>
  <c r="E80" i="4"/>
  <c r="E81" i="4"/>
  <c r="E83" i="4"/>
  <c r="E84" i="4"/>
  <c r="E85" i="4"/>
  <c r="E86" i="4"/>
  <c r="E90" i="4"/>
  <c r="E91" i="4"/>
  <c r="E92" i="4"/>
  <c r="E93" i="4"/>
  <c r="E94" i="4"/>
  <c r="E96" i="4"/>
  <c r="E116" i="4"/>
  <c r="E159" i="4"/>
  <c r="E242" i="4"/>
  <c r="E245" i="4"/>
  <c r="E79" i="4"/>
  <c r="E82" i="4"/>
  <c r="E95" i="4"/>
  <c r="E110" i="4"/>
  <c r="E125" i="4"/>
  <c r="E282" i="4"/>
  <c r="E103" i="4"/>
  <c r="E156" i="4"/>
  <c r="E37" i="2"/>
  <c r="E158" i="4"/>
  <c r="E279" i="4"/>
  <c r="E200" i="4"/>
  <c r="E209" i="4"/>
  <c r="E240" i="4"/>
  <c r="E222" i="4"/>
  <c r="E72" i="4"/>
  <c r="E118" i="4"/>
  <c r="E124" i="4"/>
  <c r="E128" i="4"/>
  <c r="E155" i="4"/>
  <c r="E157" i="4"/>
  <c r="E12" i="2"/>
  <c r="E61" i="4"/>
  <c r="E75" i="4"/>
  <c r="E130" i="4"/>
  <c r="E206" i="4"/>
  <c r="E294" i="4"/>
  <c r="E230" i="4"/>
  <c r="E241" i="4"/>
  <c r="E74" i="4"/>
  <c r="E117" i="4"/>
  <c r="E285" i="4"/>
  <c r="E174" i="4"/>
  <c r="E175" i="4"/>
  <c r="E186" i="4"/>
  <c r="E187" i="4"/>
  <c r="E188" i="4"/>
  <c r="E189" i="4"/>
  <c r="E190" i="4"/>
  <c r="E191" i="4"/>
  <c r="E223" i="4"/>
  <c r="E224" i="4"/>
  <c r="E226" i="4"/>
  <c r="E227" i="4"/>
  <c r="E229" i="4"/>
  <c r="E104" i="4"/>
  <c r="E167" i="4"/>
  <c r="E179" i="4"/>
  <c r="E192" i="4"/>
  <c r="E193" i="4"/>
  <c r="E194" i="4"/>
  <c r="E196" i="4"/>
  <c r="E197" i="4"/>
  <c r="E219" i="4"/>
  <c r="E220" i="4"/>
  <c r="E101" i="4"/>
  <c r="E102" i="4"/>
  <c r="E131" i="4"/>
  <c r="E100" i="4"/>
  <c r="E290" i="4"/>
  <c r="E106" i="4"/>
  <c r="E164" i="4"/>
  <c r="E165" i="4"/>
  <c r="E166" i="4"/>
  <c r="E180" i="4"/>
  <c r="E228" i="4"/>
  <c r="E50" i="4"/>
  <c r="E146" i="4"/>
  <c r="E168" i="4"/>
  <c r="E170" i="4"/>
  <c r="E173" i="4"/>
  <c r="E178" i="4"/>
  <c r="E268" i="4"/>
  <c r="E211" i="4"/>
  <c r="E212" i="4"/>
  <c r="E51" i="4"/>
  <c r="E123" i="4"/>
  <c r="E137" i="4"/>
  <c r="E152" i="4"/>
  <c r="E153" i="4"/>
  <c r="E154" i="4"/>
  <c r="E161" i="4"/>
  <c r="E162" i="4"/>
  <c r="E169" i="4"/>
  <c r="E183" i="4"/>
  <c r="E185" i="4"/>
  <c r="E213" i="4"/>
  <c r="E7" i="2"/>
  <c r="E233" i="4"/>
  <c r="E235" i="4"/>
  <c r="E48" i="4"/>
  <c r="E76" i="4"/>
  <c r="E109" i="4"/>
  <c r="E127" i="4"/>
  <c r="E134" i="4"/>
  <c r="E141" i="4"/>
  <c r="E163" i="4"/>
  <c r="E171" i="4"/>
  <c r="E176" i="4"/>
  <c r="E160" i="4"/>
  <c r="E177" i="4"/>
  <c r="E221" i="4"/>
  <c r="E49" i="4"/>
  <c r="E295" i="4"/>
  <c r="E140" i="4"/>
  <c r="E149" i="4"/>
  <c r="E218" i="4"/>
  <c r="E272" i="4"/>
  <c r="E225" i="4"/>
  <c r="E234" i="4"/>
  <c r="E13" i="2"/>
  <c r="E260" i="4"/>
  <c r="E115" i="4"/>
  <c r="E184" i="4"/>
  <c r="E195" i="4"/>
  <c r="E232" i="4"/>
  <c r="E236" i="4"/>
  <c r="E237" i="4"/>
  <c r="E238" i="4"/>
  <c r="E261" i="4"/>
  <c r="E113" i="4"/>
  <c r="E265" i="4"/>
  <c r="E139" i="4"/>
  <c r="E258" i="4"/>
  <c r="E172" i="4"/>
  <c r="E283" i="4"/>
  <c r="E246" i="4"/>
  <c r="E286" i="4"/>
  <c r="E298" i="4"/>
  <c r="E263" i="4"/>
  <c r="E266" i="4"/>
  <c r="E252" i="4"/>
  <c r="E287" i="4"/>
  <c r="E133" i="4"/>
  <c r="E135" i="4"/>
  <c r="E13" i="4"/>
  <c r="E70" i="4"/>
  <c r="E202" i="4"/>
  <c r="E239" i="4"/>
  <c r="E243" i="4"/>
  <c r="E251" i="4"/>
  <c r="E46" i="4"/>
  <c r="E199" i="4"/>
  <c r="E111" i="4"/>
  <c r="E244" i="4"/>
  <c r="E69" i="4"/>
  <c r="E198" i="4"/>
  <c r="E45" i="4"/>
  <c r="E47" i="4"/>
  <c r="E62" i="4"/>
  <c r="E71" i="4"/>
  <c r="E42" i="4"/>
  <c r="E63" i="4"/>
  <c r="E10" i="2"/>
  <c r="E15" i="4"/>
  <c r="E296" i="4"/>
  <c r="E64" i="4"/>
  <c r="E138" i="4"/>
  <c r="E44" i="4"/>
  <c r="E68" i="4"/>
  <c r="E262" i="4"/>
  <c r="E39" i="4"/>
  <c r="E77" i="4"/>
  <c r="E38" i="4"/>
  <c r="E43" i="4"/>
  <c r="E126" i="4"/>
  <c r="E40" i="4"/>
  <c r="E41" i="4"/>
  <c r="E105" i="4"/>
  <c r="E278" i="4"/>
  <c r="E148" i="4"/>
  <c r="E98" i="4"/>
  <c r="E37" i="4"/>
  <c r="E181" i="4"/>
  <c r="E147" i="4"/>
  <c r="E67" i="4"/>
  <c r="E55" i="4"/>
  <c r="E65" i="4"/>
  <c r="E97" i="4"/>
  <c r="E66" i="4"/>
  <c r="E56" i="4"/>
  <c r="E59" i="4"/>
  <c r="E107" i="4"/>
  <c r="E50" i="2"/>
  <c r="E145" i="4"/>
  <c r="E60" i="4"/>
  <c r="E57" i="4"/>
  <c r="E58" i="4"/>
  <c r="E299" i="4"/>
  <c r="E300" i="4"/>
  <c r="E301" i="4"/>
  <c r="E302" i="4"/>
  <c r="E305" i="4"/>
  <c r="E306" i="4"/>
  <c r="E307" i="4"/>
  <c r="E308" i="4"/>
  <c r="E304" i="4"/>
  <c r="E309" i="4"/>
  <c r="E312" i="4"/>
  <c r="E313" i="4"/>
  <c r="E314" i="4"/>
  <c r="E310" i="4"/>
  <c r="E51" i="2"/>
  <c r="E311" i="4"/>
  <c r="E347" i="4"/>
  <c r="E332" i="4"/>
  <c r="E330" i="4"/>
  <c r="E331" i="4"/>
  <c r="E324" i="4"/>
  <c r="E318" i="4"/>
  <c r="E336" i="4"/>
  <c r="E339" i="4"/>
  <c r="E342" i="4"/>
  <c r="E344" i="4"/>
  <c r="E335" i="4"/>
  <c r="E338" i="4"/>
  <c r="E337" i="4"/>
  <c r="E340" i="4"/>
  <c r="E320" i="4"/>
  <c r="E321" i="4"/>
  <c r="E322" i="4"/>
  <c r="E323" i="4"/>
  <c r="E341" i="4"/>
  <c r="E343" i="4"/>
  <c r="E345" i="4"/>
  <c r="E325" i="4"/>
  <c r="E326" i="4"/>
  <c r="E327" i="4"/>
  <c r="E328" i="4"/>
  <c r="E329" i="4"/>
  <c r="E346" i="4"/>
  <c r="E319" i="4"/>
  <c r="E333" i="4"/>
  <c r="E334" i="4"/>
  <c r="E317" i="4"/>
  <c r="E315" i="4"/>
  <c r="E316" i="4"/>
  <c r="E365" i="4"/>
  <c r="E348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49" i="4"/>
  <c r="E350" i="4"/>
  <c r="E351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9" i="4"/>
  <c r="E378" i="4"/>
  <c r="E381" i="4"/>
  <c r="E390" i="4"/>
  <c r="E389" i="4"/>
  <c r="E387" i="4"/>
  <c r="E388" i="4"/>
  <c r="E391" i="4"/>
  <c r="E392" i="4"/>
  <c r="E393" i="4"/>
  <c r="E394" i="4"/>
  <c r="E395" i="4"/>
  <c r="E396" i="4"/>
  <c r="E397" i="4"/>
  <c r="E398" i="4"/>
  <c r="E399" i="4"/>
  <c r="E400" i="4"/>
  <c r="E402" i="4"/>
  <c r="E403" i="4"/>
  <c r="E404" i="4"/>
  <c r="E405" i="4"/>
  <c r="E406" i="4"/>
  <c r="E407" i="4"/>
  <c r="E408" i="4"/>
  <c r="E409" i="4"/>
  <c r="E410" i="4"/>
  <c r="E411" i="4"/>
  <c r="E401" i="4"/>
  <c r="D2" i="12"/>
  <c r="F2" i="12"/>
  <c r="I7" i="4"/>
  <c r="I20" i="4"/>
  <c r="I34" i="4"/>
  <c r="I35" i="4"/>
  <c r="I289" i="4"/>
  <c r="I6" i="4"/>
  <c r="I78" i="4"/>
  <c r="I248" i="4"/>
  <c r="I80" i="4"/>
  <c r="I81" i="4"/>
  <c r="I83" i="4"/>
  <c r="I84" i="4"/>
  <c r="I85" i="4"/>
  <c r="I86" i="4"/>
  <c r="I8" i="4"/>
  <c r="I91" i="4"/>
  <c r="I92" i="4"/>
  <c r="I93" i="4"/>
  <c r="I94" i="4"/>
  <c r="I96" i="4"/>
  <c r="I10" i="4"/>
  <c r="I11" i="4"/>
  <c r="I12" i="4"/>
  <c r="I116" i="4"/>
  <c r="I16" i="4"/>
  <c r="I17" i="4"/>
  <c r="I18" i="4"/>
  <c r="I159" i="4"/>
  <c r="I36" i="4"/>
  <c r="I245" i="4"/>
  <c r="I5" i="4"/>
  <c r="I79" i="4"/>
  <c r="I82" i="4"/>
  <c r="I95" i="4"/>
  <c r="I254" i="4"/>
  <c r="I110" i="4"/>
  <c r="I264" i="4"/>
  <c r="I26" i="2"/>
  <c r="I253" i="4"/>
  <c r="I125" i="4"/>
  <c r="I282" i="4"/>
  <c r="I274" i="4"/>
  <c r="I108" i="4"/>
  <c r="I121" i="4"/>
  <c r="I132" i="4"/>
  <c r="I143" i="4"/>
  <c r="I144" i="4"/>
  <c r="I156" i="4"/>
  <c r="I279" i="4"/>
  <c r="I182" i="4"/>
  <c r="I200" i="4"/>
  <c r="I201" i="4"/>
  <c r="I203" i="4"/>
  <c r="I270" i="4"/>
  <c r="I209" i="4"/>
  <c r="I214" i="4"/>
  <c r="I88" i="4"/>
  <c r="I142" i="4"/>
  <c r="I207" i="4"/>
  <c r="I222" i="4"/>
  <c r="I72" i="4"/>
  <c r="I73" i="4"/>
  <c r="I256" i="4"/>
  <c r="I277" i="4"/>
  <c r="I114" i="4"/>
  <c r="I118" i="4"/>
  <c r="I122" i="4"/>
  <c r="I128" i="4"/>
  <c r="I155" i="4"/>
  <c r="I157" i="4"/>
  <c r="I205" i="4"/>
  <c r="I208" i="4"/>
  <c r="I210" i="4"/>
  <c r="I231" i="4"/>
  <c r="I75" i="4"/>
  <c r="I89" i="4"/>
  <c r="I291" i="4"/>
  <c r="I120" i="4"/>
  <c r="I19" i="4"/>
  <c r="I281" i="4"/>
  <c r="I247" i="4"/>
  <c r="I275" i="4"/>
  <c r="I204" i="4"/>
  <c r="I206" i="4"/>
  <c r="I32" i="4"/>
  <c r="I294" i="4"/>
  <c r="I230" i="4"/>
  <c r="I241" i="4"/>
  <c r="I74" i="4"/>
  <c r="I276" i="4"/>
  <c r="I117" i="4"/>
  <c r="I129" i="4"/>
  <c r="I136" i="4"/>
  <c r="I285" i="4"/>
  <c r="I174" i="4"/>
  <c r="I175" i="4"/>
  <c r="I186" i="4"/>
  <c r="I188" i="4"/>
  <c r="I189" i="4"/>
  <c r="I191" i="4"/>
  <c r="I223" i="4"/>
  <c r="I224" i="4"/>
  <c r="I226" i="4"/>
  <c r="I227" i="4"/>
  <c r="I229" i="4"/>
  <c r="I104" i="4"/>
  <c r="I167" i="4"/>
  <c r="I179" i="4"/>
  <c r="I192" i="4"/>
  <c r="I194" i="4"/>
  <c r="I196" i="4"/>
  <c r="I197" i="4"/>
  <c r="I220" i="4"/>
  <c r="I101" i="4"/>
  <c r="I131" i="4"/>
  <c r="I100" i="4"/>
  <c r="I290" i="4"/>
  <c r="I106" i="4"/>
  <c r="I164" i="4"/>
  <c r="I165" i="4"/>
  <c r="I166" i="4"/>
  <c r="I180" i="4"/>
  <c r="I228" i="4"/>
  <c r="I50" i="4"/>
  <c r="I146" i="4"/>
  <c r="I168" i="4"/>
  <c r="I170" i="4"/>
  <c r="I173" i="4"/>
  <c r="I178" i="4"/>
  <c r="I268" i="4"/>
  <c r="I211" i="4"/>
  <c r="I212" i="4"/>
  <c r="I51" i="4"/>
  <c r="I123" i="4"/>
  <c r="I137" i="4"/>
  <c r="I152" i="4"/>
  <c r="I153" i="4"/>
  <c r="I154" i="4"/>
  <c r="I169" i="4"/>
  <c r="I183" i="4"/>
  <c r="I185" i="4"/>
  <c r="I213" i="4"/>
  <c r="I233" i="4"/>
  <c r="I235" i="4"/>
  <c r="I48" i="4"/>
  <c r="I76" i="4"/>
  <c r="I141" i="4"/>
  <c r="I21" i="4"/>
  <c r="I171" i="4"/>
  <c r="I176" i="4"/>
  <c r="I177" i="4"/>
  <c r="I221" i="4"/>
  <c r="I49" i="4"/>
  <c r="I295" i="4"/>
  <c r="I149" i="4"/>
  <c r="I218" i="4"/>
  <c r="I272" i="4"/>
  <c r="I225" i="4"/>
  <c r="I234" i="4"/>
  <c r="I115" i="4"/>
  <c r="I184" i="4"/>
  <c r="I232" i="4"/>
  <c r="I236" i="4"/>
  <c r="I237" i="4"/>
  <c r="I238" i="4"/>
  <c r="I113" i="4"/>
  <c r="I139" i="4"/>
  <c r="I30" i="4"/>
  <c r="I258" i="4"/>
  <c r="I172" i="4"/>
  <c r="I283" i="4"/>
  <c r="I246" i="4"/>
  <c r="I286" i="4"/>
  <c r="I252" i="4"/>
  <c r="I133" i="4"/>
  <c r="I135" i="4"/>
  <c r="I9" i="4"/>
  <c r="I13" i="4"/>
  <c r="I70" i="4"/>
  <c r="I202" i="4"/>
  <c r="I239" i="4"/>
  <c r="I243" i="4"/>
  <c r="I251" i="4"/>
  <c r="I2" i="4"/>
  <c r="I46" i="4"/>
  <c r="I199" i="4"/>
  <c r="I111" i="4"/>
  <c r="I244" i="4"/>
  <c r="I198" i="4"/>
  <c r="I45" i="4"/>
  <c r="I47" i="4"/>
  <c r="I62" i="4"/>
  <c r="I71" i="4"/>
  <c r="I42" i="4"/>
  <c r="I63" i="4"/>
  <c r="I269" i="4"/>
  <c r="I10" i="2"/>
  <c r="I15" i="4"/>
  <c r="I296" i="4"/>
  <c r="I64" i="4"/>
  <c r="I44" i="4"/>
  <c r="I68" i="4"/>
  <c r="I39" i="4"/>
  <c r="I77" i="4"/>
  <c r="I38" i="4"/>
  <c r="I43" i="4"/>
  <c r="I40" i="4"/>
  <c r="I259" i="4"/>
  <c r="I41" i="4"/>
  <c r="I105" i="4"/>
  <c r="I13" i="2"/>
  <c r="I148" i="4"/>
  <c r="I98" i="4"/>
  <c r="I37" i="4"/>
  <c r="I181" i="4"/>
  <c r="I147" i="4"/>
  <c r="I67" i="4"/>
  <c r="I55" i="4"/>
  <c r="I65" i="4"/>
  <c r="I97" i="4"/>
  <c r="I66" i="4"/>
  <c r="I56" i="4"/>
  <c r="I59" i="4"/>
  <c r="I107" i="4"/>
  <c r="I145" i="4"/>
  <c r="I60" i="4"/>
  <c r="I57" i="4"/>
  <c r="H2" i="12"/>
  <c r="J2" i="12"/>
  <c r="M61" i="4"/>
  <c r="M161" i="4"/>
  <c r="M119" i="4"/>
  <c r="M127" i="4"/>
  <c r="M134" i="4"/>
  <c r="M163" i="4"/>
  <c r="M160" i="4"/>
  <c r="M250" i="4"/>
  <c r="M390" i="4"/>
  <c r="M389" i="4"/>
  <c r="M387" i="4"/>
  <c r="M388" i="4"/>
  <c r="M391" i="4"/>
  <c r="M392" i="4"/>
  <c r="M393" i="4"/>
  <c r="M394" i="4"/>
  <c r="M395" i="4"/>
  <c r="M396" i="4"/>
  <c r="M397" i="4"/>
  <c r="M398" i="4"/>
  <c r="M399" i="4"/>
  <c r="M400" i="4"/>
  <c r="M402" i="4"/>
  <c r="M403" i="4"/>
  <c r="M404" i="4"/>
  <c r="M405" i="4"/>
  <c r="M406" i="4"/>
  <c r="M407" i="4"/>
  <c r="M408" i="4"/>
  <c r="M409" i="4"/>
  <c r="M410" i="4"/>
  <c r="M411" i="4"/>
  <c r="M401" i="4"/>
  <c r="L2" i="12"/>
  <c r="N2" i="12"/>
  <c r="Q289" i="4"/>
  <c r="Q293" i="4"/>
  <c r="Q255" i="4"/>
  <c r="P2" i="12"/>
  <c r="R2" i="12"/>
  <c r="V2" i="12"/>
  <c r="Y342" i="4"/>
  <c r="Y369" i="4"/>
  <c r="B386" i="4"/>
  <c r="C386" i="4"/>
  <c r="B385" i="4"/>
  <c r="C385" i="4"/>
  <c r="B384" i="4"/>
  <c r="C384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299" i="4"/>
  <c r="AI300" i="4"/>
  <c r="AI301" i="4"/>
  <c r="AI302" i="4"/>
  <c r="AI306" i="4"/>
  <c r="AI307" i="4"/>
  <c r="AI308" i="4"/>
  <c r="AI309" i="4"/>
  <c r="AI312" i="4"/>
  <c r="AI313" i="4"/>
  <c r="AI314" i="4"/>
  <c r="AI310" i="4"/>
  <c r="AI311" i="4"/>
  <c r="AI347" i="4"/>
  <c r="AI332" i="4"/>
  <c r="AI330" i="4"/>
  <c r="AI331" i="4"/>
  <c r="AI324" i="4"/>
  <c r="AI318" i="4"/>
  <c r="AI336" i="4"/>
  <c r="AI339" i="4"/>
  <c r="AI342" i="4"/>
  <c r="AI344" i="4"/>
  <c r="AI335" i="4"/>
  <c r="AI338" i="4"/>
  <c r="AI337" i="4"/>
  <c r="AI340" i="4"/>
  <c r="AI320" i="4"/>
  <c r="AI321" i="4"/>
  <c r="AI322" i="4"/>
  <c r="AI323" i="4"/>
  <c r="AI341" i="4"/>
  <c r="AI343" i="4"/>
  <c r="AI345" i="4"/>
  <c r="AI325" i="4"/>
  <c r="AI326" i="4"/>
  <c r="AI327" i="4"/>
  <c r="AI328" i="4"/>
  <c r="AI329" i="4"/>
  <c r="AI346" i="4"/>
  <c r="AI319" i="4"/>
  <c r="AI333" i="4"/>
  <c r="AI334" i="4"/>
  <c r="AI317" i="4"/>
  <c r="AI315" i="4"/>
  <c r="AI316" i="4"/>
  <c r="AI365" i="4"/>
  <c r="AI348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49" i="4"/>
  <c r="AI350" i="4"/>
  <c r="AI351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9" i="4"/>
  <c r="AI378" i="4"/>
  <c r="AI381" i="4"/>
  <c r="AI386" i="4"/>
  <c r="AI385" i="4"/>
  <c r="AI383" i="4"/>
  <c r="AI384" i="4"/>
  <c r="AI382" i="4"/>
  <c r="AI390" i="4"/>
  <c r="AI389" i="4"/>
  <c r="AI387" i="4"/>
  <c r="AI388" i="4"/>
  <c r="AI391" i="4"/>
  <c r="AI392" i="4"/>
  <c r="AI393" i="4"/>
  <c r="AI394" i="4"/>
  <c r="AI395" i="4"/>
  <c r="AI396" i="4"/>
  <c r="AI397" i="4"/>
  <c r="AI398" i="4"/>
  <c r="AI399" i="4"/>
  <c r="AI400" i="4"/>
  <c r="AI402" i="4"/>
  <c r="AI403" i="4"/>
  <c r="AI404" i="4"/>
  <c r="AI405" i="4"/>
  <c r="AI406" i="4"/>
  <c r="AI407" i="4"/>
  <c r="AI408" i="4"/>
  <c r="AI409" i="4"/>
  <c r="AI410" i="4"/>
  <c r="AI411" i="4"/>
  <c r="AI401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5" i="4"/>
  <c r="AC273" i="4"/>
  <c r="AC119" i="4"/>
  <c r="AC127" i="4"/>
  <c r="AC130" i="4"/>
  <c r="AC134" i="4"/>
  <c r="AC26" i="4"/>
  <c r="AC28" i="4"/>
  <c r="AC29" i="4"/>
  <c r="AC291" i="4"/>
  <c r="AC260" i="4"/>
  <c r="AC124" i="4"/>
  <c r="AC288" i="4"/>
  <c r="AC48" i="4"/>
  <c r="AC49" i="4"/>
  <c r="AC50" i="4"/>
  <c r="AC51" i="4"/>
  <c r="AC52" i="4"/>
  <c r="AC54" i="4"/>
  <c r="AC248" i="4"/>
  <c r="AC79" i="4"/>
  <c r="AC81" i="4"/>
  <c r="AC82" i="4"/>
  <c r="AC84" i="4"/>
  <c r="AC85" i="4"/>
  <c r="AC86" i="4"/>
  <c r="AC90" i="4"/>
  <c r="AC91" i="4"/>
  <c r="AC92" i="4"/>
  <c r="AC93" i="4"/>
  <c r="AC94" i="4"/>
  <c r="AC95" i="4"/>
  <c r="AC96" i="4"/>
  <c r="AC258" i="4"/>
  <c r="AC118" i="4"/>
  <c r="AC242" i="4"/>
  <c r="AC245" i="4"/>
  <c r="AC78" i="4"/>
  <c r="AC80" i="4"/>
  <c r="AC83" i="4"/>
  <c r="AC249" i="4"/>
  <c r="AC250" i="4"/>
  <c r="AC251" i="4"/>
  <c r="AC252" i="4"/>
  <c r="AC9" i="4"/>
  <c r="AC295" i="4"/>
  <c r="AC110" i="4"/>
  <c r="AC114" i="4"/>
  <c r="AC122" i="4"/>
  <c r="AC17" i="4"/>
  <c r="AC148" i="4"/>
  <c r="AC152" i="4"/>
  <c r="AC153" i="4"/>
  <c r="AC154" i="4"/>
  <c r="AC155" i="4"/>
  <c r="AC156" i="4"/>
  <c r="AC157" i="4"/>
  <c r="AC159" i="4"/>
  <c r="AC279" i="4"/>
  <c r="AC22" i="4"/>
  <c r="AC174" i="4"/>
  <c r="AC175" i="4"/>
  <c r="AC186" i="4"/>
  <c r="AC187" i="4"/>
  <c r="AC188" i="4"/>
  <c r="AC189" i="4"/>
  <c r="AC190" i="4"/>
  <c r="AC191" i="4"/>
  <c r="AC208" i="4"/>
  <c r="AC296" i="4"/>
  <c r="AC221" i="4"/>
  <c r="AC222" i="4"/>
  <c r="AC223" i="4"/>
  <c r="AC224" i="4"/>
  <c r="AC225" i="4"/>
  <c r="AC226" i="4"/>
  <c r="AC227" i="4"/>
  <c r="AC228" i="4"/>
  <c r="AC229" i="4"/>
  <c r="AC230" i="4"/>
  <c r="AC231" i="4"/>
  <c r="AC241" i="4"/>
  <c r="AC37" i="4"/>
  <c r="AC38" i="4"/>
  <c r="AC39" i="4"/>
  <c r="AC40" i="4"/>
  <c r="AC41" i="4"/>
  <c r="AC246" i="4"/>
  <c r="AC46" i="4"/>
  <c r="AC53" i="4"/>
  <c r="AC55" i="4"/>
  <c r="AC56" i="4"/>
  <c r="AC57" i="4"/>
  <c r="AC58" i="4"/>
  <c r="AC59" i="4"/>
  <c r="AC60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247" i="4"/>
  <c r="AC74" i="4"/>
  <c r="AC75" i="4"/>
  <c r="AC76" i="4"/>
  <c r="AC5" i="4"/>
  <c r="AC6" i="4"/>
  <c r="AC7" i="4"/>
  <c r="AC77" i="4"/>
  <c r="AC88" i="4"/>
  <c r="AC89" i="4"/>
  <c r="AC8" i="4"/>
  <c r="AC97" i="4"/>
  <c r="AC101" i="4"/>
  <c r="AC102" i="4"/>
  <c r="AC253" i="4"/>
  <c r="AC274" i="4"/>
  <c r="AC254" i="4"/>
  <c r="AC10" i="4"/>
  <c r="AC11" i="4"/>
  <c r="AC12" i="4"/>
  <c r="AC275" i="4"/>
  <c r="AC104" i="4"/>
  <c r="AC290" i="4"/>
  <c r="AC105" i="4"/>
  <c r="AC106" i="4"/>
  <c r="AC107" i="4"/>
  <c r="AC255" i="4"/>
  <c r="AC108" i="4"/>
  <c r="AC276" i="4"/>
  <c r="AC277" i="4"/>
  <c r="AC111" i="4"/>
  <c r="AC112" i="4"/>
  <c r="AC116" i="4"/>
  <c r="AC117" i="4"/>
  <c r="AC16" i="4"/>
  <c r="AC120" i="4"/>
  <c r="AC121" i="4"/>
  <c r="AC123" i="4"/>
  <c r="AC261" i="4"/>
  <c r="AC262" i="4"/>
  <c r="AC125" i="4"/>
  <c r="AC263" i="4"/>
  <c r="AC128" i="4"/>
  <c r="AC18" i="4"/>
  <c r="AC129" i="4"/>
  <c r="AC131" i="4"/>
  <c r="AC132" i="4"/>
  <c r="AC264" i="4"/>
  <c r="AC133" i="4"/>
  <c r="AC265" i="4"/>
  <c r="AC135" i="4"/>
  <c r="AC266" i="4"/>
  <c r="AC137" i="4"/>
  <c r="AC138" i="4"/>
  <c r="AC19" i="4"/>
  <c r="AC141" i="4"/>
  <c r="AC142" i="4"/>
  <c r="AC143" i="4"/>
  <c r="AC144" i="4"/>
  <c r="AC145" i="4"/>
  <c r="AC146" i="4"/>
  <c r="AC147" i="4"/>
  <c r="AC149" i="4"/>
  <c r="AC4" i="4"/>
  <c r="AC285" i="4"/>
  <c r="AC21" i="4"/>
  <c r="AC23" i="4"/>
  <c r="AC24" i="4"/>
  <c r="AC27" i="4"/>
  <c r="AC164" i="4"/>
  <c r="AC165" i="4"/>
  <c r="AC166" i="4"/>
  <c r="AC167" i="4"/>
  <c r="AC168" i="4"/>
  <c r="AC169" i="4"/>
  <c r="AC170" i="4"/>
  <c r="AC171" i="4"/>
  <c r="AC176" i="4"/>
  <c r="AC177" i="4"/>
  <c r="AC30" i="4"/>
  <c r="AC178" i="4"/>
  <c r="AC179" i="4"/>
  <c r="AC180" i="4"/>
  <c r="AC181" i="4"/>
  <c r="AC268" i="4"/>
  <c r="AC182" i="4"/>
  <c r="AC183" i="4"/>
  <c r="AC184" i="4"/>
  <c r="AC185" i="4"/>
  <c r="AC192" i="4"/>
  <c r="AC193" i="4"/>
  <c r="AC194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70" i="4"/>
  <c r="AC31" i="4"/>
  <c r="AC32" i="4"/>
  <c r="AC33" i="4"/>
  <c r="AC209" i="4"/>
  <c r="AC210" i="4"/>
  <c r="AC34" i="4"/>
  <c r="AC35" i="4"/>
  <c r="AC36" i="4"/>
  <c r="AC280" i="4"/>
  <c r="AC214" i="4"/>
  <c r="AC281" i="4"/>
  <c r="AC218" i="4"/>
  <c r="AC272" i="4"/>
  <c r="AC282" i="4"/>
  <c r="AC232" i="4"/>
  <c r="AC233" i="4"/>
  <c r="AC234" i="4"/>
  <c r="AC235" i="4"/>
  <c r="AC236" i="4"/>
  <c r="AC237" i="4"/>
  <c r="AC238" i="4"/>
  <c r="AC239" i="4"/>
  <c r="AC243" i="4"/>
  <c r="AC244" i="4"/>
  <c r="AC283" i="4"/>
  <c r="AC42" i="4"/>
  <c r="AC43" i="4"/>
  <c r="AC44" i="4"/>
  <c r="AC45" i="4"/>
  <c r="AC47" i="4"/>
  <c r="AC98" i="4"/>
  <c r="AC256" i="4"/>
  <c r="AC257" i="4"/>
  <c r="AC113" i="4"/>
  <c r="AC278" i="4"/>
  <c r="AC139" i="4"/>
  <c r="AC20" i="4"/>
  <c r="AC172" i="4"/>
  <c r="AC173" i="4"/>
  <c r="AC195" i="4"/>
  <c r="AC213" i="4"/>
  <c r="AC292" i="4"/>
  <c r="AC14" i="4"/>
  <c r="AC284" i="4"/>
  <c r="AC2" i="4"/>
  <c r="AC286" i="4"/>
  <c r="AC287" i="4"/>
  <c r="AC269" i="4"/>
  <c r="AC211" i="4"/>
  <c r="AC212" i="4"/>
  <c r="AC13" i="4"/>
  <c r="AC115" i="4"/>
  <c r="AC3" i="4"/>
  <c r="AC15" i="4"/>
  <c r="AC126" i="4"/>
  <c r="AC136" i="4"/>
  <c r="AC298" i="4"/>
  <c r="AC293" i="4"/>
  <c r="AC294" i="4"/>
  <c r="AC289" i="4"/>
  <c r="AC100" i="4"/>
  <c r="AC161" i="4"/>
  <c r="AC271" i="4"/>
  <c r="AC61" i="4"/>
  <c r="AC160" i="4"/>
  <c r="AC162" i="4"/>
  <c r="AC163" i="4"/>
  <c r="AC297" i="4"/>
  <c r="AC103" i="4"/>
  <c r="AC150" i="4"/>
  <c r="AC151" i="4"/>
  <c r="AC267" i="4"/>
  <c r="AC158" i="4"/>
  <c r="AC219" i="4"/>
  <c r="AC220" i="4"/>
  <c r="AC240" i="4"/>
  <c r="AC109" i="4"/>
  <c r="AC140" i="4"/>
  <c r="AC259" i="4"/>
  <c r="AC302" i="4"/>
  <c r="AC301" i="4"/>
  <c r="AC299" i="4"/>
  <c r="AC300" i="4"/>
  <c r="AC304" i="4"/>
  <c r="AC309" i="4"/>
  <c r="AC312" i="4"/>
  <c r="AC313" i="4"/>
  <c r="AC314" i="4"/>
  <c r="AC305" i="4"/>
  <c r="AC306" i="4"/>
  <c r="AC307" i="4"/>
  <c r="AC308" i="4"/>
  <c r="AC311" i="4"/>
  <c r="AC310" i="4"/>
  <c r="AC333" i="4"/>
  <c r="AC334" i="4"/>
  <c r="AC340" i="4"/>
  <c r="AC319" i="4"/>
  <c r="AC320" i="4"/>
  <c r="AC321" i="4"/>
  <c r="AC322" i="4"/>
  <c r="AC323" i="4"/>
  <c r="AC325" i="4"/>
  <c r="AC326" i="4"/>
  <c r="AC327" i="4"/>
  <c r="AC328" i="4"/>
  <c r="AC339" i="4"/>
  <c r="AC330" i="4"/>
  <c r="AC331" i="4"/>
  <c r="AC332" i="4"/>
  <c r="AC315" i="4"/>
  <c r="AC316" i="4"/>
  <c r="AC317" i="4"/>
  <c r="AC347" i="4"/>
  <c r="AC335" i="4"/>
  <c r="AC346" i="4"/>
  <c r="AC336" i="4"/>
  <c r="AC329" i="4"/>
  <c r="AC337" i="4"/>
  <c r="AC318" i="4"/>
  <c r="AC324" i="4"/>
  <c r="AC343" i="4"/>
  <c r="AC341" i="4"/>
  <c r="AC342" i="4"/>
  <c r="AC344" i="4"/>
  <c r="AC345" i="4"/>
  <c r="AC338" i="4"/>
  <c r="AC348" i="4"/>
  <c r="AC352" i="4"/>
  <c r="AC353" i="4"/>
  <c r="AC366" i="4"/>
  <c r="AC367" i="4"/>
  <c r="AC368" i="4"/>
  <c r="AC365" i="4"/>
  <c r="AC354" i="4"/>
  <c r="AC355" i="4"/>
  <c r="AC356" i="4"/>
  <c r="AC357" i="4"/>
  <c r="AC358" i="4"/>
  <c r="AC359" i="4"/>
  <c r="AC360" i="4"/>
  <c r="AC361" i="4"/>
  <c r="AC369" i="4"/>
  <c r="AC362" i="4"/>
  <c r="AC363" i="4"/>
  <c r="AC364" i="4"/>
  <c r="AC351" i="4"/>
  <c r="AC349" i="4"/>
  <c r="AC350" i="4"/>
  <c r="AC375" i="4"/>
  <c r="AC371" i="4"/>
  <c r="AC379" i="4"/>
  <c r="AC370" i="4"/>
  <c r="AC372" i="4"/>
  <c r="AC374" i="4"/>
  <c r="AC377" i="4"/>
  <c r="AC381" i="4"/>
  <c r="AC373" i="4"/>
  <c r="AC376" i="4"/>
  <c r="AC378" i="4"/>
  <c r="AC384" i="4"/>
  <c r="AC383" i="4"/>
  <c r="AC385" i="4"/>
  <c r="AC386" i="4"/>
  <c r="AC382" i="4"/>
  <c r="AC390" i="4"/>
  <c r="AC405" i="4"/>
  <c r="AC408" i="4"/>
  <c r="AC391" i="4"/>
  <c r="AC392" i="4"/>
  <c r="AC393" i="4"/>
  <c r="AC394" i="4"/>
  <c r="AC400" i="4"/>
  <c r="AC401" i="4"/>
  <c r="AC402" i="4"/>
  <c r="AC403" i="4"/>
  <c r="AC407" i="4"/>
  <c r="AC387" i="4"/>
  <c r="AC388" i="4"/>
  <c r="AC389" i="4"/>
  <c r="AC396" i="4"/>
  <c r="AC397" i="4"/>
  <c r="AC398" i="4"/>
  <c r="AC399" i="4"/>
  <c r="AC404" i="4"/>
  <c r="AC406" i="4"/>
  <c r="AC409" i="4"/>
  <c r="AC410" i="4"/>
  <c r="AC411" i="4"/>
  <c r="AC395" i="4"/>
  <c r="AC87" i="4"/>
  <c r="AD87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5" i="4"/>
  <c r="AD273" i="4"/>
  <c r="AD119" i="4"/>
  <c r="AD127" i="4"/>
  <c r="AD130" i="4"/>
  <c r="AD134" i="4"/>
  <c r="AD26" i="4"/>
  <c r="AD28" i="4"/>
  <c r="AD29" i="4"/>
  <c r="AD291" i="4"/>
  <c r="AD260" i="4"/>
  <c r="AD124" i="4"/>
  <c r="AD288" i="4"/>
  <c r="AD48" i="4"/>
  <c r="AD49" i="4"/>
  <c r="AD50" i="4"/>
  <c r="AD51" i="4"/>
  <c r="AD52" i="4"/>
  <c r="AD54" i="4"/>
  <c r="AD248" i="4"/>
  <c r="AD79" i="4"/>
  <c r="AD81" i="4"/>
  <c r="AD82" i="4"/>
  <c r="AD84" i="4"/>
  <c r="AD85" i="4"/>
  <c r="AD86" i="4"/>
  <c r="AD90" i="4"/>
  <c r="AD91" i="4"/>
  <c r="AD92" i="4"/>
  <c r="AD93" i="4"/>
  <c r="AD94" i="4"/>
  <c r="AD95" i="4"/>
  <c r="AD96" i="4"/>
  <c r="AD258" i="4"/>
  <c r="AD118" i="4"/>
  <c r="AD242" i="4"/>
  <c r="AD245" i="4"/>
  <c r="AD78" i="4"/>
  <c r="AD80" i="4"/>
  <c r="AD83" i="4"/>
  <c r="AD249" i="4"/>
  <c r="AD250" i="4"/>
  <c r="AD251" i="4"/>
  <c r="AD252" i="4"/>
  <c r="AD9" i="4"/>
  <c r="AD295" i="4"/>
  <c r="AD110" i="4"/>
  <c r="AD114" i="4"/>
  <c r="AD122" i="4"/>
  <c r="AD17" i="4"/>
  <c r="AD148" i="4"/>
  <c r="AD152" i="4"/>
  <c r="AD153" i="4"/>
  <c r="AD154" i="4"/>
  <c r="AD155" i="4"/>
  <c r="AD156" i="4"/>
  <c r="AD157" i="4"/>
  <c r="AD159" i="4"/>
  <c r="AD279" i="4"/>
  <c r="AD22" i="4"/>
  <c r="AD174" i="4"/>
  <c r="AD175" i="4"/>
  <c r="AD186" i="4"/>
  <c r="AD187" i="4"/>
  <c r="AD188" i="4"/>
  <c r="AD189" i="4"/>
  <c r="AD190" i="4"/>
  <c r="AD191" i="4"/>
  <c r="AD208" i="4"/>
  <c r="AD296" i="4"/>
  <c r="AD221" i="4"/>
  <c r="AD222" i="4"/>
  <c r="AD223" i="4"/>
  <c r="AD224" i="4"/>
  <c r="AD225" i="4"/>
  <c r="AD226" i="4"/>
  <c r="AD227" i="4"/>
  <c r="AD228" i="4"/>
  <c r="AD229" i="4"/>
  <c r="AD230" i="4"/>
  <c r="AD231" i="4"/>
  <c r="AD241" i="4"/>
  <c r="AD37" i="4"/>
  <c r="AD38" i="4"/>
  <c r="AD39" i="4"/>
  <c r="AD40" i="4"/>
  <c r="AD41" i="4"/>
  <c r="AD246" i="4"/>
  <c r="AD46" i="4"/>
  <c r="AD53" i="4"/>
  <c r="AD55" i="4"/>
  <c r="AD56" i="4"/>
  <c r="AD57" i="4"/>
  <c r="AD58" i="4"/>
  <c r="AD59" i="4"/>
  <c r="AD60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247" i="4"/>
  <c r="AD74" i="4"/>
  <c r="AD75" i="4"/>
  <c r="AD76" i="4"/>
  <c r="AD5" i="4"/>
  <c r="AD6" i="4"/>
  <c r="AD7" i="4"/>
  <c r="AD77" i="4"/>
  <c r="AD88" i="4"/>
  <c r="AD89" i="4"/>
  <c r="AD8" i="4"/>
  <c r="AD97" i="4"/>
  <c r="AD101" i="4"/>
  <c r="AD102" i="4"/>
  <c r="AD253" i="4"/>
  <c r="AD274" i="4"/>
  <c r="AD254" i="4"/>
  <c r="AD10" i="4"/>
  <c r="AD11" i="4"/>
  <c r="AD12" i="4"/>
  <c r="AD275" i="4"/>
  <c r="AD104" i="4"/>
  <c r="AD290" i="4"/>
  <c r="AD105" i="4"/>
  <c r="AD106" i="4"/>
  <c r="AD107" i="4"/>
  <c r="AD255" i="4"/>
  <c r="AD108" i="4"/>
  <c r="AD276" i="4"/>
  <c r="AD277" i="4"/>
  <c r="AD111" i="4"/>
  <c r="AD112" i="4"/>
  <c r="AD116" i="4"/>
  <c r="AD117" i="4"/>
  <c r="AD16" i="4"/>
  <c r="AD120" i="4"/>
  <c r="AD121" i="4"/>
  <c r="AD123" i="4"/>
  <c r="AD261" i="4"/>
  <c r="AD262" i="4"/>
  <c r="AD125" i="4"/>
  <c r="AD263" i="4"/>
  <c r="AD128" i="4"/>
  <c r="AD18" i="4"/>
  <c r="AD129" i="4"/>
  <c r="AD131" i="4"/>
  <c r="AD132" i="4"/>
  <c r="AD264" i="4"/>
  <c r="AD133" i="4"/>
  <c r="AD265" i="4"/>
  <c r="AD135" i="4"/>
  <c r="AD266" i="4"/>
  <c r="AD137" i="4"/>
  <c r="AD138" i="4"/>
  <c r="AD19" i="4"/>
  <c r="AD141" i="4"/>
  <c r="AD142" i="4"/>
  <c r="AD143" i="4"/>
  <c r="AD144" i="4"/>
  <c r="AD145" i="4"/>
  <c r="AD146" i="4"/>
  <c r="AD147" i="4"/>
  <c r="AD149" i="4"/>
  <c r="AD4" i="4"/>
  <c r="AD285" i="4"/>
  <c r="AD21" i="4"/>
  <c r="AD23" i="4"/>
  <c r="AD24" i="4"/>
  <c r="AD27" i="4"/>
  <c r="AD164" i="4"/>
  <c r="AD165" i="4"/>
  <c r="AD166" i="4"/>
  <c r="AD167" i="4"/>
  <c r="AD168" i="4"/>
  <c r="AD169" i="4"/>
  <c r="AD170" i="4"/>
  <c r="AD171" i="4"/>
  <c r="AD176" i="4"/>
  <c r="AD177" i="4"/>
  <c r="AD30" i="4"/>
  <c r="AD178" i="4"/>
  <c r="AD179" i="4"/>
  <c r="AD180" i="4"/>
  <c r="AD181" i="4"/>
  <c r="AD268" i="4"/>
  <c r="AD182" i="4"/>
  <c r="AD183" i="4"/>
  <c r="AD184" i="4"/>
  <c r="AD185" i="4"/>
  <c r="AD192" i="4"/>
  <c r="AD193" i="4"/>
  <c r="AD194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70" i="4"/>
  <c r="AD31" i="4"/>
  <c r="AD32" i="4"/>
  <c r="AD33" i="4"/>
  <c r="AD209" i="4"/>
  <c r="AD210" i="4"/>
  <c r="AD34" i="4"/>
  <c r="AD35" i="4"/>
  <c r="AD36" i="4"/>
  <c r="AD280" i="4"/>
  <c r="AD214" i="4"/>
  <c r="AD281" i="4"/>
  <c r="AD218" i="4"/>
  <c r="AD272" i="4"/>
  <c r="AD282" i="4"/>
  <c r="AD232" i="4"/>
  <c r="AD233" i="4"/>
  <c r="AD234" i="4"/>
  <c r="AD235" i="4"/>
  <c r="AD236" i="4"/>
  <c r="AD237" i="4"/>
  <c r="AD238" i="4"/>
  <c r="AD239" i="4"/>
  <c r="AD243" i="4"/>
  <c r="AD244" i="4"/>
  <c r="AD283" i="4"/>
  <c r="AD42" i="4"/>
  <c r="AD43" i="4"/>
  <c r="AD44" i="4"/>
  <c r="AD45" i="4"/>
  <c r="AD47" i="4"/>
  <c r="AD98" i="4"/>
  <c r="AD256" i="4"/>
  <c r="AD257" i="4"/>
  <c r="AD113" i="4"/>
  <c r="AD278" i="4"/>
  <c r="AD139" i="4"/>
  <c r="AD20" i="4"/>
  <c r="AD172" i="4"/>
  <c r="AD173" i="4"/>
  <c r="AD195" i="4"/>
  <c r="AD213" i="4"/>
  <c r="AD292" i="4"/>
  <c r="AD14" i="4"/>
  <c r="AD284" i="4"/>
  <c r="AD2" i="4"/>
  <c r="AD286" i="4"/>
  <c r="AD287" i="4"/>
  <c r="AD269" i="4"/>
  <c r="AD211" i="4"/>
  <c r="AD212" i="4"/>
  <c r="AD13" i="4"/>
  <c r="AD115" i="4"/>
  <c r="AD3" i="4"/>
  <c r="AD15" i="4"/>
  <c r="AD126" i="4"/>
  <c r="AD136" i="4"/>
  <c r="AD298" i="4"/>
  <c r="AD293" i="4"/>
  <c r="AD294" i="4"/>
  <c r="AD289" i="4"/>
  <c r="AD100" i="4"/>
  <c r="AD161" i="4"/>
  <c r="AD271" i="4"/>
  <c r="AD61" i="4"/>
  <c r="AD160" i="4"/>
  <c r="AD162" i="4"/>
  <c r="AD163" i="4"/>
  <c r="AD297" i="4"/>
  <c r="AD103" i="4"/>
  <c r="AD150" i="4"/>
  <c r="AD151" i="4"/>
  <c r="AD267" i="4"/>
  <c r="AD158" i="4"/>
  <c r="AD219" i="4"/>
  <c r="AD220" i="4"/>
  <c r="AD240" i="4"/>
  <c r="AD109" i="4"/>
  <c r="AD140" i="4"/>
  <c r="AD259" i="4"/>
  <c r="AD302" i="4"/>
  <c r="AD301" i="4"/>
  <c r="AD299" i="4"/>
  <c r="AD300" i="4"/>
  <c r="AD304" i="4"/>
  <c r="AD309" i="4"/>
  <c r="AD312" i="4"/>
  <c r="AD313" i="4"/>
  <c r="AD314" i="4"/>
  <c r="AD305" i="4"/>
  <c r="AD306" i="4"/>
  <c r="AD307" i="4"/>
  <c r="AD308" i="4"/>
  <c r="AD311" i="4"/>
  <c r="AD310" i="4"/>
  <c r="AD333" i="4"/>
  <c r="AD334" i="4"/>
  <c r="AD340" i="4"/>
  <c r="AD319" i="4"/>
  <c r="AD320" i="4"/>
  <c r="AD321" i="4"/>
  <c r="AD322" i="4"/>
  <c r="AD323" i="4"/>
  <c r="AD325" i="4"/>
  <c r="AD326" i="4"/>
  <c r="AD327" i="4"/>
  <c r="AD328" i="4"/>
  <c r="AD339" i="4"/>
  <c r="AD330" i="4"/>
  <c r="AD331" i="4"/>
  <c r="AD332" i="4"/>
  <c r="AD315" i="4"/>
  <c r="AD316" i="4"/>
  <c r="AD317" i="4"/>
  <c r="AD347" i="4"/>
  <c r="AD335" i="4"/>
  <c r="AD346" i="4"/>
  <c r="AD336" i="4"/>
  <c r="AD329" i="4"/>
  <c r="AD337" i="4"/>
  <c r="AD318" i="4"/>
  <c r="AD324" i="4"/>
  <c r="AD343" i="4"/>
  <c r="AD341" i="4"/>
  <c r="AD342" i="4"/>
  <c r="AD344" i="4"/>
  <c r="AD345" i="4"/>
  <c r="AD338" i="4"/>
  <c r="AD348" i="4"/>
  <c r="AD352" i="4"/>
  <c r="AD353" i="4"/>
  <c r="AD366" i="4"/>
  <c r="AD367" i="4"/>
  <c r="AD368" i="4"/>
  <c r="AD365" i="4"/>
  <c r="AD354" i="4"/>
  <c r="AD355" i="4"/>
  <c r="AD356" i="4"/>
  <c r="AD357" i="4"/>
  <c r="AD358" i="4"/>
  <c r="AD359" i="4"/>
  <c r="AD360" i="4"/>
  <c r="AD361" i="4"/>
  <c r="AD369" i="4"/>
  <c r="AD362" i="4"/>
  <c r="AD363" i="4"/>
  <c r="AD364" i="4"/>
  <c r="AD351" i="4"/>
  <c r="AD349" i="4"/>
  <c r="AD350" i="4"/>
  <c r="AD375" i="4"/>
  <c r="AD371" i="4"/>
  <c r="AD379" i="4"/>
  <c r="AD370" i="4"/>
  <c r="AD372" i="4"/>
  <c r="AD374" i="4"/>
  <c r="AD377" i="4"/>
  <c r="AD381" i="4"/>
  <c r="AD373" i="4"/>
  <c r="AD376" i="4"/>
  <c r="AD378" i="4"/>
  <c r="AD384" i="4"/>
  <c r="AD383" i="4"/>
  <c r="AD385" i="4"/>
  <c r="AD386" i="4"/>
  <c r="AD382" i="4"/>
  <c r="AD390" i="4"/>
  <c r="AD405" i="4"/>
  <c r="AD408" i="4"/>
  <c r="AD391" i="4"/>
  <c r="AD392" i="4"/>
  <c r="AD393" i="4"/>
  <c r="AD394" i="4"/>
  <c r="AD400" i="4"/>
  <c r="AD401" i="4"/>
  <c r="AD402" i="4"/>
  <c r="AD403" i="4"/>
  <c r="AD407" i="4"/>
  <c r="AD387" i="4"/>
  <c r="AD388" i="4"/>
  <c r="AD389" i="4"/>
  <c r="AD396" i="4"/>
  <c r="AD397" i="4"/>
  <c r="AD398" i="4"/>
  <c r="AD399" i="4"/>
  <c r="AD404" i="4"/>
  <c r="AD406" i="4"/>
  <c r="AD409" i="4"/>
  <c r="AD410" i="4"/>
  <c r="AD411" i="4"/>
  <c r="AD395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119" i="4"/>
  <c r="AE127" i="4"/>
  <c r="AE134" i="4"/>
  <c r="AE4" i="4"/>
  <c r="AE274" i="4"/>
  <c r="AE254" i="4"/>
  <c r="AE264" i="4"/>
  <c r="AE138" i="4"/>
  <c r="AE298" i="4"/>
  <c r="AE46" i="4"/>
  <c r="AE51" i="4"/>
  <c r="AE65" i="4"/>
  <c r="AE253" i="4"/>
  <c r="AE259" i="4"/>
  <c r="AE13" i="4"/>
  <c r="AE15" i="4"/>
  <c r="AE261" i="4"/>
  <c r="AE265" i="4"/>
  <c r="AE140" i="4"/>
  <c r="AE20" i="4"/>
  <c r="AE23" i="4"/>
  <c r="AE24" i="4"/>
  <c r="AE25" i="4"/>
  <c r="AE226" i="4"/>
  <c r="AE229" i="4"/>
  <c r="AE40" i="4"/>
  <c r="AE246" i="4"/>
  <c r="AE45" i="4"/>
  <c r="AE55" i="4"/>
  <c r="AE56" i="4"/>
  <c r="AE57" i="4"/>
  <c r="AE58" i="4"/>
  <c r="AE59" i="4"/>
  <c r="AE60" i="4"/>
  <c r="AE68" i="4"/>
  <c r="AE69" i="4"/>
  <c r="AE70" i="4"/>
  <c r="AE97" i="4"/>
  <c r="AE14" i="4"/>
  <c r="AE263" i="4"/>
  <c r="AE266" i="4"/>
  <c r="AE137" i="4"/>
  <c r="AE145" i="4"/>
  <c r="AE152" i="4"/>
  <c r="AE271" i="4"/>
  <c r="AE219" i="4"/>
  <c r="AE220" i="4"/>
  <c r="AE232" i="4"/>
  <c r="AE233" i="4"/>
  <c r="AE234" i="4"/>
  <c r="AE235" i="4"/>
  <c r="AE236" i="4"/>
  <c r="AE237" i="4"/>
  <c r="AE238" i="4"/>
  <c r="AE98" i="4"/>
  <c r="AE41" i="4"/>
  <c r="AE48" i="4"/>
  <c r="AE62" i="4"/>
  <c r="AE63" i="4"/>
  <c r="AE64" i="4"/>
  <c r="AE71" i="4"/>
  <c r="AE249" i="4"/>
  <c r="AE250" i="4"/>
  <c r="AE103" i="4"/>
  <c r="AE255" i="4"/>
  <c r="AE111" i="4"/>
  <c r="AE113" i="4"/>
  <c r="AE115" i="4"/>
  <c r="AE122" i="4"/>
  <c r="AE123" i="4"/>
  <c r="AE262" i="4"/>
  <c r="AE126" i="4"/>
  <c r="AE18" i="4"/>
  <c r="AE2" i="4"/>
  <c r="AE139" i="4"/>
  <c r="AE146" i="4"/>
  <c r="AE147" i="4"/>
  <c r="AE150" i="4"/>
  <c r="AE151" i="4"/>
  <c r="AE267" i="4"/>
  <c r="AE153" i="4"/>
  <c r="AE154" i="4"/>
  <c r="AE158" i="4"/>
  <c r="AE183" i="4"/>
  <c r="AE184" i="4"/>
  <c r="AE185" i="4"/>
  <c r="AE192" i="4"/>
  <c r="AE193" i="4"/>
  <c r="AE194" i="4"/>
  <c r="AE195" i="4"/>
  <c r="AE196" i="4"/>
  <c r="AE197" i="4"/>
  <c r="AE202" i="4"/>
  <c r="AE296" i="4"/>
  <c r="AE239" i="4"/>
  <c r="AE240" i="4"/>
  <c r="AE283" i="4"/>
  <c r="AE37" i="4"/>
  <c r="AE38" i="4"/>
  <c r="AE39" i="4"/>
  <c r="AE49" i="4"/>
  <c r="AE66" i="4"/>
  <c r="AE67" i="4"/>
  <c r="AE107" i="4"/>
  <c r="AE278" i="4"/>
  <c r="AE148" i="4"/>
  <c r="AE285" i="4"/>
  <c r="AE21" i="4"/>
  <c r="AE22" i="4"/>
  <c r="AE294" i="4"/>
  <c r="AE221" i="4"/>
  <c r="AE222" i="4"/>
  <c r="AE223" i="4"/>
  <c r="AE225" i="4"/>
  <c r="AE43" i="4"/>
  <c r="AE50" i="4"/>
  <c r="AE8" i="4"/>
  <c r="AE275" i="4"/>
  <c r="AE104" i="4"/>
  <c r="AE290" i="4"/>
  <c r="AE295" i="4"/>
  <c r="AE109" i="4"/>
  <c r="AE276" i="4"/>
  <c r="AE260" i="4"/>
  <c r="AE124" i="4"/>
  <c r="AE26" i="4"/>
  <c r="AE27" i="4"/>
  <c r="AE28" i="4"/>
  <c r="AE29" i="4"/>
  <c r="AE174" i="4"/>
  <c r="AE175" i="4"/>
  <c r="AE30" i="4"/>
  <c r="AE188" i="4"/>
  <c r="AE189" i="4"/>
  <c r="AE190" i="4"/>
  <c r="AE191" i="4"/>
  <c r="AE207" i="4"/>
  <c r="AE224" i="4"/>
  <c r="AE227" i="4"/>
  <c r="AE228" i="4"/>
  <c r="AE230" i="4"/>
  <c r="AE42" i="4"/>
  <c r="AE44" i="4"/>
  <c r="AE47" i="4"/>
  <c r="AE61" i="4"/>
  <c r="AE77" i="4"/>
  <c r="AE96" i="4"/>
  <c r="AE102" i="4"/>
  <c r="AE9" i="4"/>
  <c r="AE105" i="4"/>
  <c r="AE256" i="4"/>
  <c r="AE257" i="4"/>
  <c r="AE292" i="4"/>
  <c r="AE131" i="4"/>
  <c r="AE133" i="4"/>
  <c r="AE135" i="4"/>
  <c r="AE160" i="4"/>
  <c r="AE161" i="4"/>
  <c r="AE162" i="4"/>
  <c r="AE163" i="4"/>
  <c r="AE164" i="4"/>
  <c r="AE165" i="4"/>
  <c r="AE166" i="4"/>
  <c r="AE167" i="4"/>
  <c r="AE168" i="4"/>
  <c r="AE169" i="4"/>
  <c r="AE170" i="4"/>
  <c r="AE178" i="4"/>
  <c r="AE179" i="4"/>
  <c r="AE180" i="4"/>
  <c r="AE181" i="4"/>
  <c r="AE186" i="4"/>
  <c r="AE187" i="4"/>
  <c r="AE280" i="4"/>
  <c r="AE213" i="4"/>
  <c r="AE241" i="4"/>
  <c r="AE243" i="4"/>
  <c r="AE244" i="4"/>
  <c r="AE210" i="4"/>
  <c r="AE34" i="4"/>
  <c r="AE35" i="4"/>
  <c r="AE5" i="4"/>
  <c r="AE6" i="4"/>
  <c r="AE7" i="4"/>
  <c r="AE89" i="4"/>
  <c r="AE110" i="4"/>
  <c r="AE277" i="4"/>
  <c r="AE16" i="4"/>
  <c r="AE141" i="4"/>
  <c r="AE142" i="4"/>
  <c r="AE171" i="4"/>
  <c r="AE182" i="4"/>
  <c r="AE297" i="4"/>
  <c r="AE36" i="4"/>
  <c r="AE211" i="4"/>
  <c r="AE212" i="4"/>
  <c r="AE209" i="4"/>
  <c r="AE76" i="4"/>
  <c r="AE251" i="4"/>
  <c r="AE130" i="4"/>
  <c r="AE172" i="4"/>
  <c r="AE173" i="4"/>
  <c r="AE176" i="4"/>
  <c r="AE177" i="4"/>
  <c r="AE218" i="4"/>
  <c r="AE10" i="4"/>
  <c r="AE106" i="4"/>
  <c r="AE128" i="4"/>
  <c r="AE17" i="4"/>
  <c r="AE136" i="4"/>
  <c r="AE149" i="4"/>
  <c r="AE198" i="4"/>
  <c r="AE199" i="4"/>
  <c r="AE200" i="4"/>
  <c r="AE247" i="4"/>
  <c r="AE11" i="4"/>
  <c r="AE12" i="4"/>
  <c r="AE120" i="4"/>
  <c r="AE129" i="4"/>
  <c r="AE284" i="4"/>
  <c r="AE286" i="4"/>
  <c r="AE287" i="4"/>
  <c r="AE269" i="4"/>
  <c r="AE201" i="4"/>
  <c r="AE204" i="4"/>
  <c r="AE205" i="4"/>
  <c r="AE281" i="4"/>
  <c r="AE52" i="4"/>
  <c r="AE72" i="4"/>
  <c r="AE73" i="4"/>
  <c r="AE74" i="4"/>
  <c r="AE75" i="4"/>
  <c r="AE88" i="4"/>
  <c r="AE90" i="4"/>
  <c r="AE112" i="4"/>
  <c r="AE114" i="4"/>
  <c r="AE116" i="4"/>
  <c r="AE121" i="4"/>
  <c r="AE132" i="4"/>
  <c r="AE288" i="4"/>
  <c r="AE19" i="4"/>
  <c r="AE155" i="4"/>
  <c r="AE157" i="4"/>
  <c r="AE206" i="4"/>
  <c r="AE208" i="4"/>
  <c r="AE31" i="4"/>
  <c r="AE32" i="4"/>
  <c r="AE33" i="4"/>
  <c r="AE245" i="4"/>
  <c r="AE78" i="4"/>
  <c r="AE79" i="4"/>
  <c r="AE80" i="4"/>
  <c r="AE81" i="4"/>
  <c r="AE82" i="4"/>
  <c r="AE83" i="4"/>
  <c r="AE85" i="4"/>
  <c r="AE53" i="4"/>
  <c r="AE54" i="4"/>
  <c r="AE91" i="4"/>
  <c r="AE92" i="4"/>
  <c r="AE93" i="4"/>
  <c r="AE94" i="4"/>
  <c r="AE95" i="4"/>
  <c r="AE252" i="4"/>
  <c r="AE100" i="4"/>
  <c r="AE101" i="4"/>
  <c r="AE291" i="4"/>
  <c r="AE125" i="4"/>
  <c r="AE143" i="4"/>
  <c r="AE144" i="4"/>
  <c r="AE156" i="4"/>
  <c r="AE272" i="4"/>
  <c r="AE282" i="4"/>
  <c r="AE231" i="4"/>
  <c r="AE289" i="4"/>
  <c r="AE242" i="4"/>
  <c r="AE248" i="4"/>
  <c r="AE84" i="4"/>
  <c r="AE86" i="4"/>
  <c r="AE273" i="4"/>
  <c r="AE117" i="4"/>
  <c r="AE159" i="4"/>
  <c r="AE279" i="4"/>
  <c r="AE203" i="4"/>
  <c r="AE293" i="4"/>
  <c r="AE214" i="4"/>
  <c r="AE118" i="4"/>
  <c r="AE108" i="4"/>
  <c r="AE270" i="4"/>
  <c r="AE268" i="4"/>
  <c r="AE312" i="4"/>
  <c r="AE304" i="4"/>
  <c r="AE309" i="4"/>
  <c r="AE313" i="4"/>
  <c r="AE314" i="4"/>
  <c r="AE299" i="4"/>
  <c r="AE300" i="4"/>
  <c r="AE301" i="4"/>
  <c r="AE302" i="4"/>
  <c r="AE311" i="4"/>
  <c r="AE305" i="4"/>
  <c r="AE306" i="4"/>
  <c r="AE307" i="4"/>
  <c r="AE308" i="4"/>
  <c r="AE310" i="4"/>
  <c r="AE319" i="4"/>
  <c r="AE346" i="4"/>
  <c r="AE340" i="4"/>
  <c r="AE320" i="4"/>
  <c r="AE321" i="4"/>
  <c r="AE322" i="4"/>
  <c r="AE335" i="4"/>
  <c r="AE336" i="4"/>
  <c r="AE324" i="4"/>
  <c r="AE325" i="4"/>
  <c r="AE326" i="4"/>
  <c r="AE327" i="4"/>
  <c r="AE328" i="4"/>
  <c r="AE329" i="4"/>
  <c r="AE330" i="4"/>
  <c r="AE331" i="4"/>
  <c r="AE332" i="4"/>
  <c r="AE337" i="4"/>
  <c r="AE318" i="4"/>
  <c r="AE333" i="4"/>
  <c r="AE334" i="4"/>
  <c r="AE341" i="4"/>
  <c r="AE342" i="4"/>
  <c r="AE343" i="4"/>
  <c r="AE344" i="4"/>
  <c r="AE345" i="4"/>
  <c r="AE339" i="4"/>
  <c r="AE347" i="4"/>
  <c r="AE315" i="4"/>
  <c r="AE316" i="4"/>
  <c r="AE317" i="4"/>
  <c r="AE338" i="4"/>
  <c r="AE323" i="4"/>
  <c r="AE354" i="4"/>
  <c r="AE358" i="4"/>
  <c r="AE348" i="4"/>
  <c r="AE365" i="4"/>
  <c r="AE362" i="4"/>
  <c r="AE363" i="4"/>
  <c r="AE364" i="4"/>
  <c r="AE351" i="4"/>
  <c r="AE369" i="4"/>
  <c r="AE349" i="4"/>
  <c r="AE350" i="4"/>
  <c r="AE355" i="4"/>
  <c r="AE356" i="4"/>
  <c r="AE352" i="4"/>
  <c r="AE353" i="4"/>
  <c r="AE367" i="4"/>
  <c r="AE366" i="4"/>
  <c r="AE368" i="4"/>
  <c r="AE357" i="4"/>
  <c r="AE359" i="4"/>
  <c r="AE360" i="4"/>
  <c r="AE361" i="4"/>
  <c r="AE374" i="4"/>
  <c r="AE375" i="4"/>
  <c r="AE378" i="4"/>
  <c r="AE372" i="4"/>
  <c r="AE373" i="4"/>
  <c r="AE376" i="4"/>
  <c r="AE377" i="4"/>
  <c r="AE371" i="4"/>
  <c r="AE379" i="4"/>
  <c r="AE370" i="4"/>
  <c r="AE381" i="4"/>
  <c r="AE382" i="4"/>
  <c r="AE384" i="4"/>
  <c r="AE386" i="4"/>
  <c r="AE383" i="4"/>
  <c r="AE385" i="4"/>
  <c r="AE401" i="4"/>
  <c r="AE388" i="4"/>
  <c r="AE389" i="4"/>
  <c r="AE390" i="4"/>
  <c r="AE396" i="4"/>
  <c r="AE397" i="4"/>
  <c r="AE398" i="4"/>
  <c r="AE404" i="4"/>
  <c r="AE405" i="4"/>
  <c r="AE387" i="4"/>
  <c r="AE391" i="4"/>
  <c r="AE392" i="4"/>
  <c r="AE393" i="4"/>
  <c r="AE394" i="4"/>
  <c r="AE395" i="4"/>
  <c r="AE399" i="4"/>
  <c r="AE400" i="4"/>
  <c r="AE402" i="4"/>
  <c r="AE403" i="4"/>
  <c r="AE406" i="4"/>
  <c r="AE407" i="4"/>
  <c r="AE408" i="4"/>
  <c r="AE409" i="4"/>
  <c r="AE410" i="4"/>
  <c r="AE411" i="4"/>
  <c r="AE258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3" i="4"/>
  <c r="AG385" i="4"/>
  <c r="AG382" i="4"/>
  <c r="AG386" i="4"/>
  <c r="AG384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J299" i="4"/>
  <c r="AJ300" i="4"/>
  <c r="AJ301" i="4"/>
  <c r="AJ302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33" i="4"/>
  <c r="AJ334" i="4"/>
  <c r="AJ340" i="4"/>
  <c r="AJ319" i="4"/>
  <c r="AJ320" i="4"/>
  <c r="AJ321" i="4"/>
  <c r="AJ322" i="4"/>
  <c r="AJ323" i="4"/>
  <c r="AJ341" i="4"/>
  <c r="AJ342" i="4"/>
  <c r="AJ343" i="4"/>
  <c r="AJ344" i="4"/>
  <c r="AJ345" i="4"/>
  <c r="AJ347" i="4"/>
  <c r="AJ335" i="4"/>
  <c r="AJ346" i="4"/>
  <c r="AJ336" i="4"/>
  <c r="AJ338" i="4"/>
  <c r="AJ325" i="4"/>
  <c r="AJ326" i="4"/>
  <c r="AJ327" i="4"/>
  <c r="AJ328" i="4"/>
  <c r="AJ339" i="4"/>
  <c r="AJ330" i="4"/>
  <c r="AJ331" i="4"/>
  <c r="AJ332" i="4"/>
  <c r="AJ337" i="4"/>
  <c r="AJ318" i="4"/>
  <c r="AJ324" i="4"/>
  <c r="AJ329" i="4"/>
  <c r="AJ348" i="4"/>
  <c r="AJ349" i="4"/>
  <c r="AJ350" i="4"/>
  <c r="AJ351" i="4"/>
  <c r="AJ352" i="4"/>
  <c r="AJ353" i="4"/>
  <c r="AJ366" i="4"/>
  <c r="AJ367" i="4"/>
  <c r="AJ368" i="4"/>
  <c r="AJ365" i="4"/>
  <c r="AJ354" i="4"/>
  <c r="AJ355" i="4"/>
  <c r="AJ356" i="4"/>
  <c r="AJ357" i="4"/>
  <c r="AJ358" i="4"/>
  <c r="AJ359" i="4"/>
  <c r="AJ360" i="4"/>
  <c r="AJ361" i="4"/>
  <c r="AJ369" i="4"/>
  <c r="AJ362" i="4"/>
  <c r="AJ363" i="4"/>
  <c r="AJ364" i="4"/>
  <c r="AJ370" i="4"/>
  <c r="AJ371" i="4"/>
  <c r="AJ372" i="4"/>
  <c r="AJ373" i="4"/>
  <c r="AJ374" i="4"/>
  <c r="AJ375" i="4"/>
  <c r="AJ376" i="4"/>
  <c r="AJ377" i="4"/>
  <c r="AJ378" i="4"/>
  <c r="AJ379" i="4"/>
  <c r="AJ381" i="4"/>
  <c r="AJ383" i="4"/>
  <c r="AJ385" i="4"/>
  <c r="AJ382" i="4"/>
  <c r="AJ386" i="4"/>
  <c r="AJ384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G246" i="4"/>
  <c r="AG63" i="4"/>
  <c r="AG64" i="4"/>
  <c r="AG68" i="4"/>
  <c r="AG69" i="4"/>
  <c r="AG70" i="4"/>
  <c r="AG71" i="4"/>
  <c r="AG251" i="4"/>
  <c r="AG252" i="4"/>
  <c r="AG255" i="4"/>
  <c r="AG133" i="4"/>
  <c r="AG146" i="4"/>
  <c r="AG219" i="4"/>
  <c r="AG220" i="4"/>
  <c r="AG232" i="4"/>
  <c r="AG55" i="4"/>
  <c r="AG56" i="4"/>
  <c r="AG59" i="4"/>
  <c r="AG145" i="4"/>
  <c r="AG111" i="4"/>
  <c r="AG262" i="4"/>
  <c r="AG13" i="4"/>
  <c r="AG14" i="4"/>
  <c r="AG249" i="4"/>
  <c r="AG250" i="4"/>
  <c r="AG260" i="4"/>
  <c r="AG127" i="4"/>
  <c r="AG152" i="4"/>
  <c r="AG153" i="4"/>
  <c r="AG154" i="4"/>
  <c r="AG57" i="4"/>
  <c r="AG58" i="4"/>
  <c r="AG60" i="4"/>
  <c r="AG147" i="4"/>
  <c r="AG148" i="4"/>
  <c r="AG98" i="4"/>
  <c r="AG66" i="4"/>
  <c r="AG67" i="4"/>
  <c r="AG97" i="4"/>
  <c r="AG263" i="4"/>
  <c r="AG2" i="4"/>
  <c r="AG3" i="4"/>
  <c r="AG135" i="4"/>
  <c r="AG140" i="4"/>
  <c r="AG185" i="4"/>
  <c r="AG192" i="4"/>
  <c r="AG194" i="4"/>
  <c r="AG195" i="4"/>
  <c r="AG196" i="4"/>
  <c r="AG197" i="4"/>
  <c r="AG183" i="4"/>
  <c r="AG184" i="4"/>
  <c r="AG193" i="4"/>
  <c r="AG37" i="4"/>
  <c r="AG38" i="4"/>
  <c r="AG39" i="4"/>
  <c r="AG40" i="4"/>
  <c r="AG41" i="4"/>
  <c r="AG45" i="4"/>
  <c r="AG46" i="4"/>
  <c r="AG47" i="4"/>
  <c r="AG62" i="4"/>
  <c r="AG65" i="4"/>
  <c r="AG258" i="4"/>
  <c r="AG15" i="4"/>
  <c r="AG294" i="4"/>
  <c r="AG233" i="4"/>
  <c r="AG234" i="4"/>
  <c r="AG235" i="4"/>
  <c r="AG236" i="4"/>
  <c r="AG237" i="4"/>
  <c r="AG238" i="4"/>
  <c r="AG119" i="4"/>
  <c r="AG134" i="4"/>
  <c r="AG221" i="4"/>
  <c r="AG222" i="4"/>
  <c r="AG223" i="4"/>
  <c r="AG224" i="4"/>
  <c r="AG225" i="4"/>
  <c r="AG61" i="4"/>
  <c r="AG160" i="4"/>
  <c r="AG161" i="4"/>
  <c r="AG163" i="4"/>
  <c r="AG48" i="4"/>
  <c r="AG49" i="4"/>
  <c r="AG50" i="4"/>
  <c r="AG51" i="4"/>
  <c r="AG103" i="4"/>
  <c r="AG151" i="4"/>
  <c r="AG158" i="4"/>
  <c r="AG162" i="4"/>
  <c r="AG293" i="4"/>
  <c r="AG240" i="4"/>
  <c r="AG42" i="4"/>
  <c r="AG43" i="4"/>
  <c r="AG44" i="4"/>
  <c r="AG113" i="4"/>
  <c r="AG126" i="4"/>
  <c r="AG139" i="4"/>
  <c r="AG267" i="4"/>
  <c r="AG104" i="4"/>
  <c r="AG290" i="4"/>
  <c r="AG110" i="4"/>
  <c r="AG291" i="4"/>
  <c r="AG149" i="4"/>
  <c r="AG285" i="4"/>
  <c r="AG174" i="4"/>
  <c r="AG191" i="4"/>
  <c r="AG228" i="4"/>
  <c r="AG230" i="4"/>
  <c r="AG239" i="4"/>
  <c r="AG241" i="4"/>
  <c r="AG283" i="4"/>
  <c r="AG100" i="4"/>
  <c r="AG101" i="4"/>
  <c r="AG9" i="4"/>
  <c r="AG275" i="4"/>
  <c r="AG256" i="4"/>
  <c r="AG17" i="4"/>
  <c r="AG159" i="4"/>
  <c r="AG20" i="4"/>
  <c r="AG26" i="4"/>
  <c r="AG28" i="4"/>
  <c r="AG29" i="4"/>
  <c r="AG165" i="4"/>
  <c r="AG188" i="4"/>
  <c r="AG200" i="4"/>
  <c r="AG5" i="4"/>
  <c r="AG295" i="4"/>
  <c r="AG189" i="4"/>
  <c r="AG190" i="4"/>
  <c r="AG226" i="4"/>
  <c r="AG227" i="4"/>
  <c r="AG243" i="4"/>
  <c r="AG244" i="4"/>
  <c r="AG21" i="4"/>
  <c r="AG175" i="4"/>
  <c r="AG186" i="4"/>
  <c r="AG187" i="4"/>
  <c r="AG36" i="4"/>
  <c r="AG296" i="4"/>
  <c r="AG229" i="4"/>
  <c r="AG274" i="4"/>
  <c r="AG254" i="4"/>
  <c r="AG117" i="4"/>
  <c r="AG124" i="4"/>
  <c r="AG130" i="4"/>
  <c r="AG264" i="4"/>
  <c r="AG288" i="4"/>
  <c r="AG155" i="4"/>
  <c r="AG156" i="4"/>
  <c r="AG157" i="4"/>
  <c r="AG23" i="4"/>
  <c r="AG207" i="4"/>
  <c r="AG209" i="4"/>
  <c r="AG210" i="4"/>
  <c r="AG34" i="4"/>
  <c r="AG35" i="4"/>
  <c r="AG76" i="4"/>
  <c r="AG77" i="4"/>
  <c r="AG102" i="4"/>
  <c r="AG105" i="4"/>
  <c r="AG109" i="4"/>
  <c r="AG292" i="4"/>
  <c r="AG115" i="4"/>
  <c r="AG123" i="4"/>
  <c r="AG261" i="4"/>
  <c r="AG131" i="4"/>
  <c r="AG265" i="4"/>
  <c r="AG266" i="4"/>
  <c r="AG137" i="4"/>
  <c r="AG138" i="4"/>
  <c r="AG141" i="4"/>
  <c r="AG166" i="4"/>
  <c r="AG167" i="4"/>
  <c r="AG168" i="4"/>
  <c r="AG169" i="4"/>
  <c r="AG170" i="4"/>
  <c r="AG171" i="4"/>
  <c r="AG176" i="4"/>
  <c r="AG177" i="4"/>
  <c r="AG30" i="4"/>
  <c r="AG178" i="4"/>
  <c r="AG179" i="4"/>
  <c r="AG180" i="4"/>
  <c r="AG181" i="4"/>
  <c r="AG268" i="4"/>
  <c r="AG198" i="4"/>
  <c r="AG199" i="4"/>
  <c r="AG202" i="4"/>
  <c r="AG211" i="4"/>
  <c r="AG212" i="4"/>
  <c r="AG213" i="4"/>
  <c r="AG218" i="4"/>
  <c r="AG106" i="4"/>
  <c r="AG276" i="4"/>
  <c r="AG277" i="4"/>
  <c r="AG284" i="4"/>
  <c r="AG164" i="4"/>
  <c r="AG172" i="4"/>
  <c r="AG173" i="4"/>
  <c r="AG286" i="4"/>
  <c r="AG287" i="4"/>
  <c r="AG269" i="4"/>
  <c r="AG297" i="4"/>
  <c r="AG298" i="4"/>
  <c r="AG118" i="4"/>
  <c r="AG112" i="4"/>
  <c r="AG129" i="4"/>
  <c r="AG136" i="4"/>
  <c r="AG19" i="4"/>
  <c r="AG31" i="4"/>
  <c r="AG32" i="4"/>
  <c r="AG33" i="4"/>
  <c r="AG280" i="4"/>
  <c r="AG281" i="4"/>
  <c r="AG289" i="4"/>
  <c r="AG273" i="4"/>
  <c r="AG52" i="4"/>
  <c r="AG54" i="4"/>
  <c r="AG78" i="4"/>
  <c r="AG248" i="4"/>
  <c r="AG79" i="4"/>
  <c r="AG80" i="4"/>
  <c r="AG81" i="4"/>
  <c r="AG82" i="4"/>
  <c r="AG83" i="4"/>
  <c r="AG84" i="4"/>
  <c r="AG85" i="4"/>
  <c r="AG86" i="4"/>
  <c r="AG87" i="4"/>
  <c r="AG90" i="4"/>
  <c r="AG91" i="4"/>
  <c r="AG92" i="4"/>
  <c r="AG96" i="4"/>
  <c r="AG107" i="4"/>
  <c r="AG257" i="4"/>
  <c r="AG245" i="4"/>
  <c r="AG53" i="4"/>
  <c r="AG72" i="4"/>
  <c r="AG73" i="4"/>
  <c r="AG247" i="4"/>
  <c r="AG74" i="4"/>
  <c r="AG75" i="4"/>
  <c r="AG6" i="4"/>
  <c r="AG8" i="4"/>
  <c r="AG116" i="4"/>
  <c r="AG16" i="4"/>
  <c r="AG120" i="4"/>
  <c r="AG125" i="4"/>
  <c r="AG18" i="4"/>
  <c r="AG150" i="4"/>
  <c r="AG22" i="4"/>
  <c r="AG25" i="4"/>
  <c r="AG27" i="4"/>
  <c r="AG182" i="4"/>
  <c r="AG272" i="4"/>
  <c r="AG282" i="4"/>
  <c r="AG7" i="4"/>
  <c r="AG93" i="4"/>
  <c r="AG94" i="4"/>
  <c r="AG95" i="4"/>
  <c r="AG10" i="4"/>
  <c r="AG11" i="4"/>
  <c r="AG12" i="4"/>
  <c r="AG279" i="4"/>
  <c r="AG259" i="4"/>
  <c r="AG278" i="4"/>
  <c r="AG242" i="4"/>
  <c r="AG88" i="4"/>
  <c r="AG89" i="4"/>
  <c r="AG108" i="4"/>
  <c r="AG114" i="4"/>
  <c r="AG121" i="4"/>
  <c r="AG122" i="4"/>
  <c r="AG128" i="4"/>
  <c r="AG132" i="4"/>
  <c r="AG142" i="4"/>
  <c r="AG143" i="4"/>
  <c r="AG144" i="4"/>
  <c r="AG4" i="4"/>
  <c r="AG24" i="4"/>
  <c r="AG201" i="4"/>
  <c r="AG203" i="4"/>
  <c r="AG204" i="4"/>
  <c r="AG205" i="4"/>
  <c r="AG206" i="4"/>
  <c r="AG208" i="4"/>
  <c r="AG270" i="4"/>
  <c r="AG271" i="4"/>
  <c r="AG214" i="4"/>
  <c r="AG231" i="4"/>
  <c r="AG299" i="4"/>
  <c r="AG300" i="4"/>
  <c r="AG301" i="4"/>
  <c r="AG302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33" i="4"/>
  <c r="AG334" i="4"/>
  <c r="AG340" i="4"/>
  <c r="AG319" i="4"/>
  <c r="AG320" i="4"/>
  <c r="AG321" i="4"/>
  <c r="AG322" i="4"/>
  <c r="AG323" i="4"/>
  <c r="AG341" i="4"/>
  <c r="AG342" i="4"/>
  <c r="AG343" i="4"/>
  <c r="AG344" i="4"/>
  <c r="AG345" i="4"/>
  <c r="AG347" i="4"/>
  <c r="AG335" i="4"/>
  <c r="AG346" i="4"/>
  <c r="AG336" i="4"/>
  <c r="AG338" i="4"/>
  <c r="AG325" i="4"/>
  <c r="AG326" i="4"/>
  <c r="AG327" i="4"/>
  <c r="AG328" i="4"/>
  <c r="AG339" i="4"/>
  <c r="AG330" i="4"/>
  <c r="AG331" i="4"/>
  <c r="AG332" i="4"/>
  <c r="AG337" i="4"/>
  <c r="AG318" i="4"/>
  <c r="AG324" i="4"/>
  <c r="AG329" i="4"/>
  <c r="AG348" i="4"/>
  <c r="AG349" i="4"/>
  <c r="AG350" i="4"/>
  <c r="AG351" i="4"/>
  <c r="AG352" i="4"/>
  <c r="AG353" i="4"/>
  <c r="AG366" i="4"/>
  <c r="AG367" i="4"/>
  <c r="AG368" i="4"/>
  <c r="AG365" i="4"/>
  <c r="AG354" i="4"/>
  <c r="AG355" i="4"/>
  <c r="AG356" i="4"/>
  <c r="AG357" i="4"/>
  <c r="AG358" i="4"/>
  <c r="AG359" i="4"/>
  <c r="AG360" i="4"/>
  <c r="AG361" i="4"/>
  <c r="AG369" i="4"/>
  <c r="AG362" i="4"/>
  <c r="AG363" i="4"/>
  <c r="AG364" i="4"/>
  <c r="AG370" i="4"/>
  <c r="AG371" i="4"/>
  <c r="AG372" i="4"/>
  <c r="AG373" i="4"/>
  <c r="AG374" i="4"/>
  <c r="AG375" i="4"/>
  <c r="AG376" i="4"/>
  <c r="AG377" i="4"/>
  <c r="AG378" i="4"/>
  <c r="AG379" i="4"/>
  <c r="AG381" i="4"/>
  <c r="AG253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2" i="2"/>
  <c r="AP61" i="2"/>
  <c r="AP63" i="2"/>
  <c r="AP68" i="2"/>
  <c r="AP65" i="2"/>
  <c r="AP64" i="2"/>
  <c r="AP66" i="2"/>
  <c r="AP67" i="2"/>
  <c r="AP69" i="2"/>
  <c r="AP71" i="2"/>
  <c r="AP70" i="2"/>
  <c r="AP72" i="2"/>
  <c r="AP73" i="2"/>
  <c r="AQ62" i="2"/>
  <c r="AQ61" i="2"/>
  <c r="AQ63" i="2"/>
  <c r="AQ68" i="2"/>
  <c r="AQ65" i="2"/>
  <c r="AQ64" i="2"/>
  <c r="AQ66" i="2"/>
  <c r="AQ67" i="2"/>
  <c r="AQ69" i="2"/>
  <c r="AQ71" i="2"/>
  <c r="AQ70" i="2"/>
  <c r="AQ72" i="2"/>
  <c r="AQ73" i="2"/>
  <c r="AR62" i="2"/>
  <c r="AR61" i="2"/>
  <c r="AR63" i="2"/>
  <c r="AR68" i="2"/>
  <c r="AR65" i="2"/>
  <c r="AR64" i="2"/>
  <c r="AR66" i="2"/>
  <c r="AR67" i="2"/>
  <c r="AR69" i="2"/>
  <c r="AR71" i="2"/>
  <c r="AR70" i="2"/>
  <c r="AR72" i="2"/>
  <c r="AR73" i="2"/>
  <c r="AS62" i="2"/>
  <c r="AS61" i="2"/>
  <c r="AS63" i="2"/>
  <c r="AS68" i="2"/>
  <c r="AS65" i="2"/>
  <c r="AS64" i="2"/>
  <c r="AS66" i="2"/>
  <c r="AS67" i="2"/>
  <c r="AS69" i="2"/>
  <c r="AS71" i="2"/>
  <c r="AS70" i="2"/>
  <c r="AS72" i="2"/>
  <c r="AS73" i="2"/>
  <c r="AT62" i="2"/>
  <c r="AT61" i="2"/>
  <c r="AT63" i="2"/>
  <c r="AT68" i="2"/>
  <c r="AT65" i="2"/>
  <c r="AT64" i="2"/>
  <c r="AT66" i="2"/>
  <c r="AT67" i="2"/>
  <c r="AT69" i="2"/>
  <c r="AT71" i="2"/>
  <c r="AT70" i="2"/>
  <c r="AT72" i="2"/>
  <c r="AT73" i="2"/>
  <c r="AU62" i="2"/>
  <c r="AU61" i="2"/>
  <c r="AU63" i="2"/>
  <c r="AU68" i="2"/>
  <c r="AU65" i="2"/>
  <c r="AU64" i="2"/>
  <c r="AU66" i="2"/>
  <c r="AU67" i="2"/>
  <c r="AU69" i="2"/>
  <c r="AU71" i="2"/>
  <c r="AU70" i="2"/>
  <c r="AU72" i="2"/>
  <c r="AU73" i="2"/>
  <c r="AV62" i="2"/>
  <c r="AV61" i="2"/>
  <c r="AV63" i="2"/>
  <c r="AV68" i="2"/>
  <c r="AV65" i="2"/>
  <c r="AV64" i="2"/>
  <c r="AV66" i="2"/>
  <c r="AV67" i="2"/>
  <c r="AV69" i="2"/>
  <c r="AV71" i="2"/>
  <c r="AV70" i="2"/>
  <c r="AV72" i="2"/>
  <c r="AV73" i="2"/>
  <c r="AW62" i="2"/>
  <c r="AW61" i="2"/>
  <c r="AW63" i="2"/>
  <c r="AW68" i="2"/>
  <c r="AW65" i="2"/>
  <c r="AW64" i="2"/>
  <c r="AW66" i="2"/>
  <c r="AW67" i="2"/>
  <c r="AW69" i="2"/>
  <c r="AW71" i="2"/>
  <c r="AW70" i="2"/>
  <c r="AW72" i="2"/>
  <c r="AW73" i="2"/>
  <c r="AX62" i="2"/>
  <c r="AX61" i="2"/>
  <c r="AX63" i="2"/>
  <c r="AX68" i="2"/>
  <c r="AX65" i="2"/>
  <c r="AX64" i="2"/>
  <c r="AX66" i="2"/>
  <c r="AX67" i="2"/>
  <c r="AX69" i="2"/>
  <c r="AX71" i="2"/>
  <c r="AX70" i="2"/>
  <c r="AX72" i="2"/>
  <c r="AX73" i="2"/>
  <c r="AY62" i="2"/>
  <c r="AY61" i="2"/>
  <c r="AY63" i="2"/>
  <c r="AY68" i="2"/>
  <c r="AY65" i="2"/>
  <c r="AY64" i="2"/>
  <c r="AY66" i="2"/>
  <c r="AY67" i="2"/>
  <c r="AY69" i="2"/>
  <c r="AY71" i="2"/>
  <c r="AY70" i="2"/>
  <c r="AY72" i="2"/>
  <c r="AY73" i="2"/>
  <c r="AZ62" i="2"/>
  <c r="AZ61" i="2"/>
  <c r="AZ63" i="2"/>
  <c r="AZ68" i="2"/>
  <c r="AZ65" i="2"/>
  <c r="AZ64" i="2"/>
  <c r="AZ66" i="2"/>
  <c r="AZ67" i="2"/>
  <c r="AZ69" i="2"/>
  <c r="AZ71" i="2"/>
  <c r="AZ70" i="2"/>
  <c r="AZ72" i="2"/>
  <c r="AZ73" i="2"/>
  <c r="BA62" i="2"/>
  <c r="BA61" i="2"/>
  <c r="BA63" i="2"/>
  <c r="BA68" i="2"/>
  <c r="BA65" i="2"/>
  <c r="BA64" i="2"/>
  <c r="BA66" i="2"/>
  <c r="BA67" i="2"/>
  <c r="BA69" i="2"/>
  <c r="BA71" i="2"/>
  <c r="BA70" i="2"/>
  <c r="BA72" i="2"/>
  <c r="BA73" i="2"/>
  <c r="BB62" i="2"/>
  <c r="BB61" i="2"/>
  <c r="BB63" i="2"/>
  <c r="BB68" i="2"/>
  <c r="BB65" i="2"/>
  <c r="BB64" i="2"/>
  <c r="BB66" i="2"/>
  <c r="BB67" i="2"/>
  <c r="BB69" i="2"/>
  <c r="BB71" i="2"/>
  <c r="BB70" i="2"/>
  <c r="BB72" i="2"/>
  <c r="BB73" i="2"/>
  <c r="BC62" i="2"/>
  <c r="BC61" i="2"/>
  <c r="BC63" i="2"/>
  <c r="BC68" i="2"/>
  <c r="BC65" i="2"/>
  <c r="BC64" i="2"/>
  <c r="BC66" i="2"/>
  <c r="BC67" i="2"/>
  <c r="BC69" i="2"/>
  <c r="BC71" i="2"/>
  <c r="BC70" i="2"/>
  <c r="BC72" i="2"/>
  <c r="BC73" i="2"/>
  <c r="BD62" i="2"/>
  <c r="BD61" i="2"/>
  <c r="BD63" i="2"/>
  <c r="BD68" i="2"/>
  <c r="BD65" i="2"/>
  <c r="BD64" i="2"/>
  <c r="BD66" i="2"/>
  <c r="BD67" i="2"/>
  <c r="BD69" i="2"/>
  <c r="BD71" i="2"/>
  <c r="BD70" i="2"/>
  <c r="BD72" i="2"/>
  <c r="BD73" i="2"/>
  <c r="BE68" i="2"/>
  <c r="BE65" i="2"/>
  <c r="BE64" i="2"/>
  <c r="BE66" i="2"/>
  <c r="BE67" i="2"/>
  <c r="BE69" i="2"/>
  <c r="BE71" i="2"/>
  <c r="BE70" i="2"/>
  <c r="BE72" i="2"/>
  <c r="BF68" i="2"/>
  <c r="BF65" i="2"/>
  <c r="BF64" i="2"/>
  <c r="BF66" i="2"/>
  <c r="BF67" i="2"/>
  <c r="BF69" i="2"/>
  <c r="BF71" i="2"/>
  <c r="BF70" i="2"/>
  <c r="BF72" i="2"/>
  <c r="U30" i="2"/>
  <c r="U41" i="2"/>
  <c r="BG68" i="2"/>
  <c r="U37" i="2"/>
  <c r="U5" i="2"/>
  <c r="U22" i="2"/>
  <c r="U25" i="2"/>
  <c r="U38" i="2"/>
  <c r="U43" i="2"/>
  <c r="BG65" i="2"/>
  <c r="BG64" i="2"/>
  <c r="BG66" i="2"/>
  <c r="BG67" i="2"/>
  <c r="BG69" i="2"/>
  <c r="BG71" i="2"/>
  <c r="BG70" i="2"/>
  <c r="BG72" i="2"/>
  <c r="V41" i="2"/>
  <c r="BH68" i="2"/>
  <c r="V37" i="2"/>
  <c r="V22" i="2"/>
  <c r="V25" i="2"/>
  <c r="V38" i="2"/>
  <c r="V43" i="2"/>
  <c r="BH65" i="2"/>
  <c r="BH64" i="2"/>
  <c r="BH66" i="2"/>
  <c r="BH67" i="2"/>
  <c r="BH69" i="2"/>
  <c r="BH71" i="2"/>
  <c r="BH70" i="2"/>
  <c r="BH72" i="2"/>
  <c r="W41" i="2"/>
  <c r="BI68" i="2"/>
  <c r="W37" i="2"/>
  <c r="W5" i="2"/>
  <c r="W22" i="2"/>
  <c r="W25" i="2"/>
  <c r="W38" i="2"/>
  <c r="W43" i="2"/>
  <c r="BI65" i="2"/>
  <c r="BI64" i="2"/>
  <c r="BI66" i="2"/>
  <c r="BI67" i="2"/>
  <c r="BI69" i="2"/>
  <c r="BI71" i="2"/>
  <c r="BI70" i="2"/>
  <c r="BI72" i="2"/>
  <c r="BJ68" i="2"/>
  <c r="BJ65" i="2"/>
  <c r="BJ64" i="2"/>
  <c r="BJ66" i="2"/>
  <c r="BJ67" i="2"/>
  <c r="BJ69" i="2"/>
  <c r="BJ71" i="2"/>
  <c r="BJ70" i="2"/>
  <c r="BJ72" i="2"/>
  <c r="BK68" i="2"/>
  <c r="BK65" i="2"/>
  <c r="BK64" i="2"/>
  <c r="BK66" i="2"/>
  <c r="BK67" i="2"/>
  <c r="BK69" i="2"/>
  <c r="BK71" i="2"/>
  <c r="BK70" i="2"/>
  <c r="BK72" i="2"/>
  <c r="BL68" i="2"/>
  <c r="BL65" i="2"/>
  <c r="BL64" i="2"/>
  <c r="BL66" i="2"/>
  <c r="BL67" i="2"/>
  <c r="BL69" i="2"/>
  <c r="BL71" i="2"/>
  <c r="BL70" i="2"/>
  <c r="BL72" i="2"/>
  <c r="AO62" i="2"/>
  <c r="AO61" i="2"/>
  <c r="AO63" i="2"/>
  <c r="AO68" i="2"/>
  <c r="AO65" i="2"/>
  <c r="AO64" i="2"/>
  <c r="AO66" i="2"/>
  <c r="AO67" i="2"/>
  <c r="AO69" i="2"/>
  <c r="AO71" i="2"/>
  <c r="AO70" i="2"/>
  <c r="AO72" i="2"/>
  <c r="AO7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38" i="4"/>
  <c r="AA39" i="4"/>
  <c r="AA246" i="4"/>
  <c r="AA40" i="4"/>
  <c r="AA41" i="4"/>
  <c r="AA42" i="4"/>
  <c r="AA45" i="4"/>
  <c r="AA43" i="4"/>
  <c r="AA44" i="4"/>
  <c r="AA46" i="4"/>
  <c r="AA47" i="4"/>
  <c r="AA48" i="4"/>
  <c r="AA49" i="4"/>
  <c r="AA50" i="4"/>
  <c r="AA51" i="4"/>
  <c r="AA273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247" i="4"/>
  <c r="AA74" i="4"/>
  <c r="AA75" i="4"/>
  <c r="AA76" i="4"/>
  <c r="AA5" i="4"/>
  <c r="AA6" i="4"/>
  <c r="AA7" i="4"/>
  <c r="AA77" i="4"/>
  <c r="AA78" i="4"/>
  <c r="AA248" i="4"/>
  <c r="AA79" i="4"/>
  <c r="AA80" i="4"/>
  <c r="AA81" i="4"/>
  <c r="AA82" i="4"/>
  <c r="AA83" i="4"/>
  <c r="AA84" i="4"/>
  <c r="AA85" i="4"/>
  <c r="AA86" i="4"/>
  <c r="AA87" i="4"/>
  <c r="AA88" i="4"/>
  <c r="AA89" i="4"/>
  <c r="AA8" i="4"/>
  <c r="AA249" i="4"/>
  <c r="AA250" i="4"/>
  <c r="AA90" i="4"/>
  <c r="AA91" i="4"/>
  <c r="AA92" i="4"/>
  <c r="AA93" i="4"/>
  <c r="AA94" i="4"/>
  <c r="AA95" i="4"/>
  <c r="AA96" i="4"/>
  <c r="AA251" i="4"/>
  <c r="AA97" i="4"/>
  <c r="AA98" i="4"/>
  <c r="AA252" i="4"/>
  <c r="AA100" i="4"/>
  <c r="AA101" i="4"/>
  <c r="AA102" i="4"/>
  <c r="AA253" i="4"/>
  <c r="AA274" i="4"/>
  <c r="AA254" i="4"/>
  <c r="AA9" i="4"/>
  <c r="AA10" i="4"/>
  <c r="AA11" i="4"/>
  <c r="AA12" i="4"/>
  <c r="AA103" i="4"/>
  <c r="AA275" i="4"/>
  <c r="AA104" i="4"/>
  <c r="AA290" i="4"/>
  <c r="AA105" i="4"/>
  <c r="AA106" i="4"/>
  <c r="AA295" i="4"/>
  <c r="AA107" i="4"/>
  <c r="AA255" i="4"/>
  <c r="AA108" i="4"/>
  <c r="AA109" i="4"/>
  <c r="AA256" i="4"/>
  <c r="AA110" i="4"/>
  <c r="AA257" i="4"/>
  <c r="AA291" i="4"/>
  <c r="AA258" i="4"/>
  <c r="AA259" i="4"/>
  <c r="AA292" i="4"/>
  <c r="AA276" i="4"/>
  <c r="AA277" i="4"/>
  <c r="AA13" i="4"/>
  <c r="AA111" i="4"/>
  <c r="AA15" i="4"/>
  <c r="AA14" i="4"/>
  <c r="AA112" i="4"/>
  <c r="AA113" i="4"/>
  <c r="AA114" i="4"/>
  <c r="AA115" i="4"/>
  <c r="AA116" i="4"/>
  <c r="AA117" i="4"/>
  <c r="AA260" i="4"/>
  <c r="AA118" i="4"/>
  <c r="AA16" i="4"/>
  <c r="AA119" i="4"/>
  <c r="AA120" i="4"/>
  <c r="AA121" i="4"/>
  <c r="AA122" i="4"/>
  <c r="AA123" i="4"/>
  <c r="AA124" i="4"/>
  <c r="AA261" i="4"/>
  <c r="AA262" i="4"/>
  <c r="AA125" i="4"/>
  <c r="AA263" i="4"/>
  <c r="AA126" i="4"/>
  <c r="AA127" i="4"/>
  <c r="AA128" i="4"/>
  <c r="AA17" i="4"/>
  <c r="AA18" i="4"/>
  <c r="AA129" i="4"/>
  <c r="AA130" i="4"/>
  <c r="AA131" i="4"/>
  <c r="AA284" i="4"/>
  <c r="AA132" i="4"/>
  <c r="AA264" i="4"/>
  <c r="AA133" i="4"/>
  <c r="AA265" i="4"/>
  <c r="AA288" i="4"/>
  <c r="AA134" i="4"/>
  <c r="AA2" i="4"/>
  <c r="AA3" i="4"/>
  <c r="AA135" i="4"/>
  <c r="AA278" i="4"/>
  <c r="AA266" i="4"/>
  <c r="AA136" i="4"/>
  <c r="AA137" i="4"/>
  <c r="AA138" i="4"/>
  <c r="AA139" i="4"/>
  <c r="AA1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267" i="4"/>
  <c r="AA152" i="4"/>
  <c r="AA153" i="4"/>
  <c r="AA154" i="4"/>
  <c r="AA155" i="4"/>
  <c r="AA156" i="4"/>
  <c r="AA157" i="4"/>
  <c r="AA158" i="4"/>
  <c r="AA159" i="4"/>
  <c r="AA279" i="4"/>
  <c r="AA20" i="4"/>
  <c r="AA4" i="4"/>
  <c r="AA160" i="4"/>
  <c r="AA161" i="4"/>
  <c r="AA162" i="4"/>
  <c r="AA285" i="4"/>
  <c r="AA21" i="4"/>
  <c r="AA22" i="4"/>
  <c r="AA23" i="4"/>
  <c r="AA24" i="4"/>
  <c r="AA25" i="4"/>
  <c r="AA26" i="4"/>
  <c r="AA27" i="4"/>
  <c r="AA28" i="4"/>
  <c r="AA29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30" i="4"/>
  <c r="AA178" i="4"/>
  <c r="AA179" i="4"/>
  <c r="AA180" i="4"/>
  <c r="AA181" i="4"/>
  <c r="AA268" i="4"/>
  <c r="AA286" i="4"/>
  <c r="AA287" i="4"/>
  <c r="AA269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33" i="4"/>
  <c r="AA209" i="4"/>
  <c r="AA210" i="4"/>
  <c r="AA34" i="4"/>
  <c r="AA35" i="4"/>
  <c r="AA297" i="4"/>
  <c r="AA36" i="4"/>
  <c r="AA296" i="4"/>
  <c r="AA298" i="4"/>
  <c r="AA208" i="4"/>
  <c r="AA293" i="4"/>
  <c r="AA280" i="4"/>
  <c r="AA294" i="4"/>
  <c r="AA271" i="4"/>
  <c r="AA211" i="4"/>
  <c r="AA212" i="4"/>
  <c r="AA213" i="4"/>
  <c r="AA219" i="4"/>
  <c r="AA281" i="4"/>
  <c r="AA218" i="4"/>
  <c r="AA272" i="4"/>
  <c r="AA282" i="4"/>
  <c r="AA270" i="4"/>
  <c r="AA220" i="4"/>
  <c r="AA221" i="4"/>
  <c r="AA222" i="4"/>
  <c r="AA223" i="4"/>
  <c r="AA224" i="4"/>
  <c r="AA225" i="4"/>
  <c r="AA226" i="4"/>
  <c r="AA227" i="4"/>
  <c r="AA228" i="4"/>
  <c r="AA229" i="4"/>
  <c r="AA31" i="4"/>
  <c r="AA32" i="4"/>
  <c r="AA230" i="4"/>
  <c r="AA231" i="4"/>
  <c r="AA289" i="4"/>
  <c r="AA232" i="4"/>
  <c r="AA214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83" i="4"/>
  <c r="AA245" i="4"/>
  <c r="AA299" i="4"/>
  <c r="AA300" i="4"/>
  <c r="AA301" i="4"/>
  <c r="AA302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33" i="4"/>
  <c r="AA334" i="4"/>
  <c r="AA340" i="4"/>
  <c r="AA319" i="4"/>
  <c r="AA320" i="4"/>
  <c r="AA321" i="4"/>
  <c r="AA322" i="4"/>
  <c r="AA323" i="4"/>
  <c r="AA341" i="4"/>
  <c r="AA342" i="4"/>
  <c r="AA343" i="4"/>
  <c r="AA344" i="4"/>
  <c r="AA345" i="4"/>
  <c r="AA347" i="4"/>
  <c r="AA335" i="4"/>
  <c r="AA346" i="4"/>
  <c r="AA336" i="4"/>
  <c r="AA324" i="4"/>
  <c r="AA338" i="4"/>
  <c r="AA325" i="4"/>
  <c r="AA326" i="4"/>
  <c r="AA327" i="4"/>
  <c r="AA328" i="4"/>
  <c r="AA339" i="4"/>
  <c r="AA329" i="4"/>
  <c r="AA330" i="4"/>
  <c r="AA331" i="4"/>
  <c r="AA332" i="4"/>
  <c r="AA337" i="4"/>
  <c r="AA318" i="4"/>
  <c r="AA348" i="4"/>
  <c r="AA349" i="4"/>
  <c r="AA369" i="4"/>
  <c r="AA350" i="4"/>
  <c r="AA351" i="4"/>
  <c r="AA352" i="4"/>
  <c r="AA353" i="4"/>
  <c r="AA366" i="4"/>
  <c r="AA367" i="4"/>
  <c r="AA368" i="4"/>
  <c r="AA365" i="4"/>
  <c r="AA354" i="4"/>
  <c r="AA355" i="4"/>
  <c r="AA356" i="4"/>
  <c r="AA357" i="4"/>
  <c r="AA358" i="4"/>
  <c r="AA359" i="4"/>
  <c r="AA360" i="4"/>
  <c r="AA362" i="4"/>
  <c r="AA363" i="4"/>
  <c r="AA361" i="4"/>
  <c r="AA364" i="4"/>
  <c r="AA370" i="4"/>
  <c r="AA371" i="4"/>
  <c r="AA372" i="4"/>
  <c r="AA373" i="4"/>
  <c r="AA374" i="4"/>
  <c r="AA375" i="4"/>
  <c r="AA376" i="4"/>
  <c r="AA377" i="4"/>
  <c r="AA378" i="4"/>
  <c r="AA379" i="4"/>
  <c r="AA381" i="4"/>
  <c r="AA382" i="4"/>
  <c r="AA386" i="4"/>
  <c r="AA385" i="4"/>
  <c r="AA383" i="4"/>
  <c r="AA384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37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1" i="2"/>
  <c r="BE62" i="2"/>
  <c r="BE63" i="2"/>
  <c r="BE73" i="2"/>
  <c r="BF61" i="2"/>
  <c r="BF62" i="2"/>
  <c r="BF63" i="2"/>
  <c r="BF7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1" i="2"/>
  <c r="BL62" i="2"/>
  <c r="BL63" i="2"/>
  <c r="BL73" i="2"/>
  <c r="BK61" i="2"/>
  <c r="BK62" i="2"/>
  <c r="BK63" i="2"/>
  <c r="BK73" i="2"/>
  <c r="BJ61" i="2"/>
  <c r="BJ62" i="2"/>
  <c r="BJ63" i="2"/>
  <c r="BJ73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1" i="2"/>
  <c r="BI62" i="2"/>
  <c r="BI63" i="2"/>
  <c r="BI7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1" i="2"/>
  <c r="BH62" i="2"/>
  <c r="BH63" i="2"/>
  <c r="BH7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1" i="2"/>
  <c r="BG62" i="2"/>
  <c r="BG63" i="2"/>
  <c r="BG7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53" i="4"/>
  <c r="AJ231" i="4"/>
  <c r="AJ214" i="4"/>
  <c r="AJ271" i="4"/>
  <c r="AJ270" i="4"/>
  <c r="AJ208" i="4"/>
  <c r="AJ206" i="4"/>
  <c r="AJ205" i="4"/>
  <c r="AJ204" i="4"/>
  <c r="AJ203" i="4"/>
  <c r="AJ201" i="4"/>
  <c r="AJ24" i="4"/>
  <c r="AJ4" i="4"/>
  <c r="AJ144" i="4"/>
  <c r="AJ143" i="4"/>
  <c r="AJ142" i="4"/>
  <c r="AJ132" i="4"/>
  <c r="AJ128" i="4"/>
  <c r="AJ122" i="4"/>
  <c r="AJ121" i="4"/>
  <c r="AJ114" i="4"/>
  <c r="AJ108" i="4"/>
  <c r="AJ89" i="4"/>
  <c r="AJ88" i="4"/>
  <c r="AJ242" i="4"/>
  <c r="AJ278" i="4"/>
  <c r="AJ259" i="4"/>
  <c r="AJ279" i="4"/>
  <c r="AJ12" i="4"/>
  <c r="AJ11" i="4"/>
  <c r="AJ10" i="4"/>
  <c r="AJ95" i="4"/>
  <c r="AJ94" i="4"/>
  <c r="AJ93" i="4"/>
  <c r="AJ7" i="4"/>
  <c r="AJ282" i="4"/>
  <c r="AJ272" i="4"/>
  <c r="AJ182" i="4"/>
  <c r="AJ27" i="4"/>
  <c r="AJ25" i="4"/>
  <c r="AJ22" i="4"/>
  <c r="AJ150" i="4"/>
  <c r="AJ18" i="4"/>
  <c r="AJ125" i="4"/>
  <c r="AJ120" i="4"/>
  <c r="AJ16" i="4"/>
  <c r="AJ116" i="4"/>
  <c r="AJ8" i="4"/>
  <c r="AJ6" i="4"/>
  <c r="AJ75" i="4"/>
  <c r="AJ74" i="4"/>
  <c r="AJ247" i="4"/>
  <c r="AJ73" i="4"/>
  <c r="AJ72" i="4"/>
  <c r="AJ53" i="4"/>
  <c r="AJ245" i="4"/>
  <c r="AJ257" i="4"/>
  <c r="AJ107" i="4"/>
  <c r="AJ96" i="4"/>
  <c r="AJ92" i="4"/>
  <c r="AJ91" i="4"/>
  <c r="AJ90" i="4"/>
  <c r="AJ87" i="4"/>
  <c r="AJ86" i="4"/>
  <c r="AJ85" i="4"/>
  <c r="AJ84" i="4"/>
  <c r="AJ83" i="4"/>
  <c r="AJ82" i="4"/>
  <c r="AJ81" i="4"/>
  <c r="AJ80" i="4"/>
  <c r="AJ79" i="4"/>
  <c r="AJ248" i="4"/>
  <c r="AJ78" i="4"/>
  <c r="AJ54" i="4"/>
  <c r="AJ52" i="4"/>
  <c r="AJ273" i="4"/>
  <c r="AJ289" i="4"/>
  <c r="AJ281" i="4"/>
  <c r="AJ280" i="4"/>
  <c r="AJ33" i="4"/>
  <c r="AJ32" i="4"/>
  <c r="AJ31" i="4"/>
  <c r="AJ19" i="4"/>
  <c r="AJ136" i="4"/>
  <c r="AJ129" i="4"/>
  <c r="AJ112" i="4"/>
  <c r="AJ118" i="4"/>
  <c r="AJ298" i="4"/>
  <c r="AJ297" i="4"/>
  <c r="AJ269" i="4"/>
  <c r="AJ287" i="4"/>
  <c r="AJ286" i="4"/>
  <c r="AJ173" i="4"/>
  <c r="AJ172" i="4"/>
  <c r="AJ164" i="4"/>
  <c r="AJ284" i="4"/>
  <c r="AJ277" i="4"/>
  <c r="AJ276" i="4"/>
  <c r="AJ106" i="4"/>
  <c r="AJ218" i="4"/>
  <c r="AJ213" i="4"/>
  <c r="AJ212" i="4"/>
  <c r="AJ211" i="4"/>
  <c r="AJ202" i="4"/>
  <c r="AJ199" i="4"/>
  <c r="AJ198" i="4"/>
  <c r="AJ268" i="4"/>
  <c r="AJ181" i="4"/>
  <c r="AJ180" i="4"/>
  <c r="AJ179" i="4"/>
  <c r="AJ178" i="4"/>
  <c r="AJ30" i="4"/>
  <c r="AJ177" i="4"/>
  <c r="AJ176" i="4"/>
  <c r="AJ171" i="4"/>
  <c r="AJ170" i="4"/>
  <c r="AJ169" i="4"/>
  <c r="AJ168" i="4"/>
  <c r="AJ167" i="4"/>
  <c r="AJ166" i="4"/>
  <c r="AJ141" i="4"/>
  <c r="AJ138" i="4"/>
  <c r="AJ137" i="4"/>
  <c r="AJ266" i="4"/>
  <c r="AJ265" i="4"/>
  <c r="AJ131" i="4"/>
  <c r="AJ261" i="4"/>
  <c r="AJ123" i="4"/>
  <c r="AJ115" i="4"/>
  <c r="AJ292" i="4"/>
  <c r="AJ109" i="4"/>
  <c r="AJ105" i="4"/>
  <c r="AJ102" i="4"/>
  <c r="AJ77" i="4"/>
  <c r="AJ76" i="4"/>
  <c r="AJ35" i="4"/>
  <c r="AJ34" i="4"/>
  <c r="AJ210" i="4"/>
  <c r="AJ209" i="4"/>
  <c r="AJ207" i="4"/>
  <c r="AJ23" i="4"/>
  <c r="AJ157" i="4"/>
  <c r="AJ156" i="4"/>
  <c r="AJ155" i="4"/>
  <c r="AJ288" i="4"/>
  <c r="AJ264" i="4"/>
  <c r="AJ130" i="4"/>
  <c r="AJ124" i="4"/>
  <c r="AJ117" i="4"/>
  <c r="AJ254" i="4"/>
  <c r="AJ274" i="4"/>
  <c r="AJ229" i="4"/>
  <c r="AJ296" i="4"/>
  <c r="AJ36" i="4"/>
  <c r="AJ187" i="4"/>
  <c r="AJ186" i="4"/>
  <c r="AJ175" i="4"/>
  <c r="AJ21" i="4"/>
  <c r="AJ244" i="4"/>
  <c r="AJ243" i="4"/>
  <c r="AJ227" i="4"/>
  <c r="AJ226" i="4"/>
  <c r="AJ190" i="4"/>
  <c r="AJ189" i="4"/>
  <c r="AJ295" i="4"/>
  <c r="AJ5" i="4"/>
  <c r="AJ200" i="4"/>
  <c r="AJ188" i="4"/>
  <c r="AJ165" i="4"/>
  <c r="AJ29" i="4"/>
  <c r="AJ28" i="4"/>
  <c r="AJ26" i="4"/>
  <c r="AJ20" i="4"/>
  <c r="AJ159" i="4"/>
  <c r="AJ17" i="4"/>
  <c r="AJ256" i="4"/>
  <c r="AJ275" i="4"/>
  <c r="AJ9" i="4"/>
  <c r="AJ101" i="4"/>
  <c r="AJ100" i="4"/>
  <c r="AJ283" i="4"/>
  <c r="AJ241" i="4"/>
  <c r="AJ239" i="4"/>
  <c r="AJ230" i="4"/>
  <c r="AJ228" i="4"/>
  <c r="AJ191" i="4"/>
  <c r="AJ174" i="4"/>
  <c r="AJ285" i="4"/>
  <c r="AJ149" i="4"/>
  <c r="AJ291" i="4"/>
  <c r="AJ110" i="4"/>
  <c r="AJ290" i="4"/>
  <c r="AJ104" i="4"/>
  <c r="AJ267" i="4"/>
  <c r="AJ139" i="4"/>
  <c r="AJ126" i="4"/>
  <c r="AJ113" i="4"/>
  <c r="AJ44" i="4"/>
  <c r="AJ43" i="4"/>
  <c r="AJ42" i="4"/>
  <c r="AJ240" i="4"/>
  <c r="AJ293" i="4"/>
  <c r="AJ162" i="4"/>
  <c r="AJ158" i="4"/>
  <c r="AJ151" i="4"/>
  <c r="AJ103" i="4"/>
  <c r="AJ51" i="4"/>
  <c r="AJ50" i="4"/>
  <c r="AJ49" i="4"/>
  <c r="AJ48" i="4"/>
  <c r="AJ163" i="4"/>
  <c r="AJ161" i="4"/>
  <c r="AJ160" i="4"/>
  <c r="AJ61" i="4"/>
  <c r="AJ225" i="4"/>
  <c r="AJ224" i="4"/>
  <c r="AJ223" i="4"/>
  <c r="AJ222" i="4"/>
  <c r="AJ221" i="4"/>
  <c r="AJ134" i="4"/>
  <c r="AJ119" i="4"/>
  <c r="AJ238" i="4"/>
  <c r="AJ237" i="4"/>
  <c r="AJ236" i="4"/>
  <c r="AJ235" i="4"/>
  <c r="AJ234" i="4"/>
  <c r="AJ233" i="4"/>
  <c r="AJ294" i="4"/>
  <c r="AJ15" i="4"/>
  <c r="AJ258" i="4"/>
  <c r="AJ65" i="4"/>
  <c r="AJ62" i="4"/>
  <c r="AJ47" i="4"/>
  <c r="AJ46" i="4"/>
  <c r="AJ45" i="4"/>
  <c r="AJ41" i="4"/>
  <c r="AJ40" i="4"/>
  <c r="AJ39" i="4"/>
  <c r="AJ38" i="4"/>
  <c r="AJ193" i="4"/>
  <c r="AJ184" i="4"/>
  <c r="AJ183" i="4"/>
  <c r="AJ197" i="4"/>
  <c r="AJ196" i="4"/>
  <c r="AJ195" i="4"/>
  <c r="AJ194" i="4"/>
  <c r="AJ192" i="4"/>
  <c r="AJ185" i="4"/>
  <c r="AJ140" i="4"/>
  <c r="AJ135" i="4"/>
  <c r="AJ3" i="4"/>
  <c r="AJ2" i="4"/>
  <c r="AJ263" i="4"/>
  <c r="AJ97" i="4"/>
  <c r="AJ67" i="4"/>
  <c r="AJ66" i="4"/>
  <c r="AJ98" i="4"/>
  <c r="AJ148" i="4"/>
  <c r="AJ147" i="4"/>
  <c r="AJ60" i="4"/>
  <c r="AJ58" i="4"/>
  <c r="AJ57" i="4"/>
  <c r="AJ154" i="4"/>
  <c r="AJ153" i="4"/>
  <c r="AJ152" i="4"/>
  <c r="AJ127" i="4"/>
  <c r="AJ260" i="4"/>
  <c r="AJ250" i="4"/>
  <c r="AJ249" i="4"/>
  <c r="AJ14" i="4"/>
  <c r="AJ13" i="4"/>
  <c r="AJ262" i="4"/>
  <c r="AJ111" i="4"/>
  <c r="AJ145" i="4"/>
  <c r="AJ59" i="4"/>
  <c r="AJ56" i="4"/>
  <c r="AJ55" i="4"/>
  <c r="AJ232" i="4"/>
  <c r="AJ220" i="4"/>
  <c r="AJ219" i="4"/>
  <c r="AJ146" i="4"/>
  <c r="AJ133" i="4"/>
  <c r="AJ255" i="4"/>
  <c r="AJ252" i="4"/>
  <c r="AJ251" i="4"/>
  <c r="AJ71" i="4"/>
  <c r="AJ70" i="4"/>
  <c r="AJ69" i="4"/>
  <c r="AJ68" i="4"/>
  <c r="AJ64" i="4"/>
  <c r="AJ63" i="4"/>
  <c r="AJ246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37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34" i="4"/>
  <c r="Y110" i="4"/>
  <c r="Y211" i="4"/>
  <c r="Y212" i="4"/>
  <c r="X2" i="12"/>
  <c r="S2" i="12"/>
  <c r="T2" i="12"/>
  <c r="X219" i="4"/>
  <c r="X220" i="4"/>
  <c r="X255" i="4"/>
  <c r="X232" i="4"/>
  <c r="X258" i="4"/>
  <c r="X133" i="4"/>
  <c r="X70" i="4"/>
  <c r="X251" i="4"/>
  <c r="X71" i="4"/>
  <c r="X63" i="4"/>
  <c r="X68" i="4"/>
  <c r="W2" i="12"/>
  <c r="Z34" i="4"/>
  <c r="Z110" i="4"/>
  <c r="Z211" i="4"/>
  <c r="Z212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<sst xmlns="http://schemas.openxmlformats.org/spreadsheetml/2006/main" count="13256" uniqueCount="1529">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</sst>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3136512"/>
        <c:axId val="1083139072"/>
      </c:lineChart>
      <c:catAx>
        <c:axId val="10831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9072"/>
        <c:crosses val="autoZero"/>
        <c:auto val="1"/>
        <c:lblAlgn val="ctr"/>
        <c:lblOffset val="100"/>
        <c:noMultiLvlLbl val="0"/>
      </c:catAx>
      <c:valAx>
        <c:axId val="10831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13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511120"/>
        <c:axId val="1188514112"/>
      </c:lineChart>
      <c:catAx>
        <c:axId val="118851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14112"/>
        <c:crosses val="autoZero"/>
        <c:auto val="1"/>
        <c:lblAlgn val="ctr"/>
        <c:lblOffset val="100"/>
        <c:noMultiLvlLbl val="0"/>
      </c:catAx>
      <c:valAx>
        <c:axId val="11885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1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238432"/>
        <c:axId val="1187240304"/>
      </c:lineChart>
      <c:catAx>
        <c:axId val="118723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40304"/>
        <c:crosses val="autoZero"/>
        <c:auto val="1"/>
        <c:lblAlgn val="ctr"/>
        <c:lblOffset val="100"/>
        <c:noMultiLvlLbl val="0"/>
      </c:catAx>
      <c:valAx>
        <c:axId val="11872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23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360"/>
  <sheetViews>
    <sheetView zoomScale="110" zoomScaleNormal="110" zoomScalePageLayoutView="110" workbookViewId="0">
      <pane xSplit="3" ySplit="1" topLeftCell="D249" activePane="bottomRight" state="frozenSplit"/>
      <selection pane="topRight" activeCell="D1" sqref="D1"/>
      <selection pane="bottomLeft" activeCell="A2" sqref="A2"/>
      <selection pane="bottomRight" activeCell="BF231" sqref="BF231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2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2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0" si="3">E2</f>
        <v>45</v>
      </c>
      <c r="BW2" s="71">
        <f t="shared" ref="BW2:BW30" si="4">I2</f>
        <v>78</v>
      </c>
      <c r="BX2" s="72">
        <f t="shared" ref="BX2:BX30" si="5">M2</f>
        <v>82</v>
      </c>
      <c r="BY2" s="71">
        <f t="shared" ref="BY2:BY30" si="6">Q2</f>
        <v>114</v>
      </c>
      <c r="BZ2" s="72">
        <f t="shared" ref="BZ2:BZ30" si="7">U2</f>
        <v>118</v>
      </c>
      <c r="CA2" s="71">
        <f t="shared" ref="CA2:CA30" si="8">Y2</f>
        <v>154</v>
      </c>
      <c r="CB2" s="72">
        <f t="shared" ref="CB2:CB30" si="9">AC2</f>
        <v>162</v>
      </c>
      <c r="CC2" s="71">
        <f t="shared" ref="CC2:CC30" si="10">AG2</f>
        <v>199</v>
      </c>
      <c r="CD2" s="72">
        <f t="shared" ref="CD2:CD30" si="11">AK2</f>
        <v>205</v>
      </c>
      <c r="CE2" s="71">
        <f t="shared" ref="CE2:CE30" si="12">AO2</f>
        <v>303</v>
      </c>
      <c r="CF2" s="72">
        <f t="shared" ref="CF2:CF30" si="13">AS2</f>
        <v>347</v>
      </c>
      <c r="CG2" s="71">
        <f t="shared" ref="CG2:CG30" si="14">AW2</f>
        <v>373</v>
      </c>
      <c r="CH2" s="70">
        <f t="shared" ref="CH2:CH30" si="15">G2</f>
        <v>77</v>
      </c>
      <c r="CI2" s="71">
        <f t="shared" ref="CI2:CI30" si="16">K2</f>
        <v>81</v>
      </c>
      <c r="CJ2" s="72">
        <f t="shared" ref="CJ2:CJ30" si="17">O2</f>
        <v>113</v>
      </c>
      <c r="CK2" s="72">
        <f t="shared" ref="CK2:CK30" si="18">S2</f>
        <v>117</v>
      </c>
      <c r="CL2" s="72">
        <f t="shared" ref="CL2:CL30" si="19">W2</f>
        <v>153</v>
      </c>
      <c r="CM2" s="72">
        <f t="shared" ref="CM2:CM30" si="20">AA2</f>
        <v>161</v>
      </c>
      <c r="CN2" s="72">
        <f t="shared" ref="CN2:CN30" si="21">AE2</f>
        <v>187</v>
      </c>
      <c r="CO2" s="72">
        <f t="shared" ref="CO2:CO30" si="22">AI2</f>
        <v>201</v>
      </c>
      <c r="CP2" s="72">
        <f t="shared" ref="CP2:CP30" si="23">AM2</f>
        <v>244</v>
      </c>
      <c r="CQ2" s="72">
        <f t="shared" ref="CQ2:CQ30" si="24">AQ2</f>
        <v>339</v>
      </c>
      <c r="CR2" s="72">
        <f t="shared" ref="CR2:CR30" si="25">AU2</f>
        <v>372</v>
      </c>
      <c r="CS2" s="72">
        <f t="shared" ref="CS2:CS30" si="26">AY2</f>
        <v>384</v>
      </c>
      <c r="CT2" s="23">
        <f t="shared" ref="CT2:CT30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264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54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253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54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252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54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L</v>
      </c>
      <c r="E10" s="3">
        <v>54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253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54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18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18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18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18" si="31">E11</f>
        <v>57</v>
      </c>
      <c r="BW11" s="71">
        <f t="shared" ref="BW11:BW18" si="32">I11</f>
        <v>83</v>
      </c>
      <c r="BX11" s="72">
        <f t="shared" ref="BX11:BX18" si="33">M11</f>
        <v>87</v>
      </c>
      <c r="BY11" s="71">
        <f t="shared" ref="BY11:BY18" si="34">Q11</f>
        <v>120</v>
      </c>
      <c r="BZ11" s="72">
        <f t="shared" ref="BZ11:BZ18" si="35">U11</f>
        <v>124</v>
      </c>
      <c r="CA11" s="71" t="str">
        <f t="shared" ref="CA11:CA18" si="36">Y11</f>
        <v>-</v>
      </c>
      <c r="CB11" s="72">
        <f t="shared" ref="CB11:CB18" si="37">AC11</f>
        <v>164</v>
      </c>
      <c r="CC11" s="71">
        <f t="shared" ref="CC11:CC18" si="38">AG11</f>
        <v>207</v>
      </c>
      <c r="CD11" s="72">
        <f t="shared" ref="CD11:CD18" si="39">AK11</f>
        <v>214</v>
      </c>
      <c r="CE11" s="71">
        <f t="shared" ref="CE11:CE18" si="40">AO11</f>
        <v>314</v>
      </c>
      <c r="CF11" s="72">
        <f t="shared" ref="CF11:CF18" si="41">AS11</f>
        <v>354</v>
      </c>
      <c r="CG11" s="71">
        <f t="shared" ref="CG11:CG18" si="42">AW11</f>
        <v>384</v>
      </c>
      <c r="CH11" s="70">
        <f t="shared" ref="CH11:CH18" si="43">G11</f>
        <v>82</v>
      </c>
      <c r="CI11" s="71">
        <f t="shared" ref="CI11:CI18" si="44">K11</f>
        <v>86</v>
      </c>
      <c r="CJ11" s="72">
        <f t="shared" ref="CJ11:CJ18" si="45">O11</f>
        <v>117</v>
      </c>
      <c r="CK11" s="72">
        <f t="shared" ref="CK11:CK18" si="46">S11</f>
        <v>123</v>
      </c>
      <c r="CL11" s="72">
        <f t="shared" ref="CL11:CL18" si="47">W11</f>
        <v>159</v>
      </c>
      <c r="CM11" s="72" t="str">
        <f t="shared" ref="CM11:CM18" si="48">AA11</f>
        <v>-</v>
      </c>
      <c r="CN11" s="72">
        <f t="shared" ref="CN11:CN18" si="49">AE11</f>
        <v>193</v>
      </c>
      <c r="CO11" s="72">
        <f t="shared" ref="CO11:CO18" si="50">AI11</f>
        <v>209</v>
      </c>
      <c r="CP11" s="72">
        <f t="shared" ref="CP11:CP18" si="51">AM11</f>
        <v>248</v>
      </c>
      <c r="CQ11" s="72">
        <f t="shared" ref="CQ11:CQ18" si="52">AQ11</f>
        <v>350</v>
      </c>
      <c r="CR11" s="72">
        <f t="shared" ref="CR11:CR18" si="53">AU11</f>
        <v>382</v>
      </c>
      <c r="CS11" s="72">
        <f t="shared" ref="CS11:CS18" si="54">AY11</f>
        <v>396</v>
      </c>
      <c r="CT11" s="23">
        <f t="shared" ref="CT11:CT18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L</v>
      </c>
      <c r="E12" s="3">
        <v>54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250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54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9" t="str">
        <f t="shared" si="28"/>
        <v>5ht2c_human__wt</v>
      </c>
      <c r="B13" s="9" t="s">
        <v>133</v>
      </c>
      <c r="C13" s="9" t="s">
        <v>100</v>
      </c>
      <c r="D13" s="9" t="str">
        <f>IFERROR(MID(VLOOKUP($B13,Seqs!$A:$B,2,0),E13,1),"")</f>
        <v>N</v>
      </c>
      <c r="E13" s="9">
        <v>54</v>
      </c>
      <c r="F13" s="9" t="str">
        <f>IFERROR(MID(VLOOKUP($B13,Seqs!$A:$B,2,0),G13,1),"")</f>
        <v>E</v>
      </c>
      <c r="G13" s="9">
        <v>81</v>
      </c>
      <c r="H13" s="9" t="str">
        <f>IFERROR(MID(VLOOKUP($B13,Seqs!$A:$B,2,0),I13,1),"")</f>
        <v>K</v>
      </c>
      <c r="I13" s="109">
        <v>82</v>
      </c>
      <c r="J13" s="9" t="str">
        <f>IFERROR(MID(VLOOKUP($B13,Seqs!$A:$B,2,0),K13,1),"")</f>
        <v>H</v>
      </c>
      <c r="K13" s="109">
        <v>85</v>
      </c>
      <c r="L13" s="9" t="str">
        <f>IFERROR(MID(VLOOKUP($B13,Seqs!$A:$B,2,0),M13,1),"")</f>
        <v>N</v>
      </c>
      <c r="M13" s="9">
        <v>86</v>
      </c>
      <c r="N13" s="9" t="str">
        <f>IFERROR(MID(VLOOKUP($B13,Seqs!$A:$B,2,0),O13,1),"")</f>
        <v>D</v>
      </c>
      <c r="O13" s="9">
        <v>117</v>
      </c>
      <c r="P13" s="9" t="str">
        <f>IFERROR(MID(VLOOKUP($B13,Seqs!$A:$B,2,0),Q13,1),"")</f>
        <v>V</v>
      </c>
      <c r="Q13" s="9">
        <v>119</v>
      </c>
      <c r="R13" s="9" t="str">
        <f>IFERROR(MID(VLOOKUP($B13,Seqs!$A:$B,2,0),S13,1),"")</f>
        <v>L</v>
      </c>
      <c r="S13" s="9">
        <v>122</v>
      </c>
      <c r="T13" s="9" t="str">
        <f>IFERROR(MID(VLOOKUP($B13,Seqs!$A:$B,2,0),U13,1),"")</f>
        <v>P</v>
      </c>
      <c r="U13" s="9">
        <v>123</v>
      </c>
      <c r="V13" s="9" t="str">
        <f>IFERROR(MID(VLOOKUP($B13,Seqs!$A:$B,2,0),W13,1),"")</f>
        <v>N</v>
      </c>
      <c r="W13" s="9">
        <v>158</v>
      </c>
      <c r="X13" s="9" t="str">
        <f>IFERROR(MID(VLOOKUP($B13,Seqs!$A:$B,2,0),Y13,1),"")</f>
        <v>P</v>
      </c>
      <c r="Y13" s="9">
        <v>159</v>
      </c>
      <c r="Z13" s="9" t="str">
        <f>IFERROR(MID(VLOOKUP($B13,Seqs!$A:$B,2,0),AA13,1),"")</f>
        <v>N</v>
      </c>
      <c r="AA13" s="9">
        <v>166</v>
      </c>
      <c r="AB13" s="9" t="str">
        <f>IFERROR(MID(VLOOKUP($B13,Seqs!$A:$B,2,0),AC13,1),"")</f>
        <v>S</v>
      </c>
      <c r="AC13" s="9">
        <v>167</v>
      </c>
      <c r="AD13" s="9" t="str">
        <f>IFERROR(MID(VLOOKUP($B13,Seqs!$A:$B,2,0),AE13,1),"")</f>
        <v>D</v>
      </c>
      <c r="AE13" s="9">
        <v>196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D</v>
      </c>
      <c r="AK13" s="9">
        <v>211</v>
      </c>
      <c r="AL13" s="9" t="str">
        <f>IFERROR(MID(VLOOKUP($B13,Seqs!$A:$B,2,0),AM13,1),"")</f>
        <v>H</v>
      </c>
      <c r="AM13" s="9">
        <v>250</v>
      </c>
      <c r="AN13" s="9" t="str">
        <f>IFERROR(MID(VLOOKUP($B13,Seqs!$A:$B,2,0),AO13,1),"")</f>
        <v>M</v>
      </c>
      <c r="AO13" s="9">
        <v>300</v>
      </c>
      <c r="AP13" s="9" t="str">
        <f>IFERROR(MID(VLOOKUP($B13,Seqs!$A:$B,2,0),AQ13,1),"")</f>
        <v>C</v>
      </c>
      <c r="AQ13" s="9">
        <v>337</v>
      </c>
      <c r="AR13" s="9" t="str">
        <f>IFERROR(MID(VLOOKUP($B13,Seqs!$A:$B,2,0),AS13,1),"")</f>
        <v>N</v>
      </c>
      <c r="AS13" s="9">
        <v>342</v>
      </c>
      <c r="AT13" s="9" t="str">
        <f>IFERROR(MID(VLOOKUP($B13,Seqs!$A:$B,2,0),AU13,1),"")</f>
        <v>F</v>
      </c>
      <c r="AU13" s="9">
        <v>371</v>
      </c>
      <c r="AV13" s="9" t="str">
        <f>IFERROR(MID(VLOOKUP($B13,Seqs!$A:$B,2,0),AW13,1),"")</f>
        <v>N</v>
      </c>
      <c r="AW13" s="9">
        <v>372</v>
      </c>
      <c r="AX13" s="9" t="str">
        <f>IFERROR(MID(VLOOKUP($B13,Seqs!$A:$B,2,0),AY13,1),"")</f>
        <v>C</v>
      </c>
      <c r="AY13" s="9">
        <v>385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si="29"/>
        <v>1</v>
      </c>
      <c r="BC13" s="109">
        <f t="shared" si="30"/>
        <v>267</v>
      </c>
      <c r="BD13" s="11" t="s">
        <v>23</v>
      </c>
      <c r="BE13" s="9" t="s">
        <v>23</v>
      </c>
      <c r="BF13" s="120" t="s">
        <v>23</v>
      </c>
      <c r="BG13" s="51" t="s">
        <v>1384</v>
      </c>
      <c r="BH13" s="51" t="s">
        <v>1384</v>
      </c>
      <c r="BI13" s="12"/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si="31"/>
        <v>54</v>
      </c>
      <c r="BW13" s="113">
        <f t="shared" si="32"/>
        <v>82</v>
      </c>
      <c r="BX13" s="114">
        <f t="shared" si="33"/>
        <v>86</v>
      </c>
      <c r="BY13" s="113">
        <f t="shared" si="34"/>
        <v>119</v>
      </c>
      <c r="BZ13" s="114">
        <f t="shared" si="35"/>
        <v>123</v>
      </c>
      <c r="CA13" s="113">
        <f t="shared" si="36"/>
        <v>159</v>
      </c>
      <c r="CB13" s="114">
        <f t="shared" si="37"/>
        <v>167</v>
      </c>
      <c r="CC13" s="113">
        <f t="shared" si="38"/>
        <v>207</v>
      </c>
      <c r="CD13" s="114">
        <f t="shared" si="39"/>
        <v>211</v>
      </c>
      <c r="CE13" s="113">
        <f t="shared" si="40"/>
        <v>300</v>
      </c>
      <c r="CF13" s="114">
        <f t="shared" si="41"/>
        <v>342</v>
      </c>
      <c r="CG13" s="113">
        <f t="shared" si="42"/>
        <v>372</v>
      </c>
      <c r="CH13" s="111">
        <f t="shared" si="43"/>
        <v>81</v>
      </c>
      <c r="CI13" s="113">
        <f t="shared" si="44"/>
        <v>85</v>
      </c>
      <c r="CJ13" s="114">
        <f t="shared" si="45"/>
        <v>117</v>
      </c>
      <c r="CK13" s="114">
        <f t="shared" si="46"/>
        <v>122</v>
      </c>
      <c r="CL13" s="114">
        <f t="shared" si="47"/>
        <v>158</v>
      </c>
      <c r="CM13" s="114">
        <f t="shared" si="48"/>
        <v>166</v>
      </c>
      <c r="CN13" s="114">
        <f t="shared" si="49"/>
        <v>196</v>
      </c>
      <c r="CO13" s="114">
        <f t="shared" si="50"/>
        <v>209</v>
      </c>
      <c r="CP13" s="114">
        <f t="shared" si="51"/>
        <v>250</v>
      </c>
      <c r="CQ13" s="114">
        <f t="shared" si="52"/>
        <v>337</v>
      </c>
      <c r="CR13" s="114">
        <f t="shared" si="53"/>
        <v>371</v>
      </c>
      <c r="CS13" s="114">
        <f t="shared" si="54"/>
        <v>385</v>
      </c>
      <c r="CT13" s="109">
        <f t="shared" si="55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9" t="str">
        <f t="shared" si="28"/>
        <v>5ht2c_human_6BQG</v>
      </c>
      <c r="B14" s="9" t="s">
        <v>133</v>
      </c>
      <c r="C14" s="9" t="s">
        <v>1478</v>
      </c>
      <c r="D14" s="9" t="str">
        <f>IFERROR(MID(VLOOKUP($B14,Seqs!$A:$B,2,0),E14,1),"")</f>
        <v>V</v>
      </c>
      <c r="E14" s="9">
        <v>61</v>
      </c>
      <c r="F14" s="9" t="str">
        <f>IFERROR(MID(VLOOKUP($B14,Seqs!$A:$B,2,0),G14,1),"")</f>
        <v>E</v>
      </c>
      <c r="G14" s="9">
        <v>81</v>
      </c>
      <c r="H14" s="9" t="str">
        <f>IFERROR(MID(VLOOKUP($B14,Seqs!$A:$B,2,0),I14,1),"")</f>
        <v>K</v>
      </c>
      <c r="I14" s="109">
        <v>82</v>
      </c>
      <c r="J14" s="9" t="str">
        <f>IFERROR(MID(VLOOKUP($B14,Seqs!$A:$B,2,0),K14,1),"")</f>
        <v>H</v>
      </c>
      <c r="K14" s="109">
        <v>85</v>
      </c>
      <c r="L14" s="9" t="str">
        <f>IFERROR(MID(VLOOKUP($B14,Seqs!$A:$B,2,0),M14,1),"")</f>
        <v>N</v>
      </c>
      <c r="M14" s="9">
        <v>86</v>
      </c>
      <c r="N14" s="9" t="str">
        <f>IFERROR(MID(VLOOKUP($B14,Seqs!$A:$B,2,0),O14,1),"")</f>
        <v>D</v>
      </c>
      <c r="O14" s="9">
        <v>117</v>
      </c>
      <c r="P14" s="9" t="str">
        <f>IFERROR(MID(VLOOKUP($B14,Seqs!$A:$B,2,0),Q14,1),"")</f>
        <v>V</v>
      </c>
      <c r="Q14" s="9">
        <v>119</v>
      </c>
      <c r="R14" s="9" t="str">
        <f>IFERROR(MID(VLOOKUP($B14,Seqs!$A:$B,2,0),S14,1),"")</f>
        <v>L</v>
      </c>
      <c r="S14" s="9">
        <v>122</v>
      </c>
      <c r="T14" s="9" t="str">
        <f>IFERROR(MID(VLOOKUP($B14,Seqs!$A:$B,2,0),U14,1),"")</f>
        <v>P</v>
      </c>
      <c r="U14" s="9">
        <v>123</v>
      </c>
      <c r="V14" s="9" t="str">
        <f>IFERROR(MID(VLOOKUP($B14,Seqs!$A:$B,2,0),W14,1),"")</f>
        <v>N</v>
      </c>
      <c r="W14" s="9">
        <v>158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167</v>
      </c>
      <c r="AD14" s="9" t="str">
        <f>IFERROR(MID(VLOOKUP($B14,Seqs!$A:$B,2,0),AE14,1),"")</f>
        <v>D</v>
      </c>
      <c r="AE14" s="9">
        <v>196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D</v>
      </c>
      <c r="AK14" s="9">
        <v>211</v>
      </c>
      <c r="AL14" s="9" t="str">
        <f>IFERROR(MID(VLOOKUP($B14,Seqs!$A:$B,2,0),AM14,1),"")</f>
        <v>A</v>
      </c>
      <c r="AM14" s="9">
        <v>245</v>
      </c>
      <c r="AN14" s="9" t="str">
        <f>IFERROR(MID(VLOOKUP($B14,Seqs!$A:$B,2,0),AO14,1),"")</f>
        <v>Q</v>
      </c>
      <c r="AO14" s="9">
        <v>301</v>
      </c>
      <c r="AP14" s="9" t="str">
        <f>IFERROR(MID(VLOOKUP($B14,Seqs!$A:$B,2,0),AQ14,1),"")</f>
        <v>C</v>
      </c>
      <c r="AQ14" s="9">
        <v>337</v>
      </c>
      <c r="AR14" s="9" t="str">
        <f>IFERROR(MID(VLOOKUP($B14,Seqs!$A:$B,2,0),AS14,1),"")</f>
        <v>N</v>
      </c>
      <c r="AS14" s="9">
        <v>342</v>
      </c>
      <c r="AT14" s="9" t="str">
        <f>IFERROR(MID(VLOOKUP($B14,Seqs!$A:$B,2,0),AU14,1),"")</f>
        <v>F</v>
      </c>
      <c r="AU14" s="9">
        <v>371</v>
      </c>
      <c r="AV14" s="9" t="str">
        <f>IFERROR(MID(VLOOKUP($B14,Seqs!$A:$B,2,0),AW14,1),"")</f>
        <v>N</v>
      </c>
      <c r="AW14" s="9">
        <v>372</v>
      </c>
      <c r="AX14" s="9" t="str">
        <f>IFERROR(MID(VLOOKUP($B14,Seqs!$A:$B,2,0),AY14,1),"")</f>
        <v>C</v>
      </c>
      <c r="AY14" s="9">
        <v>385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si="29"/>
        <v>1</v>
      </c>
      <c r="BC14" s="109">
        <f t="shared" si="30"/>
        <v>247</v>
      </c>
      <c r="BD14" s="11" t="s">
        <v>1382</v>
      </c>
      <c r="BE14" s="9" t="s">
        <v>1297</v>
      </c>
      <c r="BF14" s="120">
        <v>3</v>
      </c>
      <c r="BG14" s="51" t="s">
        <v>1</v>
      </c>
      <c r="BH14" s="51" t="s">
        <v>1</v>
      </c>
      <c r="BI14" s="12"/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si="31"/>
        <v>61</v>
      </c>
      <c r="BW14" s="113">
        <f t="shared" si="32"/>
        <v>82</v>
      </c>
      <c r="BX14" s="114">
        <f t="shared" si="33"/>
        <v>86</v>
      </c>
      <c r="BY14" s="113">
        <f t="shared" si="34"/>
        <v>119</v>
      </c>
      <c r="BZ14" s="114">
        <f t="shared" si="35"/>
        <v>123</v>
      </c>
      <c r="CA14" s="113" t="str">
        <f t="shared" si="36"/>
        <v>-</v>
      </c>
      <c r="CB14" s="114">
        <f t="shared" si="37"/>
        <v>167</v>
      </c>
      <c r="CC14" s="113">
        <f t="shared" si="38"/>
        <v>207</v>
      </c>
      <c r="CD14" s="114">
        <f t="shared" si="39"/>
        <v>211</v>
      </c>
      <c r="CE14" s="113">
        <f t="shared" si="40"/>
        <v>301</v>
      </c>
      <c r="CF14" s="114">
        <f t="shared" si="41"/>
        <v>342</v>
      </c>
      <c r="CG14" s="113">
        <f t="shared" si="42"/>
        <v>372</v>
      </c>
      <c r="CH14" s="111">
        <f t="shared" si="43"/>
        <v>81</v>
      </c>
      <c r="CI14" s="113">
        <f t="shared" si="44"/>
        <v>85</v>
      </c>
      <c r="CJ14" s="114">
        <f t="shared" si="45"/>
        <v>117</v>
      </c>
      <c r="CK14" s="114">
        <f t="shared" si="46"/>
        <v>122</v>
      </c>
      <c r="CL14" s="114">
        <f t="shared" si="47"/>
        <v>158</v>
      </c>
      <c r="CM14" s="114" t="str">
        <f t="shared" si="48"/>
        <v>-</v>
      </c>
      <c r="CN14" s="114">
        <f t="shared" si="49"/>
        <v>196</v>
      </c>
      <c r="CO14" s="114">
        <f t="shared" si="50"/>
        <v>209</v>
      </c>
      <c r="CP14" s="114">
        <f t="shared" si="51"/>
        <v>245</v>
      </c>
      <c r="CQ14" s="114">
        <f t="shared" si="52"/>
        <v>337</v>
      </c>
      <c r="CR14" s="114">
        <f t="shared" si="53"/>
        <v>371</v>
      </c>
      <c r="CS14" s="114">
        <f t="shared" si="54"/>
        <v>385</v>
      </c>
      <c r="CT14" s="109">
        <f t="shared" si="55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9" t="str">
        <f t="shared" si="28"/>
        <v>5ht2c_human_6BQH</v>
      </c>
      <c r="B15" s="9" t="s">
        <v>133</v>
      </c>
      <c r="C15" s="9" t="s">
        <v>1479</v>
      </c>
      <c r="D15" s="9" t="str">
        <f>IFERROR(MID(VLOOKUP($B15,Seqs!$A:$B,2,0),E15,1),"")</f>
        <v>I</v>
      </c>
      <c r="E15" s="9">
        <v>60</v>
      </c>
      <c r="F15" s="9" t="str">
        <f>IFERROR(MID(VLOOKUP($B15,Seqs!$A:$B,2,0),G15,1),"")</f>
        <v>E</v>
      </c>
      <c r="G15" s="9">
        <v>81</v>
      </c>
      <c r="H15" s="9" t="str">
        <f>IFERROR(MID(VLOOKUP($B15,Seqs!$A:$B,2,0),I15,1),"")</f>
        <v>K</v>
      </c>
      <c r="I15" s="109">
        <v>82</v>
      </c>
      <c r="J15" s="9" t="str">
        <f>IFERROR(MID(VLOOKUP($B15,Seqs!$A:$B,2,0),K15,1),"")</f>
        <v>H</v>
      </c>
      <c r="K15" s="109">
        <v>85</v>
      </c>
      <c r="L15" s="9" t="str">
        <f>IFERROR(MID(VLOOKUP($B15,Seqs!$A:$B,2,0),M15,1),"")</f>
        <v>N</v>
      </c>
      <c r="M15" s="9">
        <v>86</v>
      </c>
      <c r="N15" s="9" t="str">
        <f>IFERROR(MID(VLOOKUP($B15,Seqs!$A:$B,2,0),O15,1),"")</f>
        <v>D</v>
      </c>
      <c r="O15" s="9">
        <v>117</v>
      </c>
      <c r="P15" s="9" t="str">
        <f>IFERROR(MID(VLOOKUP($B15,Seqs!$A:$B,2,0),Q15,1),"")</f>
        <v>V</v>
      </c>
      <c r="Q15" s="9">
        <v>119</v>
      </c>
      <c r="R15" s="9" t="str">
        <f>IFERROR(MID(VLOOKUP($B15,Seqs!$A:$B,2,0),S15,1),"")</f>
        <v>L</v>
      </c>
      <c r="S15" s="9">
        <v>122</v>
      </c>
      <c r="T15" s="9" t="str">
        <f>IFERROR(MID(VLOOKUP($B15,Seqs!$A:$B,2,0),U15,1),"")</f>
        <v>P</v>
      </c>
      <c r="U15" s="9">
        <v>123</v>
      </c>
      <c r="V15" s="9" t="str">
        <f>IFERROR(MID(VLOOKUP($B15,Seqs!$A:$B,2,0),W15,1),"")</f>
        <v>R</v>
      </c>
      <c r="W15" s="9">
        <v>157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N</v>
      </c>
      <c r="AC15" s="9">
        <v>166</v>
      </c>
      <c r="AD15" s="9" t="str">
        <f>IFERROR(MID(VLOOKUP($B15,Seqs!$A:$B,2,0),AE15,1),"")</f>
        <v>D</v>
      </c>
      <c r="AE15" s="9">
        <v>196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D</v>
      </c>
      <c r="AK15" s="9">
        <v>211</v>
      </c>
      <c r="AL15" s="9" t="str">
        <f>IFERROR(MID(VLOOKUP($B15,Seqs!$A:$B,2,0),AM15,1),"")</f>
        <v>A</v>
      </c>
      <c r="AM15" s="9">
        <v>245</v>
      </c>
      <c r="AN15" s="9" t="str">
        <f>IFERROR(MID(VLOOKUP($B15,Seqs!$A:$B,2,0),AO15,1),"")</f>
        <v>Q</v>
      </c>
      <c r="AO15" s="9">
        <v>301</v>
      </c>
      <c r="AP15" s="9" t="str">
        <f>IFERROR(MID(VLOOKUP($B15,Seqs!$A:$B,2,0),AQ15,1),"")</f>
        <v>L</v>
      </c>
      <c r="AQ15" s="9">
        <v>336</v>
      </c>
      <c r="AR15" s="9" t="str">
        <f>IFERROR(MID(VLOOKUP($B15,Seqs!$A:$B,2,0),AS15,1),"")</f>
        <v>N</v>
      </c>
      <c r="AS15" s="9">
        <v>342</v>
      </c>
      <c r="AT15" s="9" t="str">
        <f>IFERROR(MID(VLOOKUP($B15,Seqs!$A:$B,2,0),AU15,1),"")</f>
        <v>F</v>
      </c>
      <c r="AU15" s="9">
        <v>371</v>
      </c>
      <c r="AV15" s="9" t="str">
        <f>IFERROR(MID(VLOOKUP($B15,Seqs!$A:$B,2,0),AW15,1),"")</f>
        <v>N</v>
      </c>
      <c r="AW15" s="9">
        <v>372</v>
      </c>
      <c r="AX15" s="9" t="str">
        <f>IFERROR(MID(VLOOKUP($B15,Seqs!$A:$B,2,0),AY15,1),"")</f>
        <v>N</v>
      </c>
      <c r="AY15" s="9">
        <v>386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si="29"/>
        <v>1</v>
      </c>
      <c r="BC15" s="109">
        <f t="shared" si="30"/>
        <v>248</v>
      </c>
      <c r="BD15" s="11" t="s">
        <v>1440</v>
      </c>
      <c r="BE15" s="9" t="s">
        <v>1439</v>
      </c>
      <c r="BF15" s="120">
        <v>2.7</v>
      </c>
      <c r="BG15" s="51" t="s">
        <v>1</v>
      </c>
      <c r="BH15" s="51" t="s">
        <v>1</v>
      </c>
      <c r="BI15" s="12"/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si="31"/>
        <v>60</v>
      </c>
      <c r="BW15" s="113">
        <f t="shared" si="32"/>
        <v>82</v>
      </c>
      <c r="BX15" s="114">
        <f t="shared" si="33"/>
        <v>86</v>
      </c>
      <c r="BY15" s="113">
        <f t="shared" si="34"/>
        <v>119</v>
      </c>
      <c r="BZ15" s="114">
        <f t="shared" si="35"/>
        <v>123</v>
      </c>
      <c r="CA15" s="113" t="str">
        <f t="shared" si="36"/>
        <v>-</v>
      </c>
      <c r="CB15" s="114">
        <f t="shared" si="37"/>
        <v>166</v>
      </c>
      <c r="CC15" s="113">
        <f t="shared" si="38"/>
        <v>207</v>
      </c>
      <c r="CD15" s="114">
        <f t="shared" si="39"/>
        <v>211</v>
      </c>
      <c r="CE15" s="113">
        <f t="shared" si="40"/>
        <v>301</v>
      </c>
      <c r="CF15" s="114">
        <f t="shared" si="41"/>
        <v>342</v>
      </c>
      <c r="CG15" s="113">
        <f t="shared" si="42"/>
        <v>372</v>
      </c>
      <c r="CH15" s="111">
        <f t="shared" si="43"/>
        <v>81</v>
      </c>
      <c r="CI15" s="113">
        <f t="shared" si="44"/>
        <v>85</v>
      </c>
      <c r="CJ15" s="114">
        <f t="shared" si="45"/>
        <v>117</v>
      </c>
      <c r="CK15" s="114">
        <f t="shared" si="46"/>
        <v>122</v>
      </c>
      <c r="CL15" s="114">
        <f t="shared" si="47"/>
        <v>157</v>
      </c>
      <c r="CM15" s="114" t="str">
        <f t="shared" si="48"/>
        <v>-</v>
      </c>
      <c r="CN15" s="114">
        <f t="shared" si="49"/>
        <v>196</v>
      </c>
      <c r="CO15" s="114">
        <f t="shared" si="50"/>
        <v>209</v>
      </c>
      <c r="CP15" s="114">
        <f t="shared" si="51"/>
        <v>245</v>
      </c>
      <c r="CQ15" s="114">
        <f t="shared" si="52"/>
        <v>336</v>
      </c>
      <c r="CR15" s="114">
        <f t="shared" si="53"/>
        <v>371</v>
      </c>
      <c r="CS15" s="114">
        <f t="shared" si="54"/>
        <v>386</v>
      </c>
      <c r="CT15" s="109">
        <f t="shared" si="55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28"/>
        <v>aa1r_human__wt</v>
      </c>
      <c r="B16" s="3" t="s">
        <v>138</v>
      </c>
      <c r="C16" s="3" t="s">
        <v>100</v>
      </c>
      <c r="D16" s="3" t="str">
        <f>IFERROR(MID(VLOOKUP($B16,Seqs!$A:$B,2,0),E16,1),"")</f>
        <v>S</v>
      </c>
      <c r="E16" s="3">
        <v>6</v>
      </c>
      <c r="F16" s="3" t="str">
        <f>IFERROR(MID(VLOOKUP($B16,Seqs!$A:$B,2,0),G16,1),"")</f>
        <v>N</v>
      </c>
      <c r="G16" s="3">
        <v>37</v>
      </c>
      <c r="H16" s="3" t="str">
        <f>IFERROR(MID(VLOOKUP($B16,Seqs!$A:$B,2,0),I16,1),"")</f>
        <v>Q</v>
      </c>
      <c r="I16" s="23">
        <v>38</v>
      </c>
      <c r="J16" s="3" t="str">
        <f>IFERROR(MID(VLOOKUP($B16,Seqs!$A:$B,2,0),K16,1),"")</f>
        <v>R</v>
      </c>
      <c r="K16" s="23">
        <v>41</v>
      </c>
      <c r="L16" s="3" t="str">
        <f>IFERROR(MID(VLOOKUP($B16,Seqs!$A:$B,2,0),M16,1),"")</f>
        <v>D</v>
      </c>
      <c r="M16" s="3">
        <v>42</v>
      </c>
      <c r="N16" s="3" t="str">
        <f>IFERROR(MID(VLOOKUP($B16,Seqs!$A:$B,2,0),O16,1),"")</f>
        <v>G</v>
      </c>
      <c r="O16" s="3">
        <v>72</v>
      </c>
      <c r="P16" s="3" t="str">
        <f>IFERROR(MID(VLOOKUP($B16,Seqs!$A:$B,2,0),Q16,1),"")</f>
        <v>P</v>
      </c>
      <c r="Q16" s="3">
        <v>73</v>
      </c>
      <c r="R16" s="3" t="str">
        <f>IFERROR(MID(VLOOKUP($B16,Seqs!$A:$B,2,0),S16,1),"")</f>
        <v>T</v>
      </c>
      <c r="S16" s="3">
        <v>75</v>
      </c>
      <c r="T16" s="3" t="str">
        <f>IFERROR(MID(VLOOKUP($B16,Seqs!$A:$B,2,0),U16,1),"")</f>
        <v>Y</v>
      </c>
      <c r="U16" s="3">
        <v>76</v>
      </c>
      <c r="V16" s="3" t="str">
        <f>IFERROR(MID(VLOOKUP($B16,Seqs!$A:$B,2,0),W16,1),"")</f>
        <v>I</v>
      </c>
      <c r="W16" s="3">
        <v>111</v>
      </c>
      <c r="X16" s="3" t="str">
        <f>IFERROR(MID(VLOOKUP($B16,Seqs!$A:$B,2,0),Y16,1),"")</f>
        <v>P</v>
      </c>
      <c r="Y16" s="3">
        <v>112</v>
      </c>
      <c r="Z16" s="3" t="str">
        <f>IFERROR(MID(VLOOKUP($B16,Seqs!$A:$B,2,0),AA16,1),"")</f>
        <v>V</v>
      </c>
      <c r="AA16" s="3">
        <v>119</v>
      </c>
      <c r="AB16" s="3" t="str">
        <f>IFERROR(MID(VLOOKUP($B16,Seqs!$A:$B,2,0),AC16,1),"")</f>
        <v>T</v>
      </c>
      <c r="AC16" s="3">
        <v>120</v>
      </c>
      <c r="AD16" s="3" t="str">
        <f>IFERROR(MID(VLOOKUP($B16,Seqs!$A:$B,2,0),AE16,1),"")</f>
        <v>G</v>
      </c>
      <c r="AE16" s="3">
        <v>145</v>
      </c>
      <c r="AF16" s="3" t="str">
        <f>IFERROR(MID(VLOOKUP($B16,Seqs!$A:$B,2,0),AG16,1),"")</f>
        <v>C</v>
      </c>
      <c r="AG16" s="3">
        <v>169</v>
      </c>
      <c r="AH16" s="3" t="str">
        <f>IFERROR(MID(VLOOKUP($B16,Seqs!$A:$B,2,0),AI16,1),"")</f>
        <v>F</v>
      </c>
      <c r="AI16" s="3">
        <v>171</v>
      </c>
      <c r="AJ16" s="3" t="str">
        <f>IFERROR(MID(VLOOKUP($B16,Seqs!$A:$B,2,0),AK16,1),"")</f>
        <v>S</v>
      </c>
      <c r="AK16" s="3">
        <v>176</v>
      </c>
      <c r="AL16" s="3" t="str">
        <f>IFERROR(MID(VLOOKUP($B16,Seqs!$A:$B,2,0),AM16,1),"")</f>
        <v>V</v>
      </c>
      <c r="AM16" s="3">
        <v>215</v>
      </c>
      <c r="AN16" s="3" t="str">
        <f>IFERROR(MID(VLOOKUP($B16,Seqs!$A:$B,2,0),AO16,1),"")</f>
        <v>D</v>
      </c>
      <c r="AO16" s="3">
        <v>221</v>
      </c>
      <c r="AP16" s="3" t="str">
        <f>IFERROR(MID(VLOOKUP($B16,Seqs!$A:$B,2,0),AQ16,1),"")</f>
        <v>C</v>
      </c>
      <c r="AQ16" s="3">
        <v>260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P</v>
      </c>
      <c r="AY16" s="3">
        <v>314</v>
      </c>
      <c r="AZ16" s="77" t="str">
        <f>VLOOKUP(B16,Classification!A:D,2,0)</f>
        <v>A</v>
      </c>
      <c r="BA16" s="94" t="str">
        <f>VLOOKUP(B16,Classification!A:D,4,0)</f>
        <v>Adenosine</v>
      </c>
      <c r="BB16" s="27" t="b">
        <f t="shared" si="29"/>
        <v>1</v>
      </c>
      <c r="BC16" s="23">
        <f t="shared" si="30"/>
        <v>272</v>
      </c>
      <c r="BD16" s="4" t="s">
        <v>23</v>
      </c>
      <c r="BE16" s="3" t="s">
        <v>23</v>
      </c>
      <c r="BF16" s="119" t="s">
        <v>23</v>
      </c>
      <c r="BG16" s="49" t="s">
        <v>1384</v>
      </c>
      <c r="BH16" s="49" t="s">
        <v>1384</v>
      </c>
      <c r="BI16" s="1"/>
      <c r="BJ16" s="70" t="s">
        <v>1293</v>
      </c>
      <c r="BK16" s="57" t="s">
        <v>1293</v>
      </c>
      <c r="BL16" s="57" t="s">
        <v>1293</v>
      </c>
      <c r="BM16" s="57" t="s">
        <v>1293</v>
      </c>
      <c r="BN16" s="57" t="s">
        <v>1293</v>
      </c>
      <c r="BO16" s="57" t="s">
        <v>1293</v>
      </c>
      <c r="BP16" s="57" t="s">
        <v>1293</v>
      </c>
      <c r="BQ16" s="57" t="s">
        <v>1293</v>
      </c>
      <c r="BR16" s="57" t="s">
        <v>1293</v>
      </c>
      <c r="BS16" s="57" t="s">
        <v>1293</v>
      </c>
      <c r="BT16" s="57" t="s">
        <v>1293</v>
      </c>
      <c r="BU16" s="57" t="s">
        <v>1293</v>
      </c>
      <c r="BV16" s="70">
        <f t="shared" si="31"/>
        <v>6</v>
      </c>
      <c r="BW16" s="71">
        <f t="shared" si="32"/>
        <v>38</v>
      </c>
      <c r="BX16" s="72">
        <f t="shared" si="33"/>
        <v>42</v>
      </c>
      <c r="BY16" s="71">
        <f t="shared" si="34"/>
        <v>73</v>
      </c>
      <c r="BZ16" s="72">
        <f t="shared" si="35"/>
        <v>76</v>
      </c>
      <c r="CA16" s="71">
        <f t="shared" si="36"/>
        <v>112</v>
      </c>
      <c r="CB16" s="72">
        <f t="shared" si="37"/>
        <v>120</v>
      </c>
      <c r="CC16" s="71">
        <f t="shared" si="38"/>
        <v>169</v>
      </c>
      <c r="CD16" s="72">
        <f t="shared" si="39"/>
        <v>176</v>
      </c>
      <c r="CE16" s="71">
        <f t="shared" si="40"/>
        <v>221</v>
      </c>
      <c r="CF16" s="72">
        <f t="shared" si="41"/>
        <v>266</v>
      </c>
      <c r="CG16" s="71">
        <f t="shared" si="42"/>
        <v>292</v>
      </c>
      <c r="CH16" s="70">
        <f t="shared" si="43"/>
        <v>37</v>
      </c>
      <c r="CI16" s="71">
        <f t="shared" si="44"/>
        <v>41</v>
      </c>
      <c r="CJ16" s="72">
        <f t="shared" si="45"/>
        <v>72</v>
      </c>
      <c r="CK16" s="72">
        <f t="shared" si="46"/>
        <v>75</v>
      </c>
      <c r="CL16" s="72">
        <f t="shared" si="47"/>
        <v>111</v>
      </c>
      <c r="CM16" s="72">
        <f t="shared" si="48"/>
        <v>119</v>
      </c>
      <c r="CN16" s="72">
        <f t="shared" si="49"/>
        <v>145</v>
      </c>
      <c r="CO16" s="72">
        <f t="shared" si="50"/>
        <v>171</v>
      </c>
      <c r="CP16" s="72">
        <f t="shared" si="51"/>
        <v>215</v>
      </c>
      <c r="CQ16" s="72">
        <f t="shared" si="52"/>
        <v>260</v>
      </c>
      <c r="CR16" s="72">
        <f t="shared" si="53"/>
        <v>291</v>
      </c>
      <c r="CS16" s="72">
        <f t="shared" si="54"/>
        <v>314</v>
      </c>
      <c r="CT16" s="23">
        <f t="shared" si="55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30" x14ac:dyDescent="0.2">
      <c r="A17" s="3" t="str">
        <f t="shared" si="28"/>
        <v>aa1r_human_5N2S</v>
      </c>
      <c r="B17" s="3" t="s">
        <v>138</v>
      </c>
      <c r="C17" s="3" t="s">
        <v>1442</v>
      </c>
      <c r="D17" s="3" t="str">
        <f>IFERROR(MID(VLOOKUP($B17,Seqs!$A:$B,2,0),E17,1),"")</f>
        <v>S</v>
      </c>
      <c r="E17" s="3">
        <v>6</v>
      </c>
      <c r="F17" s="3" t="str">
        <f>IFERROR(MID(VLOOKUP($B17,Seqs!$A:$B,2,0),G17,1),"")</f>
        <v>V</v>
      </c>
      <c r="G17" s="3">
        <v>36</v>
      </c>
      <c r="H17" s="3" t="str">
        <f>IFERROR(MID(VLOOKUP($B17,Seqs!$A:$B,2,0),I17,1),"")</f>
        <v/>
      </c>
      <c r="I17" s="23" t="s">
        <v>23</v>
      </c>
      <c r="J17" s="3" t="str">
        <f>IFERROR(MID(VLOOKUP($B17,Seqs!$A:$B,2,0),K17,1),"")</f>
        <v/>
      </c>
      <c r="K17" s="23" t="s">
        <v>23</v>
      </c>
      <c r="L17" s="3" t="str">
        <f>IFERROR(MID(VLOOKUP($B17,Seqs!$A:$B,2,0),M17,1),"")</f>
        <v>D</v>
      </c>
      <c r="M17" s="3">
        <v>42</v>
      </c>
      <c r="N17" s="3" t="str">
        <f>IFERROR(MID(VLOOKUP($B17,Seqs!$A:$B,2,0),O17,1),"")</f>
        <v>G</v>
      </c>
      <c r="O17" s="3">
        <v>72</v>
      </c>
      <c r="P17" s="3" t="str">
        <f>IFERROR(MID(VLOOKUP($B17,Seqs!$A:$B,2,0),Q17,1),"")</f>
        <v>P</v>
      </c>
      <c r="Q17" s="3">
        <v>73</v>
      </c>
      <c r="R17" s="3" t="str">
        <f>IFERROR(MID(VLOOKUP($B17,Seqs!$A:$B,2,0),S17,1),"")</f>
        <v>T</v>
      </c>
      <c r="S17" s="3">
        <v>75</v>
      </c>
      <c r="T17" s="3" t="str">
        <f>IFERROR(MID(VLOOKUP($B17,Seqs!$A:$B,2,0),U17,1),"")</f>
        <v>Y</v>
      </c>
      <c r="U17" s="3">
        <v>76</v>
      </c>
      <c r="V17" s="3" t="str">
        <f>IFERROR(MID(VLOOKUP($B17,Seqs!$A:$B,2,0),W17,1),"")</f>
        <v>I</v>
      </c>
      <c r="W17" s="3">
        <v>111</v>
      </c>
      <c r="X17" s="3" t="str">
        <f>IFERROR(MID(VLOOKUP($B17,Seqs!$A:$B,2,0),Y17,1),"")</f>
        <v>P</v>
      </c>
      <c r="Y17" s="3">
        <v>112</v>
      </c>
      <c r="Z17" s="3" t="str">
        <f>IFERROR(MID(VLOOKUP($B17,Seqs!$A:$B,2,0),AA17,1),"")</f>
        <v>V</v>
      </c>
      <c r="AA17" s="3">
        <v>119</v>
      </c>
      <c r="AB17" s="3" t="str">
        <f>IFERROR(MID(VLOOKUP($B17,Seqs!$A:$B,2,0),AC17,1),"")</f>
        <v>T</v>
      </c>
      <c r="AC17" s="3">
        <v>120</v>
      </c>
      <c r="AD17" s="3" t="str">
        <f>IFERROR(MID(VLOOKUP($B17,Seqs!$A:$B,2,0),AE17,1),"")</f>
        <v>G</v>
      </c>
      <c r="AE17" s="3">
        <v>145</v>
      </c>
      <c r="AF17" s="3" t="str">
        <f>IFERROR(MID(VLOOKUP($B17,Seqs!$A:$B,2,0),AG17,1),"")</f>
        <v>C</v>
      </c>
      <c r="AG17" s="3">
        <v>169</v>
      </c>
      <c r="AH17" s="3" t="str">
        <f>IFERROR(MID(VLOOKUP($B17,Seqs!$A:$B,2,0),AI17,1),"")</f>
        <v>F</v>
      </c>
      <c r="AI17" s="3">
        <v>171</v>
      </c>
      <c r="AJ17" s="3" t="str">
        <f>IFERROR(MID(VLOOKUP($B17,Seqs!$A:$B,2,0),AK17,1),"")</f>
        <v>S</v>
      </c>
      <c r="AK17" s="3">
        <v>176</v>
      </c>
      <c r="AL17" s="3" t="str">
        <f>IFERROR(MID(VLOOKUP($B17,Seqs!$A:$B,2,0),AM17,1),"")</f>
        <v>L</v>
      </c>
      <c r="AM17" s="3">
        <v>211</v>
      </c>
      <c r="AN17" s="3" t="str">
        <f>IFERROR(MID(VLOOKUP($B17,Seqs!$A:$B,2,0),AO17,1),"")</f>
        <v>Q</v>
      </c>
      <c r="AO17" s="3">
        <v>223</v>
      </c>
      <c r="AP17" s="3" t="str">
        <f>IFERROR(MID(VLOOKUP($B17,Seqs!$A:$B,2,0),AQ17,1),"")</f>
        <v>C</v>
      </c>
      <c r="AQ17" s="3">
        <v>260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F</v>
      </c>
      <c r="AU17" s="3">
        <v>295</v>
      </c>
      <c r="AV17" s="3" t="str">
        <f>IFERROR(MID(VLOOKUP($B17,Seqs!$A:$B,2,0),AW17,1),"")</f>
        <v/>
      </c>
      <c r="AW17" s="3" t="s">
        <v>23</v>
      </c>
      <c r="AX17" s="3" t="str">
        <f>IFERROR(MID(VLOOKUP($B17,Seqs!$A:$B,2,0),AY17,1),"")</f>
        <v/>
      </c>
      <c r="AY17" s="3" t="s">
        <v>23</v>
      </c>
      <c r="AZ17" s="77" t="str">
        <f>VLOOKUP(B17,Classification!A:D,2,0)</f>
        <v>A</v>
      </c>
      <c r="BA17" s="94" t="str">
        <f>VLOOKUP(B17,Classification!A:D,4,0)</f>
        <v>Adenosine</v>
      </c>
      <c r="BB17" s="27" t="b">
        <f t="shared" si="29"/>
        <v>1</v>
      </c>
      <c r="BC17" s="23">
        <f t="shared" si="30"/>
        <v>244</v>
      </c>
      <c r="BD17" s="5" t="s">
        <v>23</v>
      </c>
      <c r="BE17" s="3" t="s">
        <v>1381</v>
      </c>
      <c r="BF17" s="119">
        <v>3.3</v>
      </c>
      <c r="BG17" s="49" t="s">
        <v>1</v>
      </c>
      <c r="BH17" s="49" t="s">
        <v>1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6</v>
      </c>
      <c r="BW17" s="71" t="str">
        <f t="shared" si="32"/>
        <v>-</v>
      </c>
      <c r="BX17" s="72">
        <f t="shared" si="33"/>
        <v>42</v>
      </c>
      <c r="BY17" s="71">
        <f t="shared" si="34"/>
        <v>73</v>
      </c>
      <c r="BZ17" s="72">
        <f t="shared" si="35"/>
        <v>76</v>
      </c>
      <c r="CA17" s="71">
        <f t="shared" si="36"/>
        <v>112</v>
      </c>
      <c r="CB17" s="72">
        <f t="shared" si="37"/>
        <v>120</v>
      </c>
      <c r="CC17" s="71">
        <f t="shared" si="38"/>
        <v>169</v>
      </c>
      <c r="CD17" s="72">
        <f t="shared" si="39"/>
        <v>176</v>
      </c>
      <c r="CE17" s="71">
        <f t="shared" si="40"/>
        <v>223</v>
      </c>
      <c r="CF17" s="72">
        <f t="shared" si="41"/>
        <v>266</v>
      </c>
      <c r="CG17" s="71" t="str">
        <f t="shared" si="42"/>
        <v>-</v>
      </c>
      <c r="CH17" s="70">
        <f t="shared" si="43"/>
        <v>36</v>
      </c>
      <c r="CI17" s="71" t="str">
        <f t="shared" si="44"/>
        <v>-</v>
      </c>
      <c r="CJ17" s="72">
        <f t="shared" si="45"/>
        <v>72</v>
      </c>
      <c r="CK17" s="72">
        <f t="shared" si="46"/>
        <v>75</v>
      </c>
      <c r="CL17" s="72">
        <f t="shared" si="47"/>
        <v>111</v>
      </c>
      <c r="CM17" s="72">
        <f t="shared" si="48"/>
        <v>119</v>
      </c>
      <c r="CN17" s="72">
        <f t="shared" si="49"/>
        <v>145</v>
      </c>
      <c r="CO17" s="72">
        <f t="shared" si="50"/>
        <v>171</v>
      </c>
      <c r="CP17" s="72">
        <f t="shared" si="51"/>
        <v>211</v>
      </c>
      <c r="CQ17" s="72">
        <f t="shared" si="52"/>
        <v>260</v>
      </c>
      <c r="CR17" s="72">
        <f t="shared" si="53"/>
        <v>295</v>
      </c>
      <c r="CS17" s="72" t="str">
        <f t="shared" si="54"/>
        <v>-</v>
      </c>
      <c r="CT17" s="23" t="e">
        <f t="shared" si="55"/>
        <v>#VALUE!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aa1r_human_5UEN</v>
      </c>
      <c r="B18" s="3" t="s">
        <v>138</v>
      </c>
      <c r="C18" s="3" t="s">
        <v>1396</v>
      </c>
      <c r="D18" s="3" t="str">
        <f>IFERROR(MID(VLOOKUP($B18,Seqs!$A:$B,2,0),E18,1),"")</f>
        <v>S</v>
      </c>
      <c r="E18" s="3">
        <v>6</v>
      </c>
      <c r="F18" s="3" t="str">
        <f>IFERROR(MID(VLOOKUP($B18,Seqs!$A:$B,2,0),G18,1),"")</f>
        <v>N</v>
      </c>
      <c r="G18" s="3">
        <v>37</v>
      </c>
      <c r="H18" s="3" t="str">
        <f>IFERROR(MID(VLOOKUP($B18,Seqs!$A:$B,2,0),I18,1),"")</f>
        <v>Q</v>
      </c>
      <c r="I18" s="23">
        <v>38</v>
      </c>
      <c r="J18" s="3" t="str">
        <f>IFERROR(MID(VLOOKUP($B18,Seqs!$A:$B,2,0),K18,1),"")</f>
        <v>R</v>
      </c>
      <c r="K18" s="23">
        <v>41</v>
      </c>
      <c r="L18" s="3" t="str">
        <f>IFERROR(MID(VLOOKUP($B18,Seqs!$A:$B,2,0),M18,1),"")</f>
        <v>D</v>
      </c>
      <c r="M18" s="3">
        <v>42</v>
      </c>
      <c r="N18" s="3" t="str">
        <f>IFERROR(MID(VLOOKUP($B18,Seqs!$A:$B,2,0),O18,1),"")</f>
        <v>G</v>
      </c>
      <c r="O18" s="3">
        <v>72</v>
      </c>
      <c r="P18" s="3" t="str">
        <f>IFERROR(MID(VLOOKUP($B18,Seqs!$A:$B,2,0),Q18,1),"")</f>
        <v>P</v>
      </c>
      <c r="Q18" s="3">
        <v>73</v>
      </c>
      <c r="R18" s="3" t="str">
        <f>IFERROR(MID(VLOOKUP($B18,Seqs!$A:$B,2,0),S18,1),"")</f>
        <v>T</v>
      </c>
      <c r="S18" s="3">
        <v>75</v>
      </c>
      <c r="T18" s="3" t="str">
        <f>IFERROR(MID(VLOOKUP($B18,Seqs!$A:$B,2,0),U18,1),"")</f>
        <v>Y</v>
      </c>
      <c r="U18" s="3">
        <v>76</v>
      </c>
      <c r="V18" s="3" t="str">
        <f>IFERROR(MID(VLOOKUP($B18,Seqs!$A:$B,2,0),W18,1),"")</f>
        <v>I</v>
      </c>
      <c r="W18" s="3">
        <v>111</v>
      </c>
      <c r="X18" s="3" t="str">
        <f>IFERROR(MID(VLOOKUP($B18,Seqs!$A:$B,2,0),Y18,1),"")</f>
        <v>P</v>
      </c>
      <c r="Y18" s="3">
        <v>112</v>
      </c>
      <c r="Z18" s="3" t="str">
        <f>IFERROR(MID(VLOOKUP($B18,Seqs!$A:$B,2,0),AA18,1),"")</f>
        <v>V</v>
      </c>
      <c r="AA18" s="3">
        <v>119</v>
      </c>
      <c r="AB18" s="3" t="str">
        <f>IFERROR(MID(VLOOKUP($B18,Seqs!$A:$B,2,0),AC18,1),"")</f>
        <v>T</v>
      </c>
      <c r="AC18" s="3">
        <v>120</v>
      </c>
      <c r="AD18" s="3" t="str">
        <f>IFERROR(MID(VLOOKUP($B18,Seqs!$A:$B,2,0),AE18,1),"")</f>
        <v>G</v>
      </c>
      <c r="AE18" s="3">
        <v>145</v>
      </c>
      <c r="AF18" s="3" t="str">
        <f>IFERROR(MID(VLOOKUP($B18,Seqs!$A:$B,2,0),AG18,1),"")</f>
        <v>C</v>
      </c>
      <c r="AG18" s="3">
        <v>169</v>
      </c>
      <c r="AH18" s="3" t="str">
        <f>IFERROR(MID(VLOOKUP($B18,Seqs!$A:$B,2,0),AI18,1),"")</f>
        <v>F</v>
      </c>
      <c r="AI18" s="3">
        <v>171</v>
      </c>
      <c r="AJ18" s="3" t="str">
        <f>IFERROR(MID(VLOOKUP($B18,Seqs!$A:$B,2,0),AK18,1),"")</f>
        <v>S</v>
      </c>
      <c r="AK18" s="3">
        <v>176</v>
      </c>
      <c r="AL18" s="3" t="str">
        <f>IFERROR(MID(VLOOKUP($B18,Seqs!$A:$B,2,0),AM18,1),"")</f>
        <v>L</v>
      </c>
      <c r="AM18" s="3">
        <v>211</v>
      </c>
      <c r="AN18" s="3" t="str">
        <f>IFERROR(MID(VLOOKUP($B18,Seqs!$A:$B,2,0),AO18,1),"")</f>
        <v>G</v>
      </c>
      <c r="AO18" s="3">
        <v>220</v>
      </c>
      <c r="AP18" s="3" t="str">
        <f>IFERROR(MID(VLOOKUP($B18,Seqs!$A:$B,2,0),AQ18,1),"")</f>
        <v>C</v>
      </c>
      <c r="AQ18" s="3">
        <v>260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F</v>
      </c>
      <c r="AY18" s="3">
        <v>307</v>
      </c>
      <c r="AZ18" s="77" t="str">
        <f>VLOOKUP(B18,Classification!A:D,2,0)</f>
        <v>A</v>
      </c>
      <c r="BA18" s="94" t="str">
        <f>VLOOKUP(B18,Classification!A:D,4,0)</f>
        <v>Adenosine</v>
      </c>
      <c r="BB18" s="27" t="b">
        <f t="shared" si="29"/>
        <v>1</v>
      </c>
      <c r="BC18" s="23">
        <f t="shared" si="30"/>
        <v>262</v>
      </c>
      <c r="BD18" s="4" t="s">
        <v>1383</v>
      </c>
      <c r="BE18" s="3" t="s">
        <v>1381</v>
      </c>
      <c r="BF18" s="119">
        <v>3.2</v>
      </c>
      <c r="BG18" s="49" t="s">
        <v>1384</v>
      </c>
      <c r="BH18" s="49" t="s">
        <v>1384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</v>
      </c>
      <c r="BW18" s="71">
        <f t="shared" si="32"/>
        <v>38</v>
      </c>
      <c r="BX18" s="72">
        <f t="shared" si="33"/>
        <v>42</v>
      </c>
      <c r="BY18" s="71">
        <f t="shared" si="34"/>
        <v>73</v>
      </c>
      <c r="BZ18" s="72">
        <f t="shared" si="35"/>
        <v>76</v>
      </c>
      <c r="CA18" s="71">
        <f t="shared" si="36"/>
        <v>112</v>
      </c>
      <c r="CB18" s="72">
        <f t="shared" si="37"/>
        <v>120</v>
      </c>
      <c r="CC18" s="71">
        <f t="shared" si="38"/>
        <v>169</v>
      </c>
      <c r="CD18" s="72">
        <f t="shared" si="39"/>
        <v>176</v>
      </c>
      <c r="CE18" s="71">
        <f t="shared" si="40"/>
        <v>220</v>
      </c>
      <c r="CF18" s="72">
        <f t="shared" si="41"/>
        <v>266</v>
      </c>
      <c r="CG18" s="71">
        <f t="shared" si="42"/>
        <v>292</v>
      </c>
      <c r="CH18" s="70">
        <f t="shared" si="43"/>
        <v>37</v>
      </c>
      <c r="CI18" s="71">
        <f t="shared" si="44"/>
        <v>41</v>
      </c>
      <c r="CJ18" s="72">
        <f t="shared" si="45"/>
        <v>72</v>
      </c>
      <c r="CK18" s="72">
        <f t="shared" si="46"/>
        <v>75</v>
      </c>
      <c r="CL18" s="72">
        <f t="shared" si="47"/>
        <v>111</v>
      </c>
      <c r="CM18" s="72">
        <f t="shared" si="48"/>
        <v>119</v>
      </c>
      <c r="CN18" s="72">
        <f t="shared" si="49"/>
        <v>145</v>
      </c>
      <c r="CO18" s="72">
        <f t="shared" si="50"/>
        <v>171</v>
      </c>
      <c r="CP18" s="72">
        <f t="shared" si="51"/>
        <v>211</v>
      </c>
      <c r="CQ18" s="72">
        <f t="shared" si="52"/>
        <v>260</v>
      </c>
      <c r="CR18" s="72">
        <f t="shared" si="53"/>
        <v>291</v>
      </c>
      <c r="CS18" s="72">
        <f t="shared" si="54"/>
        <v>307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s="12" customFormat="1" x14ac:dyDescent="0.2">
      <c r="A19" s="9" t="str">
        <f t="shared" ref="A19" si="56">CONCATENATE(B19,"_",C19)</f>
        <v>aa1r_human_6D9H</v>
      </c>
      <c r="B19" s="9" t="s">
        <v>138</v>
      </c>
      <c r="C19" s="9" t="s">
        <v>1519</v>
      </c>
      <c r="D19" s="9" t="str">
        <f>IFERROR(MID(VLOOKUP($B19,Seqs!$A:$B,2,0),E19,1),"")</f>
        <v>S</v>
      </c>
      <c r="E19" s="9">
        <v>6</v>
      </c>
      <c r="F19" s="9" t="str">
        <f>IFERROR(MID(VLOOKUP($B19,Seqs!$A:$B,2,0),G19,1),"")</f>
        <v>N</v>
      </c>
      <c r="G19" s="9">
        <v>37</v>
      </c>
      <c r="H19" s="9" t="str">
        <f>IFERROR(MID(VLOOKUP($B19,Seqs!$A:$B,2,0),I19,1),"")</f>
        <v/>
      </c>
      <c r="I19" s="109" t="s">
        <v>23</v>
      </c>
      <c r="J19" s="9" t="str">
        <f>IFERROR(MID(VLOOKUP($B19,Seqs!$A:$B,2,0),K19,1),"")</f>
        <v/>
      </c>
      <c r="K19" s="109" t="s">
        <v>23</v>
      </c>
      <c r="L19" s="9" t="str">
        <f>IFERROR(MID(VLOOKUP($B19,Seqs!$A:$B,2,0),M19,1),"")</f>
        <v>D</v>
      </c>
      <c r="M19" s="9">
        <v>42</v>
      </c>
      <c r="N19" s="9" t="str">
        <f>IFERROR(MID(VLOOKUP($B19,Seqs!$A:$B,2,0),O19,1),"")</f>
        <v>G</v>
      </c>
      <c r="O19" s="9">
        <v>72</v>
      </c>
      <c r="P19" s="9" t="str">
        <f>IFERROR(MID(VLOOKUP($B19,Seqs!$A:$B,2,0),Q19,1),"")</f>
        <v>P</v>
      </c>
      <c r="Q19" s="9">
        <v>73</v>
      </c>
      <c r="R19" s="9" t="str">
        <f>IFERROR(MID(VLOOKUP($B19,Seqs!$A:$B,2,0),S19,1),"")</f>
        <v>T</v>
      </c>
      <c r="S19" s="9">
        <v>75</v>
      </c>
      <c r="T19" s="9" t="str">
        <f>IFERROR(MID(VLOOKUP($B19,Seqs!$A:$B,2,0),U19,1),"")</f>
        <v>Y</v>
      </c>
      <c r="U19" s="9">
        <v>76</v>
      </c>
      <c r="V19" s="9" t="str">
        <f>IFERROR(MID(VLOOKUP($B19,Seqs!$A:$B,2,0),W19,1),"")</f>
        <v>I</v>
      </c>
      <c r="W19" s="9">
        <v>111</v>
      </c>
      <c r="X19" s="9" t="str">
        <f>IFERROR(MID(VLOOKUP($B19,Seqs!$A:$B,2,0),Y19,1),"")</f>
        <v>P</v>
      </c>
      <c r="Y19" s="9">
        <v>112</v>
      </c>
      <c r="Z19" s="9" t="str">
        <f>IFERROR(MID(VLOOKUP($B19,Seqs!$A:$B,2,0),AA19,1),"")</f>
        <v>V</v>
      </c>
      <c r="AA19" s="9">
        <v>119</v>
      </c>
      <c r="AB19" s="9" t="str">
        <f>IFERROR(MID(VLOOKUP($B19,Seqs!$A:$B,2,0),AC19,1),"")</f>
        <v>T</v>
      </c>
      <c r="AC19" s="9">
        <v>120</v>
      </c>
      <c r="AD19" s="9" t="str">
        <f>IFERROR(MID(VLOOKUP($B19,Seqs!$A:$B,2,0),AE19,1),"")</f>
        <v>G</v>
      </c>
      <c r="AE19" s="9">
        <v>145</v>
      </c>
      <c r="AF19" s="9" t="str">
        <f>IFERROR(MID(VLOOKUP($B19,Seqs!$A:$B,2,0),AG19,1),"")</f>
        <v>C</v>
      </c>
      <c r="AG19" s="9">
        <v>169</v>
      </c>
      <c r="AH19" s="9" t="str">
        <f>IFERROR(MID(VLOOKUP($B19,Seqs!$A:$B,2,0),AI19,1),"")</f>
        <v>F</v>
      </c>
      <c r="AI19" s="9">
        <v>171</v>
      </c>
      <c r="AJ19" s="9" t="str">
        <f>IFERROR(MID(VLOOKUP($B19,Seqs!$A:$B,2,0),AK19,1),"")</f>
        <v>S</v>
      </c>
      <c r="AK19" s="9">
        <v>176</v>
      </c>
      <c r="AL19" s="9" t="str">
        <f>IFERROR(MID(VLOOKUP($B19,Seqs!$A:$B,2,0),AM19,1),"")</f>
        <v>K</v>
      </c>
      <c r="AM19" s="9">
        <v>213</v>
      </c>
      <c r="AN19" s="9" t="str">
        <f>IFERROR(MID(VLOOKUP($B19,Seqs!$A:$B,2,0),AO19,1),"")</f>
        <v>Q</v>
      </c>
      <c r="AO19" s="9">
        <v>223</v>
      </c>
      <c r="AP19" s="9" t="str">
        <f>IFERROR(MID(VLOOKUP($B19,Seqs!$A:$B,2,0),AQ19,1),"")</f>
        <v>C</v>
      </c>
      <c r="AQ19" s="9">
        <v>260</v>
      </c>
      <c r="AR19" s="9" t="str">
        <f>IFERROR(MID(VLOOKUP($B19,Seqs!$A:$B,2,0),AS19,1),"")</f>
        <v>S</v>
      </c>
      <c r="AS19" s="9">
        <v>267</v>
      </c>
      <c r="AT19" s="9" t="str">
        <f>IFERROR(MID(VLOOKUP($B19,Seqs!$A:$B,2,0),AU19,1),"")</f>
        <v>R</v>
      </c>
      <c r="AU19" s="9">
        <v>291</v>
      </c>
      <c r="AV19" s="9" t="str">
        <f>IFERROR(MID(VLOOKUP($B19,Seqs!$A:$B,2,0),AW19,1),"")</f>
        <v>I</v>
      </c>
      <c r="AW19" s="9">
        <v>292</v>
      </c>
      <c r="AX19" s="9" t="str">
        <f>IFERROR(MID(VLOOKUP($B19,Seqs!$A:$B,2,0),AY19,1),"")</f>
        <v>K</v>
      </c>
      <c r="AY19" s="9">
        <v>301</v>
      </c>
      <c r="AZ19" s="110" t="str">
        <f>VLOOKUP(B19,Classification!A:D,2,0)</f>
        <v>A</v>
      </c>
      <c r="BA19" s="98" t="str">
        <f>VLOOKUP(B19,Classification!A:D,4,0)</f>
        <v>Adenosine</v>
      </c>
      <c r="BB19" s="36" t="b">
        <f t="shared" ref="BB19" si="5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58">_xlfn.AGGREGATE(9,6,CH19:CS19)-_xlfn.AGGREGATE(9,6,BV19:CG19)+12</f>
        <v>251</v>
      </c>
      <c r="BD19" s="11" t="s">
        <v>1382</v>
      </c>
      <c r="BE19" s="9" t="s">
        <v>1297</v>
      </c>
      <c r="BF19" s="120">
        <v>3.6</v>
      </c>
      <c r="BG19" s="51" t="s">
        <v>1433</v>
      </c>
      <c r="BH19" s="51" t="s">
        <v>1433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59">E19</f>
        <v>6</v>
      </c>
      <c r="BW19" s="113" t="str">
        <f t="shared" ref="BW19" si="60">I19</f>
        <v>-</v>
      </c>
      <c r="BX19" s="114">
        <f t="shared" ref="BX19" si="61">M19</f>
        <v>42</v>
      </c>
      <c r="BY19" s="113">
        <f t="shared" ref="BY19" si="62">Q19</f>
        <v>73</v>
      </c>
      <c r="BZ19" s="114">
        <f t="shared" ref="BZ19" si="63">U19</f>
        <v>76</v>
      </c>
      <c r="CA19" s="113">
        <f t="shared" ref="CA19" si="64">Y19</f>
        <v>112</v>
      </c>
      <c r="CB19" s="114">
        <f t="shared" ref="CB19" si="65">AC19</f>
        <v>120</v>
      </c>
      <c r="CC19" s="113">
        <f t="shared" ref="CC19" si="66">AG19</f>
        <v>169</v>
      </c>
      <c r="CD19" s="114">
        <f t="shared" ref="CD19" si="67">AK19</f>
        <v>176</v>
      </c>
      <c r="CE19" s="113">
        <f t="shared" ref="CE19" si="68">AO19</f>
        <v>223</v>
      </c>
      <c r="CF19" s="114">
        <f t="shared" ref="CF19" si="69">AS19</f>
        <v>267</v>
      </c>
      <c r="CG19" s="113">
        <f t="shared" ref="CG19" si="70">AW19</f>
        <v>292</v>
      </c>
      <c r="CH19" s="111">
        <f t="shared" ref="CH19" si="71">G19</f>
        <v>37</v>
      </c>
      <c r="CI19" s="113" t="str">
        <f t="shared" ref="CI19" si="72">K19</f>
        <v>-</v>
      </c>
      <c r="CJ19" s="114">
        <f t="shared" ref="CJ19" si="73">O19</f>
        <v>72</v>
      </c>
      <c r="CK19" s="114">
        <f t="shared" ref="CK19" si="74">S19</f>
        <v>75</v>
      </c>
      <c r="CL19" s="114">
        <f t="shared" ref="CL19" si="75">W19</f>
        <v>111</v>
      </c>
      <c r="CM19" s="114">
        <f t="shared" ref="CM19" si="76">AA19</f>
        <v>119</v>
      </c>
      <c r="CN19" s="114">
        <f t="shared" ref="CN19" si="77">AE19</f>
        <v>145</v>
      </c>
      <c r="CO19" s="114">
        <f t="shared" ref="CO19" si="78">AI19</f>
        <v>171</v>
      </c>
      <c r="CP19" s="114">
        <f t="shared" ref="CP19" si="79">AM19</f>
        <v>213</v>
      </c>
      <c r="CQ19" s="114">
        <f t="shared" ref="CQ19" si="80">AQ19</f>
        <v>260</v>
      </c>
      <c r="CR19" s="114">
        <f t="shared" ref="CR19" si="81">AU19</f>
        <v>291</v>
      </c>
      <c r="CS19" s="114">
        <f t="shared" ref="CS19" si="82">AY19</f>
        <v>301</v>
      </c>
      <c r="CT19" s="109" t="e">
        <f t="shared" ref="CT19" si="83">M19-K19</f>
        <v>#VALUE!</v>
      </c>
    </row>
    <row r="20" spans="1:1030" x14ac:dyDescent="0.2">
      <c r="A20" s="3" t="str">
        <f t="shared" si="0"/>
        <v>aa2ar_human__wt</v>
      </c>
      <c r="B20" s="3" t="s">
        <v>139</v>
      </c>
      <c r="C20" s="3" t="s">
        <v>100</v>
      </c>
      <c r="D20" s="3" t="str">
        <f>IFERROR(MID(VLOOKUP($B20,Seqs!$A:$B,2,0),E20,1),"")</f>
        <v>M</v>
      </c>
      <c r="E20" s="3">
        <v>1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S</v>
      </c>
      <c r="AM20" s="3">
        <v>213</v>
      </c>
      <c r="AN20" s="3" t="str">
        <f>IFERROR(MID(VLOOKUP($B20,Seqs!$A:$B,2,0),AO20,1),"")</f>
        <v>E</v>
      </c>
      <c r="AO20" s="3">
        <v>219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F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1"/>
        <v>1</v>
      </c>
      <c r="BC20" s="23">
        <f t="shared" ref="BC20:BC30" si="84">_xlfn.AGGREGATE(9,6,CH20:CS20)-_xlfn.AGGREGATE(9,6,BV20:CG20)+12</f>
        <v>276</v>
      </c>
      <c r="BD20" s="34" t="s">
        <v>1379</v>
      </c>
      <c r="BE20" s="3" t="s">
        <v>23</v>
      </c>
      <c r="BF20" s="119" t="s">
        <v>23</v>
      </c>
      <c r="BG20" s="49" t="s">
        <v>1379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"/>
        <v>1</v>
      </c>
      <c r="BW20" s="71">
        <f t="shared" si="4"/>
        <v>35</v>
      </c>
      <c r="BX20" s="72">
        <f t="shared" si="5"/>
        <v>39</v>
      </c>
      <c r="BY20" s="71">
        <f t="shared" si="6"/>
        <v>70</v>
      </c>
      <c r="BZ20" s="72">
        <f t="shared" si="7"/>
        <v>73</v>
      </c>
      <c r="CA20" s="71">
        <f t="shared" si="8"/>
        <v>109</v>
      </c>
      <c r="CB20" s="72">
        <f t="shared" si="9"/>
        <v>117</v>
      </c>
      <c r="CC20" s="71">
        <f t="shared" si="10"/>
        <v>166</v>
      </c>
      <c r="CD20" s="72">
        <f t="shared" si="11"/>
        <v>173</v>
      </c>
      <c r="CE20" s="71">
        <f t="shared" si="12"/>
        <v>219</v>
      </c>
      <c r="CF20" s="72">
        <f t="shared" si="13"/>
        <v>266</v>
      </c>
      <c r="CG20" s="71">
        <f t="shared" si="14"/>
        <v>292</v>
      </c>
      <c r="CH20" s="70">
        <f t="shared" si="15"/>
        <v>34</v>
      </c>
      <c r="CI20" s="71">
        <f t="shared" si="16"/>
        <v>38</v>
      </c>
      <c r="CJ20" s="72">
        <f t="shared" si="17"/>
        <v>69</v>
      </c>
      <c r="CK20" s="72">
        <f t="shared" si="18"/>
        <v>72</v>
      </c>
      <c r="CL20" s="72">
        <f t="shared" si="19"/>
        <v>108</v>
      </c>
      <c r="CM20" s="72">
        <f t="shared" si="20"/>
        <v>116</v>
      </c>
      <c r="CN20" s="72">
        <f t="shared" si="21"/>
        <v>142</v>
      </c>
      <c r="CO20" s="72">
        <f t="shared" si="22"/>
        <v>168</v>
      </c>
      <c r="CP20" s="72">
        <f t="shared" si="23"/>
        <v>213</v>
      </c>
      <c r="CQ20" s="72">
        <f t="shared" si="24"/>
        <v>259</v>
      </c>
      <c r="CR20" s="72">
        <f t="shared" si="25"/>
        <v>291</v>
      </c>
      <c r="CS20" s="72">
        <f t="shared" si="26"/>
        <v>314</v>
      </c>
      <c r="CT20" s="23">
        <f t="shared" si="27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0"/>
        <v>aa2ar_human_2YDO</v>
      </c>
      <c r="B21" s="3" t="s">
        <v>139</v>
      </c>
      <c r="C21" s="3" t="s">
        <v>1029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210</v>
      </c>
      <c r="AN21" s="3" t="str">
        <f>IFERROR(MID(VLOOKUP($B21,Seqs!$A:$B,2,0),AO21,1),"")</f>
        <v>L</v>
      </c>
      <c r="AO21" s="3">
        <v>225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A</v>
      </c>
      <c r="AY21" s="3">
        <v>317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1"/>
        <v>1</v>
      </c>
      <c r="BC21" s="23">
        <f t="shared" si="84"/>
        <v>264</v>
      </c>
      <c r="BD21" s="4" t="s">
        <v>23</v>
      </c>
      <c r="BE21" s="3" t="s">
        <v>1439</v>
      </c>
      <c r="BF21" s="119">
        <v>3</v>
      </c>
      <c r="BG21" s="49" t="s">
        <v>1384</v>
      </c>
      <c r="BH21" s="49" t="s">
        <v>1384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"/>
        <v>7</v>
      </c>
      <c r="BW21" s="71">
        <f t="shared" si="4"/>
        <v>35</v>
      </c>
      <c r="BX21" s="72">
        <f t="shared" si="5"/>
        <v>39</v>
      </c>
      <c r="BY21" s="71">
        <f t="shared" si="6"/>
        <v>70</v>
      </c>
      <c r="BZ21" s="72">
        <f t="shared" si="7"/>
        <v>73</v>
      </c>
      <c r="CA21" s="71">
        <f t="shared" si="8"/>
        <v>109</v>
      </c>
      <c r="CB21" s="72">
        <f t="shared" si="9"/>
        <v>117</v>
      </c>
      <c r="CC21" s="71">
        <f t="shared" si="10"/>
        <v>166</v>
      </c>
      <c r="CD21" s="72">
        <f t="shared" si="11"/>
        <v>173</v>
      </c>
      <c r="CE21" s="71">
        <f t="shared" si="12"/>
        <v>225</v>
      </c>
      <c r="CF21" s="72">
        <f t="shared" si="13"/>
        <v>266</v>
      </c>
      <c r="CG21" s="71">
        <f t="shared" si="14"/>
        <v>292</v>
      </c>
      <c r="CH21" s="70">
        <f t="shared" si="15"/>
        <v>34</v>
      </c>
      <c r="CI21" s="71">
        <f t="shared" si="16"/>
        <v>38</v>
      </c>
      <c r="CJ21" s="72">
        <f t="shared" si="17"/>
        <v>69</v>
      </c>
      <c r="CK21" s="72">
        <f t="shared" si="18"/>
        <v>72</v>
      </c>
      <c r="CL21" s="72">
        <f t="shared" si="19"/>
        <v>108</v>
      </c>
      <c r="CM21" s="72">
        <f t="shared" si="20"/>
        <v>116</v>
      </c>
      <c r="CN21" s="72">
        <f t="shared" si="21"/>
        <v>142</v>
      </c>
      <c r="CO21" s="72">
        <f t="shared" si="22"/>
        <v>168</v>
      </c>
      <c r="CP21" s="72">
        <f t="shared" si="23"/>
        <v>210</v>
      </c>
      <c r="CQ21" s="72">
        <f t="shared" si="24"/>
        <v>259</v>
      </c>
      <c r="CR21" s="72">
        <f t="shared" si="25"/>
        <v>291</v>
      </c>
      <c r="CS21" s="72">
        <f t="shared" si="26"/>
        <v>317</v>
      </c>
      <c r="CT21" s="23">
        <f t="shared" si="27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0"/>
        <v>aa2ar_human_2YDV</v>
      </c>
      <c r="B22" s="3" t="s">
        <v>139</v>
      </c>
      <c r="C22" s="3" t="s">
        <v>80</v>
      </c>
      <c r="D22" s="3" t="str">
        <f>IFERROR(MID(VLOOKUP($B22,Seqs!$A:$B,2,0),E22,1),"")</f>
        <v>S</v>
      </c>
      <c r="E22" s="3">
        <v>7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Q</v>
      </c>
      <c r="AM22" s="3">
        <v>210</v>
      </c>
      <c r="AN22" s="3" t="str">
        <f>IFERROR(MID(VLOOKUP($B22,Seqs!$A:$B,2,0),AO22,1),"")</f>
        <v>T</v>
      </c>
      <c r="AO22" s="3">
        <v>224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A</v>
      </c>
      <c r="AY22" s="3">
        <v>317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1"/>
        <v>1</v>
      </c>
      <c r="BC22" s="23">
        <f t="shared" si="84"/>
        <v>265</v>
      </c>
      <c r="BD22" s="4" t="s">
        <v>23</v>
      </c>
      <c r="BE22" s="3" t="s">
        <v>1439</v>
      </c>
      <c r="BF22" s="119">
        <v>2.6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"/>
        <v>7</v>
      </c>
      <c r="BW22" s="71">
        <f t="shared" si="4"/>
        <v>35</v>
      </c>
      <c r="BX22" s="72">
        <f t="shared" si="5"/>
        <v>39</v>
      </c>
      <c r="BY22" s="71">
        <f t="shared" si="6"/>
        <v>70</v>
      </c>
      <c r="BZ22" s="72">
        <f t="shared" si="7"/>
        <v>73</v>
      </c>
      <c r="CA22" s="71">
        <f t="shared" si="8"/>
        <v>109</v>
      </c>
      <c r="CB22" s="72">
        <f t="shared" si="9"/>
        <v>117</v>
      </c>
      <c r="CC22" s="71">
        <f t="shared" si="10"/>
        <v>166</v>
      </c>
      <c r="CD22" s="72">
        <f t="shared" si="11"/>
        <v>173</v>
      </c>
      <c r="CE22" s="71">
        <f t="shared" si="12"/>
        <v>224</v>
      </c>
      <c r="CF22" s="72">
        <f t="shared" si="13"/>
        <v>266</v>
      </c>
      <c r="CG22" s="71">
        <f t="shared" si="14"/>
        <v>292</v>
      </c>
      <c r="CH22" s="70">
        <f t="shared" si="15"/>
        <v>34</v>
      </c>
      <c r="CI22" s="71">
        <f t="shared" si="16"/>
        <v>38</v>
      </c>
      <c r="CJ22" s="72">
        <f t="shared" si="17"/>
        <v>69</v>
      </c>
      <c r="CK22" s="72">
        <f t="shared" si="18"/>
        <v>72</v>
      </c>
      <c r="CL22" s="72">
        <f t="shared" si="19"/>
        <v>108</v>
      </c>
      <c r="CM22" s="72">
        <f t="shared" si="20"/>
        <v>116</v>
      </c>
      <c r="CN22" s="72">
        <f t="shared" si="21"/>
        <v>142</v>
      </c>
      <c r="CO22" s="72">
        <f t="shared" si="22"/>
        <v>168</v>
      </c>
      <c r="CP22" s="72">
        <f t="shared" si="23"/>
        <v>210</v>
      </c>
      <c r="CQ22" s="72">
        <f t="shared" si="24"/>
        <v>259</v>
      </c>
      <c r="CR22" s="72">
        <f t="shared" si="25"/>
        <v>291</v>
      </c>
      <c r="CS22" s="72">
        <f t="shared" si="26"/>
        <v>317</v>
      </c>
      <c r="CT22" s="23">
        <f t="shared" si="27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 t="shared" si="0"/>
        <v>aa2ar_human_3QAK</v>
      </c>
      <c r="B23" s="3" t="s">
        <v>139</v>
      </c>
      <c r="C23" s="3" t="s">
        <v>1034</v>
      </c>
      <c r="D23" s="3" t="str">
        <f>IFERROR(MID(VLOOKUP($B23,Seqs!$A:$B,2,0),E23,1),"")</f>
        <v>G</v>
      </c>
      <c r="E23" s="3">
        <v>5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A</v>
      </c>
      <c r="AM23" s="3">
        <v>204</v>
      </c>
      <c r="AN23" s="3" t="str">
        <f>IFERROR(MID(VLOOKUP($B23,Seqs!$A:$B,2,0),AO23,1),"")</f>
        <v>Q</v>
      </c>
      <c r="AO23" s="3">
        <v>226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L</v>
      </c>
      <c r="AY23" s="3">
        <v>308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1"/>
        <v>1</v>
      </c>
      <c r="BC23" s="23">
        <f t="shared" si="84"/>
        <v>250</v>
      </c>
      <c r="BD23" s="4" t="s">
        <v>23</v>
      </c>
      <c r="BE23" s="3" t="s">
        <v>1439</v>
      </c>
      <c r="BF23" s="119">
        <v>2.71</v>
      </c>
      <c r="BG23" s="49" t="s">
        <v>1384</v>
      </c>
      <c r="BH23" s="49" t="s">
        <v>1384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3"/>
        <v>5</v>
      </c>
      <c r="BW23" s="71">
        <f t="shared" si="4"/>
        <v>35</v>
      </c>
      <c r="BX23" s="72">
        <f t="shared" si="5"/>
        <v>39</v>
      </c>
      <c r="BY23" s="71">
        <f t="shared" si="6"/>
        <v>70</v>
      </c>
      <c r="BZ23" s="72">
        <f t="shared" si="7"/>
        <v>73</v>
      </c>
      <c r="CA23" s="71">
        <f t="shared" si="8"/>
        <v>109</v>
      </c>
      <c r="CB23" s="72">
        <f t="shared" si="9"/>
        <v>117</v>
      </c>
      <c r="CC23" s="71">
        <f t="shared" si="10"/>
        <v>166</v>
      </c>
      <c r="CD23" s="72">
        <f t="shared" si="11"/>
        <v>173</v>
      </c>
      <c r="CE23" s="71">
        <f t="shared" si="12"/>
        <v>226</v>
      </c>
      <c r="CF23" s="72">
        <f t="shared" si="13"/>
        <v>266</v>
      </c>
      <c r="CG23" s="71">
        <f t="shared" si="14"/>
        <v>292</v>
      </c>
      <c r="CH23" s="70">
        <f t="shared" si="15"/>
        <v>34</v>
      </c>
      <c r="CI23" s="71">
        <f t="shared" si="16"/>
        <v>38</v>
      </c>
      <c r="CJ23" s="72">
        <f t="shared" si="17"/>
        <v>69</v>
      </c>
      <c r="CK23" s="72">
        <f t="shared" si="18"/>
        <v>72</v>
      </c>
      <c r="CL23" s="72">
        <f t="shared" si="19"/>
        <v>108</v>
      </c>
      <c r="CM23" s="72">
        <f t="shared" si="20"/>
        <v>116</v>
      </c>
      <c r="CN23" s="72">
        <f t="shared" si="21"/>
        <v>142</v>
      </c>
      <c r="CO23" s="72">
        <f t="shared" si="22"/>
        <v>168</v>
      </c>
      <c r="CP23" s="72">
        <f t="shared" si="23"/>
        <v>204</v>
      </c>
      <c r="CQ23" s="72">
        <f t="shared" si="24"/>
        <v>259</v>
      </c>
      <c r="CR23" s="72">
        <f t="shared" si="25"/>
        <v>291</v>
      </c>
      <c r="CS23" s="72">
        <f t="shared" si="26"/>
        <v>308</v>
      </c>
      <c r="CT23" s="23">
        <f t="shared" si="27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aa2ar_human_3REY</v>
      </c>
      <c r="B24" s="3" t="s">
        <v>139</v>
      </c>
      <c r="C24" s="3" t="s">
        <v>83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Q</v>
      </c>
      <c r="AM24" s="3">
        <v>210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si="84"/>
        <v>258</v>
      </c>
      <c r="BD24" s="4" t="s">
        <v>23</v>
      </c>
      <c r="BE24" s="3" t="s">
        <v>1439</v>
      </c>
      <c r="BF24" s="119">
        <v>3.31</v>
      </c>
      <c r="BG24" s="49" t="s">
        <v>1384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7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210</v>
      </c>
      <c r="CQ24" s="72">
        <f t="shared" si="24"/>
        <v>259</v>
      </c>
      <c r="CR24" s="72">
        <f t="shared" si="25"/>
        <v>291</v>
      </c>
      <c r="CS24" s="72">
        <f t="shared" si="26"/>
        <v>305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aa2ar_human_3RFM</v>
      </c>
      <c r="B25" s="3" t="s">
        <v>139</v>
      </c>
      <c r="C25" s="3" t="s">
        <v>1035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84"/>
        <v>261</v>
      </c>
      <c r="BD25" s="4" t="s">
        <v>23</v>
      </c>
      <c r="BE25" s="3" t="s">
        <v>1381</v>
      </c>
      <c r="BF25" s="119">
        <v>3.6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219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213</v>
      </c>
      <c r="CQ25" s="72">
        <f t="shared" si="24"/>
        <v>259</v>
      </c>
      <c r="CR25" s="72">
        <f t="shared" si="25"/>
        <v>291</v>
      </c>
      <c r="CS25" s="72">
        <f t="shared" si="26"/>
        <v>305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aa2ar_human_3UZA</v>
      </c>
      <c r="B26" s="3" t="s">
        <v>139</v>
      </c>
      <c r="C26" s="3" t="s">
        <v>1036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S</v>
      </c>
      <c r="AM26" s="3">
        <v>213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119">
        <v>3.27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219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213</v>
      </c>
      <c r="CQ26" s="72">
        <f t="shared" si="24"/>
        <v>259</v>
      </c>
      <c r="CR26" s="72">
        <f t="shared" si="25"/>
        <v>291</v>
      </c>
      <c r="CS26" s="72">
        <f t="shared" si="26"/>
        <v>305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s="6" customFormat="1" x14ac:dyDescent="0.2">
      <c r="A27" s="3" t="str">
        <f t="shared" si="0"/>
        <v>aa2ar_human_3UZC</v>
      </c>
      <c r="B27" s="3" t="s">
        <v>139</v>
      </c>
      <c r="C27" s="3" t="s">
        <v>1037</v>
      </c>
      <c r="D27" s="3" t="str">
        <f>IFERROR(MID(VLOOKUP($B27,Seqs!$A:$B,2,0),E27,1),"")</f>
        <v>S</v>
      </c>
      <c r="E27" s="3">
        <v>7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S</v>
      </c>
      <c r="AY27" s="3">
        <v>305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84"/>
        <v>261</v>
      </c>
      <c r="BD27" s="4" t="s">
        <v>23</v>
      </c>
      <c r="BE27" s="3" t="s">
        <v>1381</v>
      </c>
      <c r="BF27" s="119">
        <v>3.34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7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305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</row>
    <row r="28" spans="1:1030" s="6" customFormat="1" x14ac:dyDescent="0.2">
      <c r="A28" s="3" t="str">
        <f t="shared" si="0"/>
        <v>aa2ar_human_3VG9</v>
      </c>
      <c r="B28" s="3" t="s">
        <v>139</v>
      </c>
      <c r="C28" s="3" t="s">
        <v>1104</v>
      </c>
      <c r="D28" s="3" t="str">
        <f>IFERROR(MID(VLOOKUP($B28,Seqs!$A:$B,2,0),E28,1),"")</f>
        <v>S</v>
      </c>
      <c r="E28" s="3">
        <v>6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214</v>
      </c>
      <c r="AN28" s="3" t="str">
        <f>IFERROR(MID(VLOOKUP($B28,Seqs!$A:$B,2,0),AO28,1),"")</f>
        <v>A</v>
      </c>
      <c r="AO28" s="3">
        <v>221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Q</v>
      </c>
      <c r="AY28" s="3">
        <v>311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84"/>
        <v>267</v>
      </c>
      <c r="BD28" s="4" t="s">
        <v>1383</v>
      </c>
      <c r="BE28" s="3" t="s">
        <v>1381</v>
      </c>
      <c r="BF28" s="119">
        <v>2.7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6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221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214</v>
      </c>
      <c r="CQ28" s="72">
        <f t="shared" si="24"/>
        <v>259</v>
      </c>
      <c r="CR28" s="72">
        <f t="shared" si="25"/>
        <v>291</v>
      </c>
      <c r="CS28" s="72">
        <f t="shared" si="26"/>
        <v>311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</row>
    <row r="29" spans="1:1030" x14ac:dyDescent="0.2">
      <c r="A29" s="3" t="str">
        <f t="shared" si="0"/>
        <v>aa2ar_human_4EIY</v>
      </c>
      <c r="B29" s="3" t="s">
        <v>139</v>
      </c>
      <c r="C29" s="3" t="s">
        <v>81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207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84"/>
        <v>262</v>
      </c>
      <c r="BD29" s="4" t="s">
        <v>23</v>
      </c>
      <c r="BE29" s="3" t="s">
        <v>1381</v>
      </c>
      <c r="BF29" s="119">
        <v>1.8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2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207</v>
      </c>
      <c r="CQ29" s="72">
        <f t="shared" si="24"/>
        <v>259</v>
      </c>
      <c r="CR29" s="72">
        <f t="shared" si="25"/>
        <v>291</v>
      </c>
      <c r="CS29" s="72">
        <f t="shared" si="26"/>
        <v>307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aa2ar_human_4UHR</v>
      </c>
      <c r="B30" s="3" t="s">
        <v>139</v>
      </c>
      <c r="C30" s="3" t="s">
        <v>1055</v>
      </c>
      <c r="D30" s="3" t="str">
        <f>IFERROR(MID(VLOOKUP($B30,Seqs!$A:$B,2,0),E30,1),"")</f>
        <v>S</v>
      </c>
      <c r="E30" s="3">
        <v>6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Q</v>
      </c>
      <c r="AY30" s="3">
        <v>311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84"/>
        <v>268</v>
      </c>
      <c r="BD30" s="2" t="s">
        <v>1440</v>
      </c>
      <c r="BE30" s="3" t="s">
        <v>1439</v>
      </c>
      <c r="BF30" s="119">
        <v>2.6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6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311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x14ac:dyDescent="0.2">
      <c r="A31" s="3" t="str">
        <f t="shared" si="0"/>
        <v>aa2ar_human_5G53</v>
      </c>
      <c r="B31" s="3" t="s">
        <v>139</v>
      </c>
      <c r="C31" s="3" t="s">
        <v>1298</v>
      </c>
      <c r="D31" s="3" t="str">
        <f>IFERROR(MID(VLOOKUP($B31,Seqs!$A:$B,2,0),E31,1),"")</f>
        <v>S</v>
      </c>
      <c r="E31" s="3">
        <v>6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207</v>
      </c>
      <c r="AN31" s="3" t="str">
        <f>IFERROR(MID(VLOOKUP($B31,Seqs!$A:$B,2,0),AO31,1),"")</f>
        <v>T</v>
      </c>
      <c r="AO31" s="3">
        <v>224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ref="BC31:BC81" si="85">_xlfn.AGGREGATE(9,6,CH31:CS31)-_xlfn.AGGREGATE(9,6,BV31:CG31)+12</f>
        <v>251</v>
      </c>
      <c r="BD31" s="4" t="s">
        <v>1382</v>
      </c>
      <c r="BE31" s="3" t="s">
        <v>1297</v>
      </c>
      <c r="BF31" s="119">
        <v>3.4</v>
      </c>
      <c r="BG31" s="49" t="s">
        <v>1287</v>
      </c>
      <c r="BH31" s="49" t="s">
        <v>1287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ref="BV31:BV81" si="86">E31</f>
        <v>6</v>
      </c>
      <c r="BW31" s="71">
        <f t="shared" ref="BW31:BW81" si="87">I31</f>
        <v>35</v>
      </c>
      <c r="BX31" s="72">
        <f t="shared" ref="BX31:BX81" si="88">M31</f>
        <v>39</v>
      </c>
      <c r="BY31" s="71">
        <f t="shared" ref="BY31:BY81" si="89">Q31</f>
        <v>70</v>
      </c>
      <c r="BZ31" s="72">
        <f t="shared" ref="BZ31:BZ81" si="90">U31</f>
        <v>73</v>
      </c>
      <c r="CA31" s="71">
        <f t="shared" ref="CA31:CA81" si="91">Y31</f>
        <v>109</v>
      </c>
      <c r="CB31" s="72">
        <f t="shared" ref="CB31:CB81" si="92">AC31</f>
        <v>117</v>
      </c>
      <c r="CC31" s="71">
        <f t="shared" ref="CC31:CC81" si="93">AG31</f>
        <v>166</v>
      </c>
      <c r="CD31" s="72">
        <f t="shared" ref="CD31:CD81" si="94">AK31</f>
        <v>173</v>
      </c>
      <c r="CE31" s="71">
        <f t="shared" ref="CE31:CE81" si="95">AO31</f>
        <v>224</v>
      </c>
      <c r="CF31" s="72">
        <f t="shared" ref="CF31:CF81" si="96">AS31</f>
        <v>266</v>
      </c>
      <c r="CG31" s="71">
        <f t="shared" ref="CG31:CG81" si="97">AW31</f>
        <v>292</v>
      </c>
      <c r="CH31" s="70">
        <f t="shared" ref="CH31:CH81" si="98">G31</f>
        <v>34</v>
      </c>
      <c r="CI31" s="71">
        <f t="shared" ref="CI31:CI81" si="99">K31</f>
        <v>38</v>
      </c>
      <c r="CJ31" s="72">
        <f t="shared" ref="CJ31:CJ81" si="100">O31</f>
        <v>69</v>
      </c>
      <c r="CK31" s="72">
        <f t="shared" ref="CK31:CK81" si="101">S31</f>
        <v>72</v>
      </c>
      <c r="CL31" s="72">
        <f t="shared" ref="CL31:CL81" si="102">W31</f>
        <v>108</v>
      </c>
      <c r="CM31" s="72">
        <f t="shared" ref="CM31:CM81" si="103">AA31</f>
        <v>116</v>
      </c>
      <c r="CN31" s="72">
        <f t="shared" ref="CN31:CN81" si="104">AE31</f>
        <v>142</v>
      </c>
      <c r="CO31" s="72">
        <f t="shared" ref="CO31:CO81" si="105">AI31</f>
        <v>168</v>
      </c>
      <c r="CP31" s="72">
        <f t="shared" ref="CP31:CP81" si="106">AM31</f>
        <v>207</v>
      </c>
      <c r="CQ31" s="72">
        <f t="shared" ref="CQ31:CQ81" si="107">AQ31</f>
        <v>259</v>
      </c>
      <c r="CR31" s="72">
        <f t="shared" ref="CR31:CR81" si="108">AU31</f>
        <v>291</v>
      </c>
      <c r="CS31" s="72">
        <f t="shared" ref="CS31:CS81" si="109">AY31</f>
        <v>305</v>
      </c>
      <c r="CT31" s="23">
        <f t="shared" ref="CT31:CT81" si="110">M31-K31</f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30" x14ac:dyDescent="0.2">
      <c r="A32" s="3" t="str">
        <f t="shared" si="0"/>
        <v>aa2ar_human_5IU4</v>
      </c>
      <c r="B32" s="3" t="s">
        <v>139</v>
      </c>
      <c r="C32" s="3" t="s">
        <v>1351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85"/>
        <v>261</v>
      </c>
      <c r="BD32" s="4" t="s">
        <v>23</v>
      </c>
      <c r="BE32" s="3" t="s">
        <v>1381</v>
      </c>
      <c r="BF32" s="119">
        <v>1.72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86"/>
        <v>2</v>
      </c>
      <c r="BW32" s="71">
        <f t="shared" si="87"/>
        <v>35</v>
      </c>
      <c r="BX32" s="72">
        <f t="shared" si="88"/>
        <v>39</v>
      </c>
      <c r="BY32" s="71">
        <f t="shared" si="89"/>
        <v>70</v>
      </c>
      <c r="BZ32" s="72">
        <f t="shared" si="90"/>
        <v>73</v>
      </c>
      <c r="CA32" s="71">
        <f t="shared" si="91"/>
        <v>109</v>
      </c>
      <c r="CB32" s="72">
        <f t="shared" si="92"/>
        <v>117</v>
      </c>
      <c r="CC32" s="71">
        <f t="shared" si="93"/>
        <v>166</v>
      </c>
      <c r="CD32" s="72">
        <f t="shared" si="94"/>
        <v>173</v>
      </c>
      <c r="CE32" s="71">
        <f t="shared" si="95"/>
        <v>219</v>
      </c>
      <c r="CF32" s="72">
        <f t="shared" si="96"/>
        <v>266</v>
      </c>
      <c r="CG32" s="71">
        <f t="shared" si="97"/>
        <v>292</v>
      </c>
      <c r="CH32" s="70">
        <f t="shared" si="98"/>
        <v>34</v>
      </c>
      <c r="CI32" s="71">
        <f t="shared" si="99"/>
        <v>38</v>
      </c>
      <c r="CJ32" s="72">
        <f t="shared" si="100"/>
        <v>69</v>
      </c>
      <c r="CK32" s="72">
        <f t="shared" si="101"/>
        <v>72</v>
      </c>
      <c r="CL32" s="72">
        <f t="shared" si="102"/>
        <v>108</v>
      </c>
      <c r="CM32" s="72">
        <f t="shared" si="103"/>
        <v>116</v>
      </c>
      <c r="CN32" s="72">
        <f t="shared" si="104"/>
        <v>142</v>
      </c>
      <c r="CO32" s="72">
        <f t="shared" si="105"/>
        <v>168</v>
      </c>
      <c r="CP32" s="72">
        <f t="shared" si="106"/>
        <v>208</v>
      </c>
      <c r="CQ32" s="72">
        <f t="shared" si="107"/>
        <v>259</v>
      </c>
      <c r="CR32" s="72">
        <f t="shared" si="108"/>
        <v>291</v>
      </c>
      <c r="CS32" s="72">
        <f t="shared" si="109"/>
        <v>305</v>
      </c>
      <c r="CT32" s="23">
        <f t="shared" si="110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29" x14ac:dyDescent="0.2">
      <c r="A33" s="3" t="str">
        <f t="shared" si="0"/>
        <v>aa2ar_human_5IU7</v>
      </c>
      <c r="B33" s="3" t="s">
        <v>139</v>
      </c>
      <c r="C33" s="3" t="s">
        <v>1352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85"/>
        <v>263</v>
      </c>
      <c r="BD33" s="4" t="s">
        <v>23</v>
      </c>
      <c r="BE33" s="3" t="s">
        <v>1381</v>
      </c>
      <c r="BF33" s="119">
        <v>1.9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86"/>
        <v>2</v>
      </c>
      <c r="BW33" s="71">
        <f t="shared" si="87"/>
        <v>35</v>
      </c>
      <c r="BX33" s="72">
        <f t="shared" si="88"/>
        <v>39</v>
      </c>
      <c r="BY33" s="71">
        <f t="shared" si="89"/>
        <v>70</v>
      </c>
      <c r="BZ33" s="72">
        <f t="shared" si="90"/>
        <v>73</v>
      </c>
      <c r="CA33" s="71">
        <f t="shared" si="91"/>
        <v>109</v>
      </c>
      <c r="CB33" s="72">
        <f t="shared" si="92"/>
        <v>117</v>
      </c>
      <c r="CC33" s="71">
        <f t="shared" si="93"/>
        <v>166</v>
      </c>
      <c r="CD33" s="72">
        <f t="shared" si="94"/>
        <v>173</v>
      </c>
      <c r="CE33" s="71">
        <f t="shared" si="95"/>
        <v>219</v>
      </c>
      <c r="CF33" s="72">
        <f t="shared" si="96"/>
        <v>266</v>
      </c>
      <c r="CG33" s="71">
        <f t="shared" si="97"/>
        <v>292</v>
      </c>
      <c r="CH33" s="70">
        <f t="shared" si="98"/>
        <v>34</v>
      </c>
      <c r="CI33" s="71">
        <f t="shared" si="99"/>
        <v>38</v>
      </c>
      <c r="CJ33" s="72">
        <f t="shared" si="100"/>
        <v>69</v>
      </c>
      <c r="CK33" s="72">
        <f t="shared" si="101"/>
        <v>72</v>
      </c>
      <c r="CL33" s="72">
        <f t="shared" si="102"/>
        <v>108</v>
      </c>
      <c r="CM33" s="72">
        <f t="shared" si="103"/>
        <v>116</v>
      </c>
      <c r="CN33" s="72">
        <f t="shared" si="104"/>
        <v>142</v>
      </c>
      <c r="CO33" s="72">
        <f t="shared" si="105"/>
        <v>168</v>
      </c>
      <c r="CP33" s="72">
        <f t="shared" si="106"/>
        <v>208</v>
      </c>
      <c r="CQ33" s="72">
        <f t="shared" si="107"/>
        <v>259</v>
      </c>
      <c r="CR33" s="72">
        <f t="shared" si="108"/>
        <v>291</v>
      </c>
      <c r="CS33" s="72">
        <f t="shared" si="109"/>
        <v>307</v>
      </c>
      <c r="CT33" s="23">
        <f t="shared" si="110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aa2ar_human_5IU8</v>
      </c>
      <c r="B34" s="3" t="s">
        <v>139</v>
      </c>
      <c r="C34" s="3" t="s">
        <v>1353</v>
      </c>
      <c r="D34" s="3" t="str">
        <f>IFERROR(MID(VLOOKUP($B34,Seqs!$A:$B,2,0),E34,1),"")</f>
        <v>P</v>
      </c>
      <c r="E34" s="3">
        <v>2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L</v>
      </c>
      <c r="AM34" s="3">
        <v>208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85"/>
        <v>261</v>
      </c>
      <c r="BD34" s="4" t="s">
        <v>23</v>
      </c>
      <c r="BE34" s="3" t="s">
        <v>1381</v>
      </c>
      <c r="BF34" s="119">
        <v>2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86"/>
        <v>2</v>
      </c>
      <c r="BW34" s="71">
        <f t="shared" si="87"/>
        <v>35</v>
      </c>
      <c r="BX34" s="72">
        <f t="shared" si="88"/>
        <v>39</v>
      </c>
      <c r="BY34" s="71">
        <f t="shared" si="89"/>
        <v>70</v>
      </c>
      <c r="BZ34" s="72">
        <f t="shared" si="90"/>
        <v>73</v>
      </c>
      <c r="CA34" s="71">
        <f t="shared" si="91"/>
        <v>109</v>
      </c>
      <c r="CB34" s="72">
        <f t="shared" si="92"/>
        <v>117</v>
      </c>
      <c r="CC34" s="71">
        <f t="shared" si="93"/>
        <v>166</v>
      </c>
      <c r="CD34" s="72">
        <f t="shared" si="94"/>
        <v>173</v>
      </c>
      <c r="CE34" s="71">
        <f t="shared" si="95"/>
        <v>219</v>
      </c>
      <c r="CF34" s="72">
        <f t="shared" si="96"/>
        <v>266</v>
      </c>
      <c r="CG34" s="71">
        <f t="shared" si="97"/>
        <v>292</v>
      </c>
      <c r="CH34" s="70">
        <f t="shared" si="98"/>
        <v>34</v>
      </c>
      <c r="CI34" s="71">
        <f t="shared" si="99"/>
        <v>38</v>
      </c>
      <c r="CJ34" s="72">
        <f t="shared" si="100"/>
        <v>69</v>
      </c>
      <c r="CK34" s="72">
        <f t="shared" si="101"/>
        <v>72</v>
      </c>
      <c r="CL34" s="72">
        <f t="shared" si="102"/>
        <v>108</v>
      </c>
      <c r="CM34" s="72">
        <f t="shared" si="103"/>
        <v>116</v>
      </c>
      <c r="CN34" s="72">
        <f t="shared" si="104"/>
        <v>142</v>
      </c>
      <c r="CO34" s="72">
        <f t="shared" si="105"/>
        <v>168</v>
      </c>
      <c r="CP34" s="72">
        <f t="shared" si="106"/>
        <v>208</v>
      </c>
      <c r="CQ34" s="72">
        <f t="shared" si="107"/>
        <v>259</v>
      </c>
      <c r="CR34" s="72">
        <f t="shared" si="108"/>
        <v>291</v>
      </c>
      <c r="CS34" s="72">
        <f t="shared" si="109"/>
        <v>305</v>
      </c>
      <c r="CT34" s="23">
        <f t="shared" si="110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aa2ar_human_5IUA</v>
      </c>
      <c r="B35" s="3" t="s">
        <v>139</v>
      </c>
      <c r="C35" s="3" t="s">
        <v>1354</v>
      </c>
      <c r="D35" s="3" t="str">
        <f>IFERROR(MID(VLOOKUP($B35,Seqs!$A:$B,2,0),E35,1),"")</f>
        <v>P</v>
      </c>
      <c r="E35" s="3">
        <v>2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L</v>
      </c>
      <c r="AM35" s="3">
        <v>208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H</v>
      </c>
      <c r="AY35" s="3">
        <v>306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85"/>
        <v>262</v>
      </c>
      <c r="BD35" s="4" t="s">
        <v>23</v>
      </c>
      <c r="BE35" s="3" t="s">
        <v>1381</v>
      </c>
      <c r="BF35" s="119">
        <v>2.2000000000000002</v>
      </c>
      <c r="BG35" s="49" t="s">
        <v>1384</v>
      </c>
      <c r="BH35" s="49" t="s">
        <v>1384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86"/>
        <v>2</v>
      </c>
      <c r="BW35" s="71">
        <f t="shared" si="87"/>
        <v>35</v>
      </c>
      <c r="BX35" s="72">
        <f t="shared" si="88"/>
        <v>39</v>
      </c>
      <c r="BY35" s="71">
        <f t="shared" si="89"/>
        <v>70</v>
      </c>
      <c r="BZ35" s="72">
        <f t="shared" si="90"/>
        <v>73</v>
      </c>
      <c r="CA35" s="71">
        <f t="shared" si="91"/>
        <v>109</v>
      </c>
      <c r="CB35" s="72">
        <f t="shared" si="92"/>
        <v>117</v>
      </c>
      <c r="CC35" s="71">
        <f t="shared" si="93"/>
        <v>166</v>
      </c>
      <c r="CD35" s="72">
        <f t="shared" si="94"/>
        <v>173</v>
      </c>
      <c r="CE35" s="71">
        <f t="shared" si="95"/>
        <v>219</v>
      </c>
      <c r="CF35" s="72">
        <f t="shared" si="96"/>
        <v>266</v>
      </c>
      <c r="CG35" s="71">
        <f t="shared" si="97"/>
        <v>292</v>
      </c>
      <c r="CH35" s="70">
        <f t="shared" si="98"/>
        <v>34</v>
      </c>
      <c r="CI35" s="71">
        <f t="shared" si="99"/>
        <v>38</v>
      </c>
      <c r="CJ35" s="72">
        <f t="shared" si="100"/>
        <v>69</v>
      </c>
      <c r="CK35" s="72">
        <f t="shared" si="101"/>
        <v>72</v>
      </c>
      <c r="CL35" s="72">
        <f t="shared" si="102"/>
        <v>108</v>
      </c>
      <c r="CM35" s="72">
        <f t="shared" si="103"/>
        <v>116</v>
      </c>
      <c r="CN35" s="72">
        <f t="shared" si="104"/>
        <v>142</v>
      </c>
      <c r="CO35" s="72">
        <f t="shared" si="105"/>
        <v>168</v>
      </c>
      <c r="CP35" s="72">
        <f t="shared" si="106"/>
        <v>208</v>
      </c>
      <c r="CQ35" s="72">
        <f t="shared" si="107"/>
        <v>259</v>
      </c>
      <c r="CR35" s="72">
        <f t="shared" si="108"/>
        <v>291</v>
      </c>
      <c r="CS35" s="72">
        <f t="shared" si="109"/>
        <v>306</v>
      </c>
      <c r="CT35" s="23">
        <f t="shared" si="110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aa2ar_human_5IUB</v>
      </c>
      <c r="B36" s="3" t="s">
        <v>139</v>
      </c>
      <c r="C36" s="3" t="s">
        <v>1355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85"/>
        <v>261</v>
      </c>
      <c r="BD36" s="4" t="s">
        <v>23</v>
      </c>
      <c r="BE36" s="3" t="s">
        <v>1381</v>
      </c>
      <c r="BF36" s="119">
        <v>2.1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86"/>
        <v>2</v>
      </c>
      <c r="BW36" s="71">
        <f t="shared" si="87"/>
        <v>35</v>
      </c>
      <c r="BX36" s="72">
        <f t="shared" si="88"/>
        <v>39</v>
      </c>
      <c r="BY36" s="71">
        <f t="shared" si="89"/>
        <v>70</v>
      </c>
      <c r="BZ36" s="72">
        <f t="shared" si="90"/>
        <v>73</v>
      </c>
      <c r="CA36" s="71">
        <f t="shared" si="91"/>
        <v>109</v>
      </c>
      <c r="CB36" s="72">
        <f t="shared" si="92"/>
        <v>117</v>
      </c>
      <c r="CC36" s="71">
        <f t="shared" si="93"/>
        <v>166</v>
      </c>
      <c r="CD36" s="72">
        <f t="shared" si="94"/>
        <v>173</v>
      </c>
      <c r="CE36" s="71">
        <f t="shared" si="95"/>
        <v>219</v>
      </c>
      <c r="CF36" s="72">
        <f t="shared" si="96"/>
        <v>266</v>
      </c>
      <c r="CG36" s="71">
        <f t="shared" si="97"/>
        <v>292</v>
      </c>
      <c r="CH36" s="70">
        <f t="shared" si="98"/>
        <v>34</v>
      </c>
      <c r="CI36" s="71">
        <f t="shared" si="99"/>
        <v>38</v>
      </c>
      <c r="CJ36" s="72">
        <f t="shared" si="100"/>
        <v>69</v>
      </c>
      <c r="CK36" s="72">
        <f t="shared" si="101"/>
        <v>72</v>
      </c>
      <c r="CL36" s="72">
        <f t="shared" si="102"/>
        <v>108</v>
      </c>
      <c r="CM36" s="72">
        <f t="shared" si="103"/>
        <v>116</v>
      </c>
      <c r="CN36" s="72">
        <f t="shared" si="104"/>
        <v>142</v>
      </c>
      <c r="CO36" s="72">
        <f t="shared" si="105"/>
        <v>168</v>
      </c>
      <c r="CP36" s="72">
        <f t="shared" si="106"/>
        <v>208</v>
      </c>
      <c r="CQ36" s="72">
        <f t="shared" si="107"/>
        <v>259</v>
      </c>
      <c r="CR36" s="72">
        <f t="shared" si="108"/>
        <v>291</v>
      </c>
      <c r="CS36" s="72">
        <f t="shared" si="109"/>
        <v>305</v>
      </c>
      <c r="CT36" s="23">
        <f t="shared" si="110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aa2ar_human_5K2A</v>
      </c>
      <c r="B37" s="3" t="s">
        <v>139</v>
      </c>
      <c r="C37" s="3" t="s">
        <v>1345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85"/>
        <v>263</v>
      </c>
      <c r="BD37" s="1" t="s">
        <v>23</v>
      </c>
      <c r="BE37" s="3" t="s">
        <v>1381</v>
      </c>
      <c r="BF37" s="119">
        <v>2.5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86"/>
        <v>2</v>
      </c>
      <c r="BW37" s="71">
        <f t="shared" si="87"/>
        <v>35</v>
      </c>
      <c r="BX37" s="72">
        <f t="shared" si="88"/>
        <v>39</v>
      </c>
      <c r="BY37" s="71">
        <f t="shared" si="89"/>
        <v>70</v>
      </c>
      <c r="BZ37" s="72">
        <f t="shared" si="90"/>
        <v>73</v>
      </c>
      <c r="CA37" s="71">
        <f t="shared" si="91"/>
        <v>109</v>
      </c>
      <c r="CB37" s="72">
        <f t="shared" si="92"/>
        <v>117</v>
      </c>
      <c r="CC37" s="71">
        <f t="shared" si="93"/>
        <v>166</v>
      </c>
      <c r="CD37" s="72">
        <f t="shared" si="94"/>
        <v>173</v>
      </c>
      <c r="CE37" s="71">
        <f t="shared" si="95"/>
        <v>219</v>
      </c>
      <c r="CF37" s="72">
        <f t="shared" si="96"/>
        <v>266</v>
      </c>
      <c r="CG37" s="71">
        <f t="shared" si="97"/>
        <v>292</v>
      </c>
      <c r="CH37" s="70">
        <f t="shared" si="98"/>
        <v>34</v>
      </c>
      <c r="CI37" s="71">
        <f t="shared" si="99"/>
        <v>38</v>
      </c>
      <c r="CJ37" s="72">
        <f t="shared" si="100"/>
        <v>69</v>
      </c>
      <c r="CK37" s="72">
        <f t="shared" si="101"/>
        <v>72</v>
      </c>
      <c r="CL37" s="72">
        <f t="shared" si="102"/>
        <v>108</v>
      </c>
      <c r="CM37" s="72">
        <f t="shared" si="103"/>
        <v>116</v>
      </c>
      <c r="CN37" s="72">
        <f t="shared" si="104"/>
        <v>142</v>
      </c>
      <c r="CO37" s="72">
        <f t="shared" si="105"/>
        <v>168</v>
      </c>
      <c r="CP37" s="72">
        <f t="shared" si="106"/>
        <v>208</v>
      </c>
      <c r="CQ37" s="72">
        <f t="shared" si="107"/>
        <v>259</v>
      </c>
      <c r="CR37" s="72">
        <f t="shared" si="108"/>
        <v>291</v>
      </c>
      <c r="CS37" s="72">
        <f t="shared" si="109"/>
        <v>307</v>
      </c>
      <c r="CT37" s="23">
        <f t="shared" si="110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aa2ar_human_5K2B</v>
      </c>
      <c r="B38" s="3" t="s">
        <v>139</v>
      </c>
      <c r="C38" s="3" t="s">
        <v>1346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V</v>
      </c>
      <c r="AY38" s="3">
        <v>307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85"/>
        <v>263</v>
      </c>
      <c r="BD38" s="4" t="s">
        <v>23</v>
      </c>
      <c r="BE38" s="3" t="s">
        <v>1381</v>
      </c>
      <c r="BF38" s="119">
        <v>2.5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86"/>
        <v>2</v>
      </c>
      <c r="BW38" s="71">
        <f t="shared" si="87"/>
        <v>35</v>
      </c>
      <c r="BX38" s="72">
        <f t="shared" si="88"/>
        <v>39</v>
      </c>
      <c r="BY38" s="71">
        <f t="shared" si="89"/>
        <v>70</v>
      </c>
      <c r="BZ38" s="72">
        <f t="shared" si="90"/>
        <v>73</v>
      </c>
      <c r="CA38" s="71">
        <f t="shared" si="91"/>
        <v>109</v>
      </c>
      <c r="CB38" s="72">
        <f t="shared" si="92"/>
        <v>117</v>
      </c>
      <c r="CC38" s="71">
        <f t="shared" si="93"/>
        <v>166</v>
      </c>
      <c r="CD38" s="72">
        <f t="shared" si="94"/>
        <v>173</v>
      </c>
      <c r="CE38" s="71">
        <f t="shared" si="95"/>
        <v>219</v>
      </c>
      <c r="CF38" s="72">
        <f t="shared" si="96"/>
        <v>266</v>
      </c>
      <c r="CG38" s="71">
        <f t="shared" si="97"/>
        <v>292</v>
      </c>
      <c r="CH38" s="70">
        <f t="shared" si="98"/>
        <v>34</v>
      </c>
      <c r="CI38" s="71">
        <f t="shared" si="99"/>
        <v>38</v>
      </c>
      <c r="CJ38" s="72">
        <f t="shared" si="100"/>
        <v>69</v>
      </c>
      <c r="CK38" s="72">
        <f t="shared" si="101"/>
        <v>72</v>
      </c>
      <c r="CL38" s="72">
        <f t="shared" si="102"/>
        <v>108</v>
      </c>
      <c r="CM38" s="72">
        <f t="shared" si="103"/>
        <v>116</v>
      </c>
      <c r="CN38" s="72">
        <f t="shared" si="104"/>
        <v>142</v>
      </c>
      <c r="CO38" s="72">
        <f t="shared" si="105"/>
        <v>168</v>
      </c>
      <c r="CP38" s="72">
        <f t="shared" si="106"/>
        <v>208</v>
      </c>
      <c r="CQ38" s="72">
        <f t="shared" si="107"/>
        <v>259</v>
      </c>
      <c r="CR38" s="72">
        <f t="shared" si="108"/>
        <v>291</v>
      </c>
      <c r="CS38" s="72">
        <f t="shared" si="109"/>
        <v>307</v>
      </c>
      <c r="CT38" s="23">
        <f t="shared" si="110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aa2ar_human_5K2C</v>
      </c>
      <c r="B39" s="3" t="s">
        <v>139</v>
      </c>
      <c r="C39" s="3" t="s">
        <v>1347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V</v>
      </c>
      <c r="AY39" s="3">
        <v>307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85"/>
        <v>263</v>
      </c>
      <c r="BD39" s="4" t="s">
        <v>23</v>
      </c>
      <c r="BE39" s="3" t="s">
        <v>1381</v>
      </c>
      <c r="BF39" s="119">
        <v>1.9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86"/>
        <v>2</v>
      </c>
      <c r="BW39" s="71">
        <f t="shared" si="87"/>
        <v>35</v>
      </c>
      <c r="BX39" s="72">
        <f t="shared" si="88"/>
        <v>39</v>
      </c>
      <c r="BY39" s="71">
        <f t="shared" si="89"/>
        <v>70</v>
      </c>
      <c r="BZ39" s="72">
        <f t="shared" si="90"/>
        <v>73</v>
      </c>
      <c r="CA39" s="71">
        <f t="shared" si="91"/>
        <v>109</v>
      </c>
      <c r="CB39" s="72">
        <f t="shared" si="92"/>
        <v>117</v>
      </c>
      <c r="CC39" s="71">
        <f t="shared" si="93"/>
        <v>166</v>
      </c>
      <c r="CD39" s="72">
        <f t="shared" si="94"/>
        <v>173</v>
      </c>
      <c r="CE39" s="71">
        <f t="shared" si="95"/>
        <v>219</v>
      </c>
      <c r="CF39" s="72">
        <f t="shared" si="96"/>
        <v>266</v>
      </c>
      <c r="CG39" s="71">
        <f t="shared" si="97"/>
        <v>292</v>
      </c>
      <c r="CH39" s="70">
        <f t="shared" si="98"/>
        <v>34</v>
      </c>
      <c r="CI39" s="71">
        <f t="shared" si="99"/>
        <v>38</v>
      </c>
      <c r="CJ39" s="72">
        <f t="shared" si="100"/>
        <v>69</v>
      </c>
      <c r="CK39" s="72">
        <f t="shared" si="101"/>
        <v>72</v>
      </c>
      <c r="CL39" s="72">
        <f t="shared" si="102"/>
        <v>108</v>
      </c>
      <c r="CM39" s="72">
        <f t="shared" si="103"/>
        <v>116</v>
      </c>
      <c r="CN39" s="72">
        <f t="shared" si="104"/>
        <v>142</v>
      </c>
      <c r="CO39" s="72">
        <f t="shared" si="105"/>
        <v>168</v>
      </c>
      <c r="CP39" s="72">
        <f t="shared" si="106"/>
        <v>208</v>
      </c>
      <c r="CQ39" s="72">
        <f t="shared" si="107"/>
        <v>259</v>
      </c>
      <c r="CR39" s="72">
        <f t="shared" si="108"/>
        <v>291</v>
      </c>
      <c r="CS39" s="72">
        <f t="shared" si="109"/>
        <v>307</v>
      </c>
      <c r="CT39" s="23">
        <f t="shared" si="11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aa2ar_human_5K2D</v>
      </c>
      <c r="B40" s="3" t="s">
        <v>139</v>
      </c>
      <c r="C40" s="3" t="s">
        <v>1348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85"/>
        <v>263</v>
      </c>
      <c r="BD40" s="5" t="s">
        <v>23</v>
      </c>
      <c r="BE40" s="3" t="s">
        <v>1381</v>
      </c>
      <c r="BF40" s="119">
        <v>1.9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86"/>
        <v>2</v>
      </c>
      <c r="BW40" s="71">
        <f t="shared" si="87"/>
        <v>35</v>
      </c>
      <c r="BX40" s="72">
        <f t="shared" si="88"/>
        <v>39</v>
      </c>
      <c r="BY40" s="71">
        <f t="shared" si="89"/>
        <v>70</v>
      </c>
      <c r="BZ40" s="72">
        <f t="shared" si="90"/>
        <v>73</v>
      </c>
      <c r="CA40" s="71">
        <f t="shared" si="91"/>
        <v>109</v>
      </c>
      <c r="CB40" s="72">
        <f t="shared" si="92"/>
        <v>117</v>
      </c>
      <c r="CC40" s="71">
        <f t="shared" si="93"/>
        <v>166</v>
      </c>
      <c r="CD40" s="72">
        <f t="shared" si="94"/>
        <v>173</v>
      </c>
      <c r="CE40" s="71">
        <f t="shared" si="95"/>
        <v>219</v>
      </c>
      <c r="CF40" s="72">
        <f t="shared" si="96"/>
        <v>266</v>
      </c>
      <c r="CG40" s="71">
        <f t="shared" si="97"/>
        <v>292</v>
      </c>
      <c r="CH40" s="70">
        <f t="shared" si="98"/>
        <v>34</v>
      </c>
      <c r="CI40" s="71">
        <f t="shared" si="99"/>
        <v>38</v>
      </c>
      <c r="CJ40" s="72">
        <f t="shared" si="100"/>
        <v>69</v>
      </c>
      <c r="CK40" s="72">
        <f t="shared" si="101"/>
        <v>72</v>
      </c>
      <c r="CL40" s="72">
        <f t="shared" si="102"/>
        <v>108</v>
      </c>
      <c r="CM40" s="72">
        <f t="shared" si="103"/>
        <v>116</v>
      </c>
      <c r="CN40" s="72">
        <f t="shared" si="104"/>
        <v>142</v>
      </c>
      <c r="CO40" s="72">
        <f t="shared" si="105"/>
        <v>168</v>
      </c>
      <c r="CP40" s="72">
        <f t="shared" si="106"/>
        <v>208</v>
      </c>
      <c r="CQ40" s="72">
        <f t="shared" si="107"/>
        <v>259</v>
      </c>
      <c r="CR40" s="72">
        <f t="shared" si="108"/>
        <v>291</v>
      </c>
      <c r="CS40" s="72">
        <f t="shared" si="109"/>
        <v>307</v>
      </c>
      <c r="CT40" s="23">
        <f t="shared" si="11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ref="A41:A59" si="111">CONCATENATE(B41,"_",C41)</f>
        <v>aa2ar_human_5MZJ</v>
      </c>
      <c r="B41" s="3" t="s">
        <v>139</v>
      </c>
      <c r="C41" s="3" t="s">
        <v>1446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3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ref="BB41:BB59" si="112">AND(E41&lt;G41,OR(G41&lt;I41,I41="-"),OR(I41&lt;K41,I41="-"),OR(K41&lt;M41,K41="-"),M41&lt;O41,OR(O41&lt;Q41,Q41="-"),OR(Q41&lt;S41,Q41="-"),OR(S41&lt;U41,S41="-"),U41&lt;W41,OR(W41&lt;Y41,Y41="-"),OR(Y41&lt;AA41,Y41="-"),OR(AA41&lt;AC41,AA41="-"),AC41&lt;AE41,OR(AE41&lt;AG41,AG41="-"),OR(AG41&lt;AI41,AG41="-"),OR(AI41&lt;AK41,AI41="-"),AK41&lt;AM41,AM41&lt;AO41,AO41&lt;AQ41,AQ41&lt;AS41,AS41&lt;AU41,OR(AU41&lt;AW41,AW41="-"),OR(AW41&lt;AY41,AW41="-"))</f>
        <v>1</v>
      </c>
      <c r="BC41" s="23">
        <f t="shared" ref="BC41:BC59" si="113">_xlfn.AGGREGATE(9,6,CH41:CS41)-_xlfn.AGGREGATE(9,6,BV41:CG41)+12</f>
        <v>261</v>
      </c>
      <c r="BD41" s="5" t="s">
        <v>23</v>
      </c>
      <c r="BE41" s="3" t="s">
        <v>1381</v>
      </c>
      <c r="BF41" s="119">
        <v>2</v>
      </c>
      <c r="BG41" s="49" t="s">
        <v>1</v>
      </c>
      <c r="BH41" s="49" t="s">
        <v>1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ref="BV41:BV59" si="114">E41</f>
        <v>2</v>
      </c>
      <c r="BW41" s="71">
        <f t="shared" ref="BW41:BW59" si="115">I41</f>
        <v>35</v>
      </c>
      <c r="BX41" s="72">
        <f t="shared" ref="BX41:BX59" si="116">M41</f>
        <v>39</v>
      </c>
      <c r="BY41" s="71">
        <f t="shared" ref="BY41:BY59" si="117">Q41</f>
        <v>70</v>
      </c>
      <c r="BZ41" s="72">
        <f t="shared" ref="BZ41:BZ59" si="118">U41</f>
        <v>73</v>
      </c>
      <c r="CA41" s="71">
        <f t="shared" ref="CA41:CA59" si="119">Y41</f>
        <v>109</v>
      </c>
      <c r="CB41" s="72">
        <f t="shared" ref="CB41:CB59" si="120">AC41</f>
        <v>117</v>
      </c>
      <c r="CC41" s="71">
        <f t="shared" ref="CC41:CC59" si="121">AG41</f>
        <v>166</v>
      </c>
      <c r="CD41" s="72">
        <f t="shared" ref="CD41:CD59" si="122">AK41</f>
        <v>173</v>
      </c>
      <c r="CE41" s="71">
        <f t="shared" ref="CE41:CE59" si="123">AO41</f>
        <v>219</v>
      </c>
      <c r="CF41" s="72">
        <f t="shared" ref="CF41:CF59" si="124">AS41</f>
        <v>266</v>
      </c>
      <c r="CG41" s="71">
        <f t="shared" ref="CG41:CG59" si="125">AW41</f>
        <v>292</v>
      </c>
      <c r="CH41" s="70">
        <f t="shared" ref="CH41:CH59" si="126">G41</f>
        <v>34</v>
      </c>
      <c r="CI41" s="71">
        <f t="shared" ref="CI41:CI59" si="127">K41</f>
        <v>38</v>
      </c>
      <c r="CJ41" s="72">
        <f t="shared" ref="CJ41:CJ59" si="128">O41</f>
        <v>69</v>
      </c>
      <c r="CK41" s="72">
        <f t="shared" ref="CK41:CK59" si="129">S41</f>
        <v>72</v>
      </c>
      <c r="CL41" s="72">
        <f t="shared" ref="CL41:CL59" si="130">W41</f>
        <v>108</v>
      </c>
      <c r="CM41" s="72">
        <f t="shared" ref="CM41:CM59" si="131">AA41</f>
        <v>116</v>
      </c>
      <c r="CN41" s="72">
        <f t="shared" ref="CN41:CN59" si="132">AE41</f>
        <v>142</v>
      </c>
      <c r="CO41" s="72">
        <f t="shared" ref="CO41:CO59" si="133">AI41</f>
        <v>168</v>
      </c>
      <c r="CP41" s="72">
        <f t="shared" ref="CP41:CP59" si="134">AM41</f>
        <v>208</v>
      </c>
      <c r="CQ41" s="72">
        <f t="shared" ref="CQ41:CQ59" si="135">AQ41</f>
        <v>259</v>
      </c>
      <c r="CR41" s="72">
        <f t="shared" ref="CR41:CR59" si="136">AU41</f>
        <v>291</v>
      </c>
      <c r="CS41" s="72">
        <f t="shared" ref="CS41:CS59" si="137">AY41</f>
        <v>305</v>
      </c>
      <c r="CT41" s="23">
        <f t="shared" ref="CT41:CT59" si="138">M41-K41</f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111"/>
        <v>aa2ar_human_5MZP</v>
      </c>
      <c r="B42" s="3" t="s">
        <v>139</v>
      </c>
      <c r="C42" s="3" t="s">
        <v>1447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3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12"/>
        <v>1</v>
      </c>
      <c r="BC42" s="23">
        <f t="shared" si="113"/>
        <v>261</v>
      </c>
      <c r="BD42" s="5" t="s">
        <v>23</v>
      </c>
      <c r="BE42" s="3" t="s">
        <v>1381</v>
      </c>
      <c r="BF42" s="119">
        <v>3</v>
      </c>
      <c r="BG42" s="49" t="s">
        <v>1</v>
      </c>
      <c r="BH42" s="49" t="s">
        <v>1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14"/>
        <v>2</v>
      </c>
      <c r="BW42" s="71">
        <f t="shared" si="115"/>
        <v>35</v>
      </c>
      <c r="BX42" s="72">
        <f t="shared" si="116"/>
        <v>39</v>
      </c>
      <c r="BY42" s="71">
        <f t="shared" si="117"/>
        <v>70</v>
      </c>
      <c r="BZ42" s="72">
        <f t="shared" si="118"/>
        <v>73</v>
      </c>
      <c r="CA42" s="71">
        <f t="shared" si="119"/>
        <v>109</v>
      </c>
      <c r="CB42" s="72">
        <f t="shared" si="120"/>
        <v>117</v>
      </c>
      <c r="CC42" s="71">
        <f t="shared" si="121"/>
        <v>166</v>
      </c>
      <c r="CD42" s="72">
        <f t="shared" si="122"/>
        <v>173</v>
      </c>
      <c r="CE42" s="71">
        <f t="shared" si="123"/>
        <v>219</v>
      </c>
      <c r="CF42" s="72">
        <f t="shared" si="124"/>
        <v>266</v>
      </c>
      <c r="CG42" s="71">
        <f t="shared" si="125"/>
        <v>292</v>
      </c>
      <c r="CH42" s="70">
        <f t="shared" si="126"/>
        <v>34</v>
      </c>
      <c r="CI42" s="71">
        <f t="shared" si="127"/>
        <v>38</v>
      </c>
      <c r="CJ42" s="72">
        <f t="shared" si="128"/>
        <v>69</v>
      </c>
      <c r="CK42" s="72">
        <f t="shared" si="129"/>
        <v>72</v>
      </c>
      <c r="CL42" s="72">
        <f t="shared" si="130"/>
        <v>108</v>
      </c>
      <c r="CM42" s="72">
        <f t="shared" si="131"/>
        <v>116</v>
      </c>
      <c r="CN42" s="72">
        <f t="shared" si="132"/>
        <v>142</v>
      </c>
      <c r="CO42" s="72">
        <f t="shared" si="133"/>
        <v>168</v>
      </c>
      <c r="CP42" s="72">
        <f t="shared" si="134"/>
        <v>208</v>
      </c>
      <c r="CQ42" s="72">
        <f t="shared" si="135"/>
        <v>259</v>
      </c>
      <c r="CR42" s="72">
        <f t="shared" si="136"/>
        <v>291</v>
      </c>
      <c r="CS42" s="72">
        <f t="shared" si="137"/>
        <v>305</v>
      </c>
      <c r="CT42" s="23">
        <f t="shared" si="138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111"/>
        <v>aa2ar_human_5N2R</v>
      </c>
      <c r="B43" s="3" t="s">
        <v>139</v>
      </c>
      <c r="C43" s="3" t="s">
        <v>1441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3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12"/>
        <v>1</v>
      </c>
      <c r="BC43" s="23">
        <f t="shared" si="113"/>
        <v>261</v>
      </c>
      <c r="BD43" s="5" t="s">
        <v>23</v>
      </c>
      <c r="BE43" s="3" t="s">
        <v>1381</v>
      </c>
      <c r="BF43" s="119">
        <v>2.9</v>
      </c>
      <c r="BG43" s="49" t="s">
        <v>1</v>
      </c>
      <c r="BH43" s="49" t="s">
        <v>1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14"/>
        <v>2</v>
      </c>
      <c r="BW43" s="71">
        <f t="shared" si="115"/>
        <v>35</v>
      </c>
      <c r="BX43" s="72">
        <f t="shared" si="116"/>
        <v>39</v>
      </c>
      <c r="BY43" s="71">
        <f t="shared" si="117"/>
        <v>70</v>
      </c>
      <c r="BZ43" s="72">
        <f t="shared" si="118"/>
        <v>73</v>
      </c>
      <c r="CA43" s="71">
        <f t="shared" si="119"/>
        <v>109</v>
      </c>
      <c r="CB43" s="72">
        <f t="shared" si="120"/>
        <v>117</v>
      </c>
      <c r="CC43" s="71">
        <f t="shared" si="121"/>
        <v>166</v>
      </c>
      <c r="CD43" s="72">
        <f t="shared" si="122"/>
        <v>173</v>
      </c>
      <c r="CE43" s="71">
        <f t="shared" si="123"/>
        <v>219</v>
      </c>
      <c r="CF43" s="72">
        <f t="shared" si="124"/>
        <v>266</v>
      </c>
      <c r="CG43" s="71">
        <f t="shared" si="125"/>
        <v>292</v>
      </c>
      <c r="CH43" s="70">
        <f t="shared" si="126"/>
        <v>34</v>
      </c>
      <c r="CI43" s="71">
        <f t="shared" si="127"/>
        <v>38</v>
      </c>
      <c r="CJ43" s="72">
        <f t="shared" si="128"/>
        <v>69</v>
      </c>
      <c r="CK43" s="72">
        <f t="shared" si="129"/>
        <v>72</v>
      </c>
      <c r="CL43" s="72">
        <f t="shared" si="130"/>
        <v>108</v>
      </c>
      <c r="CM43" s="72">
        <f t="shared" si="131"/>
        <v>116</v>
      </c>
      <c r="CN43" s="72">
        <f t="shared" si="132"/>
        <v>142</v>
      </c>
      <c r="CO43" s="72">
        <f t="shared" si="133"/>
        <v>168</v>
      </c>
      <c r="CP43" s="72">
        <f t="shared" si="134"/>
        <v>208</v>
      </c>
      <c r="CQ43" s="72">
        <f t="shared" si="135"/>
        <v>259</v>
      </c>
      <c r="CR43" s="72">
        <f t="shared" si="136"/>
        <v>291</v>
      </c>
      <c r="CS43" s="72">
        <f t="shared" si="137"/>
        <v>305</v>
      </c>
      <c r="CT43" s="23">
        <f t="shared" si="138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111"/>
        <v>aa2ar_human_5UIG</v>
      </c>
      <c r="B44" s="3" t="s">
        <v>139</v>
      </c>
      <c r="C44" s="3" t="s">
        <v>1394</v>
      </c>
      <c r="D44" s="3" t="str">
        <f>IFERROR(MID(VLOOKUP($B44,Seqs!$A:$B,2,0),E44,1),"")</f>
        <v>M</v>
      </c>
      <c r="E44" s="3">
        <v>4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3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Q</v>
      </c>
      <c r="AY44" s="3">
        <v>297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12"/>
        <v>1</v>
      </c>
      <c r="BC44" s="23">
        <f t="shared" si="113"/>
        <v>251</v>
      </c>
      <c r="BD44" s="5" t="s">
        <v>23</v>
      </c>
      <c r="BE44" s="3" t="s">
        <v>1381</v>
      </c>
      <c r="BF44" s="119">
        <v>3.5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14"/>
        <v>4</v>
      </c>
      <c r="BW44" s="71">
        <f t="shared" si="115"/>
        <v>35</v>
      </c>
      <c r="BX44" s="72">
        <f t="shared" si="116"/>
        <v>39</v>
      </c>
      <c r="BY44" s="71">
        <f t="shared" si="117"/>
        <v>70</v>
      </c>
      <c r="BZ44" s="72">
        <f t="shared" si="118"/>
        <v>73</v>
      </c>
      <c r="CA44" s="71">
        <f t="shared" si="119"/>
        <v>109</v>
      </c>
      <c r="CB44" s="72">
        <f t="shared" si="120"/>
        <v>117</v>
      </c>
      <c r="CC44" s="71">
        <f t="shared" si="121"/>
        <v>166</v>
      </c>
      <c r="CD44" s="72">
        <f t="shared" si="122"/>
        <v>173</v>
      </c>
      <c r="CE44" s="71">
        <f t="shared" si="123"/>
        <v>219</v>
      </c>
      <c r="CF44" s="72">
        <f t="shared" si="124"/>
        <v>266</v>
      </c>
      <c r="CG44" s="71">
        <f t="shared" si="125"/>
        <v>292</v>
      </c>
      <c r="CH44" s="70">
        <f t="shared" si="126"/>
        <v>34</v>
      </c>
      <c r="CI44" s="71">
        <f t="shared" si="127"/>
        <v>38</v>
      </c>
      <c r="CJ44" s="72">
        <f t="shared" si="128"/>
        <v>69</v>
      </c>
      <c r="CK44" s="72">
        <f t="shared" si="129"/>
        <v>72</v>
      </c>
      <c r="CL44" s="72">
        <f t="shared" si="130"/>
        <v>108</v>
      </c>
      <c r="CM44" s="72">
        <f t="shared" si="131"/>
        <v>116</v>
      </c>
      <c r="CN44" s="72">
        <f t="shared" si="132"/>
        <v>142</v>
      </c>
      <c r="CO44" s="72">
        <f t="shared" si="133"/>
        <v>168</v>
      </c>
      <c r="CP44" s="72">
        <f t="shared" si="134"/>
        <v>208</v>
      </c>
      <c r="CQ44" s="72">
        <f t="shared" si="135"/>
        <v>259</v>
      </c>
      <c r="CR44" s="72">
        <f t="shared" si="136"/>
        <v>291</v>
      </c>
      <c r="CS44" s="72">
        <f t="shared" si="137"/>
        <v>297</v>
      </c>
      <c r="CT44" s="23">
        <f t="shared" si="138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si="111"/>
        <v>aa2ar_human_5UVI</v>
      </c>
      <c r="B45" s="3" t="s">
        <v>139</v>
      </c>
      <c r="C45" s="3" t="s">
        <v>1421</v>
      </c>
      <c r="D45" s="3" t="str">
        <f>IFERROR(MID(VLOOKUP($B45,Seqs!$A:$B,2,0),E45,1),"")</f>
        <v>M</v>
      </c>
      <c r="E45" s="3">
        <v>1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H</v>
      </c>
      <c r="AY45" s="3">
        <v>306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12"/>
        <v>1</v>
      </c>
      <c r="BC45" s="23">
        <f t="shared" si="113"/>
        <v>263</v>
      </c>
      <c r="BD45" s="5" t="s">
        <v>23</v>
      </c>
      <c r="BE45" s="3" t="s">
        <v>1381</v>
      </c>
      <c r="BF45" s="119">
        <v>3.2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114"/>
        <v>1</v>
      </c>
      <c r="BW45" s="71">
        <f t="shared" si="115"/>
        <v>35</v>
      </c>
      <c r="BX45" s="72">
        <f t="shared" si="116"/>
        <v>39</v>
      </c>
      <c r="BY45" s="71">
        <f t="shared" si="117"/>
        <v>70</v>
      </c>
      <c r="BZ45" s="72">
        <f t="shared" si="118"/>
        <v>73</v>
      </c>
      <c r="CA45" s="71">
        <f t="shared" si="119"/>
        <v>109</v>
      </c>
      <c r="CB45" s="72">
        <f t="shared" si="120"/>
        <v>117</v>
      </c>
      <c r="CC45" s="71">
        <f t="shared" si="121"/>
        <v>166</v>
      </c>
      <c r="CD45" s="72">
        <f t="shared" si="122"/>
        <v>173</v>
      </c>
      <c r="CE45" s="71">
        <f t="shared" si="123"/>
        <v>219</v>
      </c>
      <c r="CF45" s="72">
        <f t="shared" si="124"/>
        <v>266</v>
      </c>
      <c r="CG45" s="71">
        <f t="shared" si="125"/>
        <v>292</v>
      </c>
      <c r="CH45" s="70">
        <f t="shared" si="126"/>
        <v>34</v>
      </c>
      <c r="CI45" s="71">
        <f t="shared" si="127"/>
        <v>38</v>
      </c>
      <c r="CJ45" s="72">
        <f t="shared" si="128"/>
        <v>69</v>
      </c>
      <c r="CK45" s="72">
        <f t="shared" si="129"/>
        <v>72</v>
      </c>
      <c r="CL45" s="72">
        <f t="shared" si="130"/>
        <v>108</v>
      </c>
      <c r="CM45" s="72">
        <f t="shared" si="131"/>
        <v>116</v>
      </c>
      <c r="CN45" s="72">
        <f t="shared" si="132"/>
        <v>142</v>
      </c>
      <c r="CO45" s="72">
        <f t="shared" si="133"/>
        <v>168</v>
      </c>
      <c r="CP45" s="72">
        <f t="shared" si="134"/>
        <v>208</v>
      </c>
      <c r="CQ45" s="72">
        <f t="shared" si="135"/>
        <v>259</v>
      </c>
      <c r="CR45" s="72">
        <f t="shared" si="136"/>
        <v>291</v>
      </c>
      <c r="CS45" s="72">
        <f t="shared" si="137"/>
        <v>306</v>
      </c>
      <c r="CT45" s="23">
        <f t="shared" si="138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11"/>
        <v>aa2ar_human_5JTB</v>
      </c>
      <c r="B46" s="3" t="s">
        <v>139</v>
      </c>
      <c r="C46" s="3" t="s">
        <v>1422</v>
      </c>
      <c r="D46" s="3" t="str">
        <f>IFERROR(MID(VLOOKUP($B46,Seqs!$A:$B,2,0),E46,1),"")</f>
        <v>M</v>
      </c>
      <c r="E46" s="3">
        <v>1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12"/>
        <v>1</v>
      </c>
      <c r="BC46" s="23">
        <f t="shared" si="113"/>
        <v>264</v>
      </c>
      <c r="BD46" s="5" t="s">
        <v>23</v>
      </c>
      <c r="BE46" s="3" t="s">
        <v>1381</v>
      </c>
      <c r="BF46" s="119">
        <v>2.8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14"/>
        <v>1</v>
      </c>
      <c r="BW46" s="71">
        <f t="shared" si="115"/>
        <v>35</v>
      </c>
      <c r="BX46" s="72">
        <f t="shared" si="116"/>
        <v>39</v>
      </c>
      <c r="BY46" s="71">
        <f t="shared" si="117"/>
        <v>70</v>
      </c>
      <c r="BZ46" s="72">
        <f t="shared" si="118"/>
        <v>73</v>
      </c>
      <c r="CA46" s="71">
        <f t="shared" si="119"/>
        <v>109</v>
      </c>
      <c r="CB46" s="72">
        <f t="shared" si="120"/>
        <v>117</v>
      </c>
      <c r="CC46" s="71">
        <f t="shared" si="121"/>
        <v>166</v>
      </c>
      <c r="CD46" s="72">
        <f t="shared" si="122"/>
        <v>173</v>
      </c>
      <c r="CE46" s="71">
        <f t="shared" si="123"/>
        <v>219</v>
      </c>
      <c r="CF46" s="72">
        <f t="shared" si="124"/>
        <v>266</v>
      </c>
      <c r="CG46" s="71">
        <f t="shared" si="125"/>
        <v>292</v>
      </c>
      <c r="CH46" s="70">
        <f t="shared" si="126"/>
        <v>34</v>
      </c>
      <c r="CI46" s="71">
        <f t="shared" si="127"/>
        <v>38</v>
      </c>
      <c r="CJ46" s="72">
        <f t="shared" si="128"/>
        <v>69</v>
      </c>
      <c r="CK46" s="72">
        <f t="shared" si="129"/>
        <v>72</v>
      </c>
      <c r="CL46" s="72">
        <f t="shared" si="130"/>
        <v>108</v>
      </c>
      <c r="CM46" s="72">
        <f t="shared" si="131"/>
        <v>116</v>
      </c>
      <c r="CN46" s="72">
        <f t="shared" si="132"/>
        <v>142</v>
      </c>
      <c r="CO46" s="72">
        <f t="shared" si="133"/>
        <v>168</v>
      </c>
      <c r="CP46" s="72">
        <f t="shared" si="134"/>
        <v>208</v>
      </c>
      <c r="CQ46" s="72">
        <f t="shared" si="135"/>
        <v>259</v>
      </c>
      <c r="CR46" s="72">
        <f t="shared" si="136"/>
        <v>291</v>
      </c>
      <c r="CS46" s="72">
        <f t="shared" si="137"/>
        <v>307</v>
      </c>
      <c r="CT46" s="23">
        <f t="shared" si="138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s="12" customFormat="1" x14ac:dyDescent="0.2">
      <c r="A47" s="9" t="str">
        <f t="shared" si="111"/>
        <v>aa2ar_human_5NM2</v>
      </c>
      <c r="B47" s="9" t="s">
        <v>139</v>
      </c>
      <c r="C47" s="9" t="s">
        <v>1455</v>
      </c>
      <c r="D47" s="9" t="str">
        <f>IFERROR(MID(VLOOKUP($B47,Seqs!$A:$B,2,0),E47,1),"")</f>
        <v>M</v>
      </c>
      <c r="E47" s="9">
        <v>1</v>
      </c>
      <c r="F47" s="9" t="str">
        <f>IFERROR(MID(VLOOKUP($B47,Seqs!$A:$B,2,0),G47,1),"")</f>
        <v>N</v>
      </c>
      <c r="G47" s="9">
        <v>34</v>
      </c>
      <c r="H47" s="9" t="str">
        <f>IFERROR(MID(VLOOKUP($B47,Seqs!$A:$B,2,0),I47,1),"")</f>
        <v>S</v>
      </c>
      <c r="I47" s="109">
        <v>35</v>
      </c>
      <c r="J47" s="9" t="str">
        <f>IFERROR(MID(VLOOKUP($B47,Seqs!$A:$B,2,0),K47,1),"")</f>
        <v>Q</v>
      </c>
      <c r="K47" s="109">
        <v>38</v>
      </c>
      <c r="L47" s="9" t="str">
        <f>IFERROR(MID(VLOOKUP($B47,Seqs!$A:$B,2,0),M47,1),"")</f>
        <v>N</v>
      </c>
      <c r="M47" s="9">
        <v>39</v>
      </c>
      <c r="N47" s="9" t="str">
        <f>IFERROR(MID(VLOOKUP($B47,Seqs!$A:$B,2,0),O47,1),"")</f>
        <v>G</v>
      </c>
      <c r="O47" s="9">
        <v>69</v>
      </c>
      <c r="P47" s="9" t="str">
        <f>IFERROR(MID(VLOOKUP($B47,Seqs!$A:$B,2,0),Q47,1),"")</f>
        <v>F</v>
      </c>
      <c r="Q47" s="9">
        <v>70</v>
      </c>
      <c r="R47" s="9" t="str">
        <f>IFERROR(MID(VLOOKUP($B47,Seqs!$A:$B,2,0),S47,1),"")</f>
        <v>A</v>
      </c>
      <c r="S47" s="9">
        <v>72</v>
      </c>
      <c r="T47" s="9" t="str">
        <f>IFERROR(MID(VLOOKUP($B47,Seqs!$A:$B,2,0),U47,1),"")</f>
        <v>A</v>
      </c>
      <c r="U47" s="9">
        <v>73</v>
      </c>
      <c r="V47" s="9" t="str">
        <f>IFERROR(MID(VLOOKUP($B47,Seqs!$A:$B,2,0),W47,1),"")</f>
        <v>I</v>
      </c>
      <c r="W47" s="9">
        <v>108</v>
      </c>
      <c r="X47" s="9" t="str">
        <f>IFERROR(MID(VLOOKUP($B47,Seqs!$A:$B,2,0),Y47,1),"")</f>
        <v>P</v>
      </c>
      <c r="Y47" s="9">
        <v>109</v>
      </c>
      <c r="Z47" s="9" t="str">
        <f>IFERROR(MID(VLOOKUP($B47,Seqs!$A:$B,2,0),AA47,1),"")</f>
        <v>V</v>
      </c>
      <c r="AA47" s="9">
        <v>116</v>
      </c>
      <c r="AB47" s="9" t="str">
        <f>IFERROR(MID(VLOOKUP($B47,Seqs!$A:$B,2,0),AC47,1),"")</f>
        <v>T</v>
      </c>
      <c r="AC47" s="9">
        <v>117</v>
      </c>
      <c r="AD47" s="9" t="str">
        <f>IFERROR(MID(VLOOKUP($B47,Seqs!$A:$B,2,0),AE47,1),"")</f>
        <v>G</v>
      </c>
      <c r="AE47" s="9">
        <v>142</v>
      </c>
      <c r="AF47" s="9" t="str">
        <f>IFERROR(MID(VLOOKUP($B47,Seqs!$A:$B,2,0),AG47,1),"")</f>
        <v>C</v>
      </c>
      <c r="AG47" s="9">
        <v>166</v>
      </c>
      <c r="AH47" s="9" t="str">
        <f>IFERROR(MID(VLOOKUP($B47,Seqs!$A:$B,2,0),AI47,1),"")</f>
        <v>F</v>
      </c>
      <c r="AI47" s="9">
        <v>168</v>
      </c>
      <c r="AJ47" s="9" t="str">
        <f>IFERROR(MID(VLOOKUP($B47,Seqs!$A:$B,2,0),AK47,1),"")</f>
        <v>P</v>
      </c>
      <c r="AK47" s="9">
        <v>173</v>
      </c>
      <c r="AL47" s="9" t="str">
        <f>IFERROR(MID(VLOOKUP($B47,Seqs!$A:$B,2,0),AM47,1),"")</f>
        <v>L</v>
      </c>
      <c r="AM47" s="9">
        <v>208</v>
      </c>
      <c r="AN47" s="9" t="str">
        <f>IFERROR(MID(VLOOKUP($B47,Seqs!$A:$B,2,0),AO47,1),"")</f>
        <v>E</v>
      </c>
      <c r="AO47" s="9">
        <v>219</v>
      </c>
      <c r="AP47" s="9" t="str">
        <f>IFERROR(MID(VLOOKUP($B47,Seqs!$A:$B,2,0),AQ47,1),"")</f>
        <v>C</v>
      </c>
      <c r="AQ47" s="9">
        <v>259</v>
      </c>
      <c r="AR47" s="9" t="str">
        <f>IFERROR(MID(VLOOKUP($B47,Seqs!$A:$B,2,0),AS47,1),"")</f>
        <v>P</v>
      </c>
      <c r="AS47" s="9">
        <v>266</v>
      </c>
      <c r="AT47" s="9" t="str">
        <f>IFERROR(MID(VLOOKUP($B47,Seqs!$A:$B,2,0),AU47,1),"")</f>
        <v>R</v>
      </c>
      <c r="AU47" s="9">
        <v>291</v>
      </c>
      <c r="AV47" s="9" t="str">
        <f>IFERROR(MID(VLOOKUP($B47,Seqs!$A:$B,2,0),AW47,1),"")</f>
        <v>I</v>
      </c>
      <c r="AW47" s="9">
        <v>292</v>
      </c>
      <c r="AX47" s="9" t="str">
        <f>IFERROR(MID(VLOOKUP($B47,Seqs!$A:$B,2,0),AY47,1),"")</f>
        <v>S</v>
      </c>
      <c r="AY47" s="9">
        <v>305</v>
      </c>
      <c r="AZ47" s="110" t="str">
        <f>VLOOKUP(B47,Classification!A:D,2,0)</f>
        <v>A</v>
      </c>
      <c r="BA47" s="98" t="str">
        <f>VLOOKUP(B47,Classification!A:D,4,0)</f>
        <v>Adenosine</v>
      </c>
      <c r="BB47" s="36" t="b">
        <f t="shared" si="112"/>
        <v>1</v>
      </c>
      <c r="BC47" s="109">
        <f t="shared" si="113"/>
        <v>262</v>
      </c>
      <c r="BD47" s="13" t="s">
        <v>23</v>
      </c>
      <c r="BE47" s="9" t="s">
        <v>1381</v>
      </c>
      <c r="BF47" s="120">
        <v>1.95</v>
      </c>
      <c r="BG47" s="51" t="s">
        <v>1</v>
      </c>
      <c r="BH47" s="51" t="s">
        <v>1</v>
      </c>
      <c r="BJ47" s="111" t="s">
        <v>1293</v>
      </c>
      <c r="BK47" s="112" t="s">
        <v>1293</v>
      </c>
      <c r="BL47" s="112" t="s">
        <v>1293</v>
      </c>
      <c r="BM47" s="112" t="s">
        <v>1293</v>
      </c>
      <c r="BN47" s="112" t="s">
        <v>1293</v>
      </c>
      <c r="BO47" s="112" t="s">
        <v>1293</v>
      </c>
      <c r="BP47" s="112" t="s">
        <v>1293</v>
      </c>
      <c r="BQ47" s="112" t="s">
        <v>1293</v>
      </c>
      <c r="BR47" s="112" t="s">
        <v>1293</v>
      </c>
      <c r="BS47" s="112" t="s">
        <v>1293</v>
      </c>
      <c r="BT47" s="112" t="s">
        <v>1293</v>
      </c>
      <c r="BU47" s="112" t="s">
        <v>1293</v>
      </c>
      <c r="BV47" s="111">
        <f t="shared" si="114"/>
        <v>1</v>
      </c>
      <c r="BW47" s="113">
        <f t="shared" si="115"/>
        <v>35</v>
      </c>
      <c r="BX47" s="114">
        <f t="shared" si="116"/>
        <v>39</v>
      </c>
      <c r="BY47" s="113">
        <f t="shared" si="117"/>
        <v>70</v>
      </c>
      <c r="BZ47" s="114">
        <f t="shared" si="118"/>
        <v>73</v>
      </c>
      <c r="CA47" s="113">
        <f t="shared" si="119"/>
        <v>109</v>
      </c>
      <c r="CB47" s="114">
        <f t="shared" si="120"/>
        <v>117</v>
      </c>
      <c r="CC47" s="113">
        <f t="shared" si="121"/>
        <v>166</v>
      </c>
      <c r="CD47" s="114">
        <f t="shared" si="122"/>
        <v>173</v>
      </c>
      <c r="CE47" s="113">
        <f t="shared" si="123"/>
        <v>219</v>
      </c>
      <c r="CF47" s="114">
        <f t="shared" si="124"/>
        <v>266</v>
      </c>
      <c r="CG47" s="113">
        <f t="shared" si="125"/>
        <v>292</v>
      </c>
      <c r="CH47" s="111">
        <f t="shared" si="126"/>
        <v>34</v>
      </c>
      <c r="CI47" s="113">
        <f t="shared" si="127"/>
        <v>38</v>
      </c>
      <c r="CJ47" s="114">
        <f t="shared" si="128"/>
        <v>69</v>
      </c>
      <c r="CK47" s="114">
        <f t="shared" si="129"/>
        <v>72</v>
      </c>
      <c r="CL47" s="114">
        <f t="shared" si="130"/>
        <v>108</v>
      </c>
      <c r="CM47" s="114">
        <f t="shared" si="131"/>
        <v>116</v>
      </c>
      <c r="CN47" s="114">
        <f t="shared" si="132"/>
        <v>142</v>
      </c>
      <c r="CO47" s="114">
        <f t="shared" si="133"/>
        <v>168</v>
      </c>
      <c r="CP47" s="114">
        <f t="shared" si="134"/>
        <v>208</v>
      </c>
      <c r="CQ47" s="114">
        <f t="shared" si="135"/>
        <v>259</v>
      </c>
      <c r="CR47" s="114">
        <f t="shared" si="136"/>
        <v>291</v>
      </c>
      <c r="CS47" s="114">
        <f t="shared" si="137"/>
        <v>305</v>
      </c>
      <c r="CT47" s="109">
        <f t="shared" si="138"/>
        <v>1</v>
      </c>
    </row>
    <row r="48" spans="1:1029" s="12" customFormat="1" x14ac:dyDescent="0.2">
      <c r="A48" s="9" t="str">
        <f t="shared" si="111"/>
        <v>aa2ar_human_5VRA</v>
      </c>
      <c r="B48" s="9" t="s">
        <v>139</v>
      </c>
      <c r="C48" s="9" t="s">
        <v>1461</v>
      </c>
      <c r="D48" s="9" t="str">
        <f>IFERROR(MID(VLOOKUP($B48,Seqs!$A:$B,2,0),E48,1),"")</f>
        <v>M</v>
      </c>
      <c r="E48" s="9">
        <v>1</v>
      </c>
      <c r="F48" s="9" t="str">
        <f>IFERROR(MID(VLOOKUP($B48,Seqs!$A:$B,2,0),G48,1),"")</f>
        <v>N</v>
      </c>
      <c r="G48" s="9">
        <v>34</v>
      </c>
      <c r="H48" s="9" t="str">
        <f>IFERROR(MID(VLOOKUP($B48,Seqs!$A:$B,2,0),I48,1),"")</f>
        <v>S</v>
      </c>
      <c r="I48" s="109">
        <v>35</v>
      </c>
      <c r="J48" s="9" t="str">
        <f>IFERROR(MID(VLOOKUP($B48,Seqs!$A:$B,2,0),K48,1),"")</f>
        <v>Q</v>
      </c>
      <c r="K48" s="109">
        <v>38</v>
      </c>
      <c r="L48" s="9" t="str">
        <f>IFERROR(MID(VLOOKUP($B48,Seqs!$A:$B,2,0),M48,1),"")</f>
        <v>N</v>
      </c>
      <c r="M48" s="9">
        <v>39</v>
      </c>
      <c r="N48" s="9" t="str">
        <f>IFERROR(MID(VLOOKUP($B48,Seqs!$A:$B,2,0),O48,1),"")</f>
        <v>G</v>
      </c>
      <c r="O48" s="9">
        <v>69</v>
      </c>
      <c r="P48" s="9" t="str">
        <f>IFERROR(MID(VLOOKUP($B48,Seqs!$A:$B,2,0),Q48,1),"")</f>
        <v>F</v>
      </c>
      <c r="Q48" s="9">
        <v>70</v>
      </c>
      <c r="R48" s="9" t="str">
        <f>IFERROR(MID(VLOOKUP($B48,Seqs!$A:$B,2,0),S48,1),"")</f>
        <v>A</v>
      </c>
      <c r="S48" s="9">
        <v>72</v>
      </c>
      <c r="T48" s="9" t="str">
        <f>IFERROR(MID(VLOOKUP($B48,Seqs!$A:$B,2,0),U48,1),"")</f>
        <v>A</v>
      </c>
      <c r="U48" s="9">
        <v>73</v>
      </c>
      <c r="V48" s="9" t="str">
        <f>IFERROR(MID(VLOOKUP($B48,Seqs!$A:$B,2,0),W48,1),"")</f>
        <v>I</v>
      </c>
      <c r="W48" s="9">
        <v>108</v>
      </c>
      <c r="X48" s="9" t="str">
        <f>IFERROR(MID(VLOOKUP($B48,Seqs!$A:$B,2,0),Y48,1),"")</f>
        <v>P</v>
      </c>
      <c r="Y48" s="9">
        <v>109</v>
      </c>
      <c r="Z48" s="9" t="str">
        <f>IFERROR(MID(VLOOKUP($B48,Seqs!$A:$B,2,0),AA48,1),"")</f>
        <v>V</v>
      </c>
      <c r="AA48" s="9">
        <v>116</v>
      </c>
      <c r="AB48" s="9" t="str">
        <f>IFERROR(MID(VLOOKUP($B48,Seqs!$A:$B,2,0),AC48,1),"")</f>
        <v>T</v>
      </c>
      <c r="AC48" s="9">
        <v>117</v>
      </c>
      <c r="AD48" s="9" t="str">
        <f>IFERROR(MID(VLOOKUP($B48,Seqs!$A:$B,2,0),AE48,1),"")</f>
        <v>G</v>
      </c>
      <c r="AE48" s="9">
        <v>142</v>
      </c>
      <c r="AF48" s="9" t="str">
        <f>IFERROR(MID(VLOOKUP($B48,Seqs!$A:$B,2,0),AG48,1),"")</f>
        <v>C</v>
      </c>
      <c r="AG48" s="9">
        <v>166</v>
      </c>
      <c r="AH48" s="9" t="str">
        <f>IFERROR(MID(VLOOKUP($B48,Seqs!$A:$B,2,0),AI48,1),"")</f>
        <v>F</v>
      </c>
      <c r="AI48" s="9">
        <v>168</v>
      </c>
      <c r="AJ48" s="9" t="str">
        <f>IFERROR(MID(VLOOKUP($B48,Seqs!$A:$B,2,0),AK48,1),"")</f>
        <v>P</v>
      </c>
      <c r="AK48" s="9">
        <v>173</v>
      </c>
      <c r="AL48" s="9" t="str">
        <f>IFERROR(MID(VLOOKUP($B48,Seqs!$A:$B,2,0),AM48,1),"")</f>
        <v>L</v>
      </c>
      <c r="AM48" s="9">
        <v>208</v>
      </c>
      <c r="AN48" s="9" t="str">
        <f>IFERROR(MID(VLOOKUP($B48,Seqs!$A:$B,2,0),AO48,1),"")</f>
        <v>E</v>
      </c>
      <c r="AO48" s="9">
        <v>219</v>
      </c>
      <c r="AP48" s="9" t="str">
        <f>IFERROR(MID(VLOOKUP($B48,Seqs!$A:$B,2,0),AQ48,1),"")</f>
        <v>C</v>
      </c>
      <c r="AQ48" s="9">
        <v>259</v>
      </c>
      <c r="AR48" s="9" t="str">
        <f>IFERROR(MID(VLOOKUP($B48,Seqs!$A:$B,2,0),AS48,1),"")</f>
        <v>P</v>
      </c>
      <c r="AS48" s="9">
        <v>266</v>
      </c>
      <c r="AT48" s="9" t="str">
        <f>IFERROR(MID(VLOOKUP($B48,Seqs!$A:$B,2,0),AU48,1),"")</f>
        <v>R</v>
      </c>
      <c r="AU48" s="9">
        <v>291</v>
      </c>
      <c r="AV48" s="9" t="str">
        <f>IFERROR(MID(VLOOKUP($B48,Seqs!$A:$B,2,0),AW48,1),"")</f>
        <v>I</v>
      </c>
      <c r="AW48" s="9">
        <v>292</v>
      </c>
      <c r="AX48" s="9" t="str">
        <f>IFERROR(MID(VLOOKUP($B48,Seqs!$A:$B,2,0),AY48,1),"")</f>
        <v>H</v>
      </c>
      <c r="AY48" s="9">
        <v>306</v>
      </c>
      <c r="AZ48" s="110" t="str">
        <f>VLOOKUP(B48,Classification!A:D,2,0)</f>
        <v>A</v>
      </c>
      <c r="BA48" s="98" t="str">
        <f>VLOOKUP(B48,Classification!A:D,4,0)</f>
        <v>Adenosine</v>
      </c>
      <c r="BB48" s="36" t="b">
        <f t="shared" si="112"/>
        <v>1</v>
      </c>
      <c r="BC48" s="109">
        <f t="shared" si="113"/>
        <v>263</v>
      </c>
      <c r="BD48" s="13" t="s">
        <v>23</v>
      </c>
      <c r="BE48" s="9" t="s">
        <v>1381</v>
      </c>
      <c r="BF48" s="120">
        <v>2.35</v>
      </c>
      <c r="BG48" s="51" t="s">
        <v>1</v>
      </c>
      <c r="BH48" s="51" t="s">
        <v>1</v>
      </c>
      <c r="BJ48" s="111" t="s">
        <v>1293</v>
      </c>
      <c r="BK48" s="112" t="s">
        <v>1293</v>
      </c>
      <c r="BL48" s="112" t="s">
        <v>1293</v>
      </c>
      <c r="BM48" s="112" t="s">
        <v>1293</v>
      </c>
      <c r="BN48" s="112" t="s">
        <v>1293</v>
      </c>
      <c r="BO48" s="112" t="s">
        <v>1293</v>
      </c>
      <c r="BP48" s="112" t="s">
        <v>1293</v>
      </c>
      <c r="BQ48" s="112" t="s">
        <v>1293</v>
      </c>
      <c r="BR48" s="112" t="s">
        <v>1293</v>
      </c>
      <c r="BS48" s="112" t="s">
        <v>1293</v>
      </c>
      <c r="BT48" s="112" t="s">
        <v>1293</v>
      </c>
      <c r="BU48" s="112" t="s">
        <v>1293</v>
      </c>
      <c r="BV48" s="111">
        <f t="shared" si="114"/>
        <v>1</v>
      </c>
      <c r="BW48" s="113">
        <f t="shared" si="115"/>
        <v>35</v>
      </c>
      <c r="BX48" s="114">
        <f t="shared" si="116"/>
        <v>39</v>
      </c>
      <c r="BY48" s="113">
        <f t="shared" si="117"/>
        <v>70</v>
      </c>
      <c r="BZ48" s="114">
        <f t="shared" si="118"/>
        <v>73</v>
      </c>
      <c r="CA48" s="113">
        <f t="shared" si="119"/>
        <v>109</v>
      </c>
      <c r="CB48" s="114">
        <f t="shared" si="120"/>
        <v>117</v>
      </c>
      <c r="CC48" s="113">
        <f t="shared" si="121"/>
        <v>166</v>
      </c>
      <c r="CD48" s="114">
        <f t="shared" si="122"/>
        <v>173</v>
      </c>
      <c r="CE48" s="113">
        <f t="shared" si="123"/>
        <v>219</v>
      </c>
      <c r="CF48" s="114">
        <f t="shared" si="124"/>
        <v>266</v>
      </c>
      <c r="CG48" s="113">
        <f t="shared" si="125"/>
        <v>292</v>
      </c>
      <c r="CH48" s="111">
        <f t="shared" si="126"/>
        <v>34</v>
      </c>
      <c r="CI48" s="113">
        <f t="shared" si="127"/>
        <v>38</v>
      </c>
      <c r="CJ48" s="114">
        <f t="shared" si="128"/>
        <v>69</v>
      </c>
      <c r="CK48" s="114">
        <f t="shared" si="129"/>
        <v>72</v>
      </c>
      <c r="CL48" s="114">
        <f t="shared" si="130"/>
        <v>108</v>
      </c>
      <c r="CM48" s="114">
        <f t="shared" si="131"/>
        <v>116</v>
      </c>
      <c r="CN48" s="114">
        <f t="shared" si="132"/>
        <v>142</v>
      </c>
      <c r="CO48" s="114">
        <f t="shared" si="133"/>
        <v>168</v>
      </c>
      <c r="CP48" s="114">
        <f t="shared" si="134"/>
        <v>208</v>
      </c>
      <c r="CQ48" s="114">
        <f t="shared" si="135"/>
        <v>259</v>
      </c>
      <c r="CR48" s="114">
        <f t="shared" si="136"/>
        <v>291</v>
      </c>
      <c r="CS48" s="114">
        <f t="shared" si="137"/>
        <v>306</v>
      </c>
      <c r="CT48" s="109">
        <f t="shared" si="138"/>
        <v>1</v>
      </c>
    </row>
    <row r="49" spans="1:1029" s="12" customFormat="1" x14ac:dyDescent="0.2">
      <c r="A49" s="9" t="str">
        <f t="shared" si="111"/>
        <v>aa2ar_human_5OLG</v>
      </c>
      <c r="B49" s="9" t="s">
        <v>139</v>
      </c>
      <c r="C49" s="9" t="s">
        <v>1467</v>
      </c>
      <c r="D49" s="9" t="str">
        <f>IFERROR(MID(VLOOKUP($B49,Seqs!$A:$B,2,0),E49,1),"")</f>
        <v>M</v>
      </c>
      <c r="E49" s="9">
        <v>1</v>
      </c>
      <c r="F49" s="9" t="str">
        <f>IFERROR(MID(VLOOKUP($B49,Seqs!$A:$B,2,0),G49,1),"")</f>
        <v>N</v>
      </c>
      <c r="G49" s="9">
        <v>34</v>
      </c>
      <c r="H49" s="9" t="str">
        <f>IFERROR(MID(VLOOKUP($B49,Seqs!$A:$B,2,0),I49,1),"")</f>
        <v>S</v>
      </c>
      <c r="I49" s="109">
        <v>35</v>
      </c>
      <c r="J49" s="9" t="str">
        <f>IFERROR(MID(VLOOKUP($B49,Seqs!$A:$B,2,0),K49,1),"")</f>
        <v>Q</v>
      </c>
      <c r="K49" s="109">
        <v>38</v>
      </c>
      <c r="L49" s="9" t="str">
        <f>IFERROR(MID(VLOOKUP($B49,Seqs!$A:$B,2,0),M49,1),"")</f>
        <v>N</v>
      </c>
      <c r="M49" s="9">
        <v>39</v>
      </c>
      <c r="N49" s="9" t="str">
        <f>IFERROR(MID(VLOOKUP($B49,Seqs!$A:$B,2,0),O49,1),"")</f>
        <v>G</v>
      </c>
      <c r="O49" s="9">
        <v>69</v>
      </c>
      <c r="P49" s="9" t="str">
        <f>IFERROR(MID(VLOOKUP($B49,Seqs!$A:$B,2,0),Q49,1),"")</f>
        <v>F</v>
      </c>
      <c r="Q49" s="9">
        <v>70</v>
      </c>
      <c r="R49" s="9" t="str">
        <f>IFERROR(MID(VLOOKUP($B49,Seqs!$A:$B,2,0),S49,1),"")</f>
        <v>A</v>
      </c>
      <c r="S49" s="9">
        <v>72</v>
      </c>
      <c r="T49" s="9" t="str">
        <f>IFERROR(MID(VLOOKUP($B49,Seqs!$A:$B,2,0),U49,1),"")</f>
        <v>A</v>
      </c>
      <c r="U49" s="9">
        <v>73</v>
      </c>
      <c r="V49" s="9" t="str">
        <f>IFERROR(MID(VLOOKUP($B49,Seqs!$A:$B,2,0),W49,1),"")</f>
        <v>I</v>
      </c>
      <c r="W49" s="9">
        <v>108</v>
      </c>
      <c r="X49" s="9" t="str">
        <f>IFERROR(MID(VLOOKUP($B49,Seqs!$A:$B,2,0),Y49,1),"")</f>
        <v>P</v>
      </c>
      <c r="Y49" s="9">
        <v>109</v>
      </c>
      <c r="Z49" s="9" t="str">
        <f>IFERROR(MID(VLOOKUP($B49,Seqs!$A:$B,2,0),AA49,1),"")</f>
        <v>V</v>
      </c>
      <c r="AA49" s="9">
        <v>116</v>
      </c>
      <c r="AB49" s="9" t="str">
        <f>IFERROR(MID(VLOOKUP($B49,Seqs!$A:$B,2,0),AC49,1),"")</f>
        <v>T</v>
      </c>
      <c r="AC49" s="9">
        <v>117</v>
      </c>
      <c r="AD49" s="9" t="str">
        <f>IFERROR(MID(VLOOKUP($B49,Seqs!$A:$B,2,0),AE49,1),"")</f>
        <v>G</v>
      </c>
      <c r="AE49" s="9">
        <v>142</v>
      </c>
      <c r="AF49" s="9" t="str">
        <f>IFERROR(MID(VLOOKUP($B49,Seqs!$A:$B,2,0),AG49,1),"")</f>
        <v>C</v>
      </c>
      <c r="AG49" s="9">
        <v>166</v>
      </c>
      <c r="AH49" s="9" t="str">
        <f>IFERROR(MID(VLOOKUP($B49,Seqs!$A:$B,2,0),AI49,1),"")</f>
        <v>F</v>
      </c>
      <c r="AI49" s="9">
        <v>168</v>
      </c>
      <c r="AJ49" s="9" t="str">
        <f>IFERROR(MID(VLOOKUP($B49,Seqs!$A:$B,2,0),AK49,1),"")</f>
        <v>P</v>
      </c>
      <c r="AK49" s="9">
        <v>173</v>
      </c>
      <c r="AL49" s="9" t="str">
        <f>IFERROR(MID(VLOOKUP($B49,Seqs!$A:$B,2,0),AM49,1),"")</f>
        <v>L</v>
      </c>
      <c r="AM49" s="9">
        <v>208</v>
      </c>
      <c r="AN49" s="9" t="str">
        <f>IFERROR(MID(VLOOKUP($B49,Seqs!$A:$B,2,0),AO49,1),"")</f>
        <v>E</v>
      </c>
      <c r="AO49" s="9">
        <v>219</v>
      </c>
      <c r="AP49" s="9" t="str">
        <f>IFERROR(MID(VLOOKUP($B49,Seqs!$A:$B,2,0),AQ49,1),"")</f>
        <v>C</v>
      </c>
      <c r="AQ49" s="9">
        <v>259</v>
      </c>
      <c r="AR49" s="9" t="str">
        <f>IFERROR(MID(VLOOKUP($B49,Seqs!$A:$B,2,0),AS49,1),"")</f>
        <v>P</v>
      </c>
      <c r="AS49" s="9">
        <v>266</v>
      </c>
      <c r="AT49" s="9" t="str">
        <f>IFERROR(MID(VLOOKUP($B49,Seqs!$A:$B,2,0),AU49,1),"")</f>
        <v>R</v>
      </c>
      <c r="AU49" s="9">
        <v>291</v>
      </c>
      <c r="AV49" s="9" t="str">
        <f>IFERROR(MID(VLOOKUP($B49,Seqs!$A:$B,2,0),AW49,1),"")</f>
        <v>I</v>
      </c>
      <c r="AW49" s="9">
        <v>292</v>
      </c>
      <c r="AX49" s="9" t="str">
        <f>IFERROR(MID(VLOOKUP($B49,Seqs!$A:$B,2,0),AY49,1),"")</f>
        <v>S</v>
      </c>
      <c r="AY49" s="9">
        <v>305</v>
      </c>
      <c r="AZ49" s="110" t="str">
        <f>VLOOKUP(B49,Classification!A:D,2,0)</f>
        <v>A</v>
      </c>
      <c r="BA49" s="98" t="str">
        <f>VLOOKUP(B49,Classification!A:D,4,0)</f>
        <v>Adenosine</v>
      </c>
      <c r="BB49" s="36" t="b">
        <f t="shared" si="112"/>
        <v>1</v>
      </c>
      <c r="BC49" s="109">
        <f t="shared" si="113"/>
        <v>262</v>
      </c>
      <c r="BD49" s="13" t="s">
        <v>23</v>
      </c>
      <c r="BE49" s="9" t="s">
        <v>1381</v>
      </c>
      <c r="BF49" s="120">
        <v>1.87</v>
      </c>
      <c r="BG49" s="51" t="s">
        <v>1</v>
      </c>
      <c r="BH49" s="51" t="s">
        <v>1</v>
      </c>
      <c r="BJ49" s="111" t="s">
        <v>1293</v>
      </c>
      <c r="BK49" s="112" t="s">
        <v>1293</v>
      </c>
      <c r="BL49" s="112" t="s">
        <v>1293</v>
      </c>
      <c r="BM49" s="112" t="s">
        <v>1293</v>
      </c>
      <c r="BN49" s="112" t="s">
        <v>1293</v>
      </c>
      <c r="BO49" s="112" t="s">
        <v>1293</v>
      </c>
      <c r="BP49" s="112" t="s">
        <v>1293</v>
      </c>
      <c r="BQ49" s="112" t="s">
        <v>1293</v>
      </c>
      <c r="BR49" s="112" t="s">
        <v>1293</v>
      </c>
      <c r="BS49" s="112" t="s">
        <v>1293</v>
      </c>
      <c r="BT49" s="112" t="s">
        <v>1293</v>
      </c>
      <c r="BU49" s="112" t="s">
        <v>1293</v>
      </c>
      <c r="BV49" s="111">
        <f t="shared" si="114"/>
        <v>1</v>
      </c>
      <c r="BW49" s="113">
        <f t="shared" si="115"/>
        <v>35</v>
      </c>
      <c r="BX49" s="114">
        <f t="shared" si="116"/>
        <v>39</v>
      </c>
      <c r="BY49" s="113">
        <f t="shared" si="117"/>
        <v>70</v>
      </c>
      <c r="BZ49" s="114">
        <f t="shared" si="118"/>
        <v>73</v>
      </c>
      <c r="CA49" s="113">
        <f t="shared" si="119"/>
        <v>109</v>
      </c>
      <c r="CB49" s="114">
        <f t="shared" si="120"/>
        <v>117</v>
      </c>
      <c r="CC49" s="113">
        <f t="shared" si="121"/>
        <v>166</v>
      </c>
      <c r="CD49" s="114">
        <f t="shared" si="122"/>
        <v>173</v>
      </c>
      <c r="CE49" s="113">
        <f t="shared" si="123"/>
        <v>219</v>
      </c>
      <c r="CF49" s="114">
        <f t="shared" si="124"/>
        <v>266</v>
      </c>
      <c r="CG49" s="113">
        <f t="shared" si="125"/>
        <v>292</v>
      </c>
      <c r="CH49" s="111">
        <f t="shared" si="126"/>
        <v>34</v>
      </c>
      <c r="CI49" s="113">
        <f t="shared" si="127"/>
        <v>38</v>
      </c>
      <c r="CJ49" s="114">
        <f t="shared" si="128"/>
        <v>69</v>
      </c>
      <c r="CK49" s="114">
        <f t="shared" si="129"/>
        <v>72</v>
      </c>
      <c r="CL49" s="114">
        <f t="shared" si="130"/>
        <v>108</v>
      </c>
      <c r="CM49" s="114">
        <f t="shared" si="131"/>
        <v>116</v>
      </c>
      <c r="CN49" s="114">
        <f t="shared" si="132"/>
        <v>142</v>
      </c>
      <c r="CO49" s="114">
        <f t="shared" si="133"/>
        <v>168</v>
      </c>
      <c r="CP49" s="114">
        <f t="shared" si="134"/>
        <v>208</v>
      </c>
      <c r="CQ49" s="114">
        <f t="shared" si="135"/>
        <v>259</v>
      </c>
      <c r="CR49" s="114">
        <f t="shared" si="136"/>
        <v>291</v>
      </c>
      <c r="CS49" s="114">
        <f t="shared" si="137"/>
        <v>305</v>
      </c>
      <c r="CT49" s="109">
        <f t="shared" si="138"/>
        <v>1</v>
      </c>
    </row>
    <row r="50" spans="1:1029" s="12" customFormat="1" x14ac:dyDescent="0.2">
      <c r="A50" s="9" t="str">
        <f t="shared" si="111"/>
        <v>aa2ar_human_5OLH</v>
      </c>
      <c r="B50" s="9" t="s">
        <v>139</v>
      </c>
      <c r="C50" s="9" t="s">
        <v>1468</v>
      </c>
      <c r="D50" s="9" t="str">
        <f>IFERROR(MID(VLOOKUP($B50,Seqs!$A:$B,2,0),E50,1),"")</f>
        <v>M</v>
      </c>
      <c r="E50" s="9">
        <v>1</v>
      </c>
      <c r="F50" s="9" t="str">
        <f>IFERROR(MID(VLOOKUP($B50,Seqs!$A:$B,2,0),G50,1),"")</f>
        <v>N</v>
      </c>
      <c r="G50" s="9">
        <v>34</v>
      </c>
      <c r="H50" s="9" t="str">
        <f>IFERROR(MID(VLOOKUP($B50,Seqs!$A:$B,2,0),I50,1),"")</f>
        <v>S</v>
      </c>
      <c r="I50" s="109">
        <v>35</v>
      </c>
      <c r="J50" s="9" t="str">
        <f>IFERROR(MID(VLOOKUP($B50,Seqs!$A:$B,2,0),K50,1),"")</f>
        <v>Q</v>
      </c>
      <c r="K50" s="109">
        <v>38</v>
      </c>
      <c r="L50" s="9" t="str">
        <f>IFERROR(MID(VLOOKUP($B50,Seqs!$A:$B,2,0),M50,1),"")</f>
        <v>N</v>
      </c>
      <c r="M50" s="9">
        <v>39</v>
      </c>
      <c r="N50" s="9" t="str">
        <f>IFERROR(MID(VLOOKUP($B50,Seqs!$A:$B,2,0),O50,1),"")</f>
        <v>G</v>
      </c>
      <c r="O50" s="9">
        <v>69</v>
      </c>
      <c r="P50" s="9" t="str">
        <f>IFERROR(MID(VLOOKUP($B50,Seqs!$A:$B,2,0),Q50,1),"")</f>
        <v>F</v>
      </c>
      <c r="Q50" s="9">
        <v>70</v>
      </c>
      <c r="R50" s="9" t="str">
        <f>IFERROR(MID(VLOOKUP($B50,Seqs!$A:$B,2,0),S50,1),"")</f>
        <v>A</v>
      </c>
      <c r="S50" s="9">
        <v>72</v>
      </c>
      <c r="T50" s="9" t="str">
        <f>IFERROR(MID(VLOOKUP($B50,Seqs!$A:$B,2,0),U50,1),"")</f>
        <v>A</v>
      </c>
      <c r="U50" s="9">
        <v>73</v>
      </c>
      <c r="V50" s="9" t="str">
        <f>IFERROR(MID(VLOOKUP($B50,Seqs!$A:$B,2,0),W50,1),"")</f>
        <v>I</v>
      </c>
      <c r="W50" s="9">
        <v>108</v>
      </c>
      <c r="X50" s="9" t="str">
        <f>IFERROR(MID(VLOOKUP($B50,Seqs!$A:$B,2,0),Y50,1),"")</f>
        <v>P</v>
      </c>
      <c r="Y50" s="9">
        <v>109</v>
      </c>
      <c r="Z50" s="9" t="str">
        <f>IFERROR(MID(VLOOKUP($B50,Seqs!$A:$B,2,0),AA50,1),"")</f>
        <v>V</v>
      </c>
      <c r="AA50" s="9">
        <v>116</v>
      </c>
      <c r="AB50" s="9" t="str">
        <f>IFERROR(MID(VLOOKUP($B50,Seqs!$A:$B,2,0),AC50,1),"")</f>
        <v>T</v>
      </c>
      <c r="AC50" s="9">
        <v>117</v>
      </c>
      <c r="AD50" s="9" t="str">
        <f>IFERROR(MID(VLOOKUP($B50,Seqs!$A:$B,2,0),AE50,1),"")</f>
        <v>G</v>
      </c>
      <c r="AE50" s="9">
        <v>142</v>
      </c>
      <c r="AF50" s="9" t="str">
        <f>IFERROR(MID(VLOOKUP($B50,Seqs!$A:$B,2,0),AG50,1),"")</f>
        <v>C</v>
      </c>
      <c r="AG50" s="9">
        <v>166</v>
      </c>
      <c r="AH50" s="9" t="str">
        <f>IFERROR(MID(VLOOKUP($B50,Seqs!$A:$B,2,0),AI50,1),"")</f>
        <v>F</v>
      </c>
      <c r="AI50" s="9">
        <v>168</v>
      </c>
      <c r="AJ50" s="9" t="str">
        <f>IFERROR(MID(VLOOKUP($B50,Seqs!$A:$B,2,0),AK50,1),"")</f>
        <v>P</v>
      </c>
      <c r="AK50" s="9">
        <v>173</v>
      </c>
      <c r="AL50" s="9" t="str">
        <f>IFERROR(MID(VLOOKUP($B50,Seqs!$A:$B,2,0),AM50,1),"")</f>
        <v>L</v>
      </c>
      <c r="AM50" s="9">
        <v>208</v>
      </c>
      <c r="AN50" s="9" t="str">
        <f>IFERROR(MID(VLOOKUP($B50,Seqs!$A:$B,2,0),AO50,1),"")</f>
        <v>E</v>
      </c>
      <c r="AO50" s="9">
        <v>219</v>
      </c>
      <c r="AP50" s="9" t="str">
        <f>IFERROR(MID(VLOOKUP($B50,Seqs!$A:$B,2,0),AQ50,1),"")</f>
        <v>C</v>
      </c>
      <c r="AQ50" s="9">
        <v>259</v>
      </c>
      <c r="AR50" s="9" t="str">
        <f>IFERROR(MID(VLOOKUP($B50,Seqs!$A:$B,2,0),AS50,1),"")</f>
        <v>P</v>
      </c>
      <c r="AS50" s="9">
        <v>266</v>
      </c>
      <c r="AT50" s="9" t="str">
        <f>IFERROR(MID(VLOOKUP($B50,Seqs!$A:$B,2,0),AU50,1),"")</f>
        <v>R</v>
      </c>
      <c r="AU50" s="9">
        <v>291</v>
      </c>
      <c r="AV50" s="9" t="str">
        <f>IFERROR(MID(VLOOKUP($B50,Seqs!$A:$B,2,0),AW50,1),"")</f>
        <v>I</v>
      </c>
      <c r="AW50" s="9">
        <v>292</v>
      </c>
      <c r="AX50" s="9" t="str">
        <f>IFERROR(MID(VLOOKUP($B50,Seqs!$A:$B,2,0),AY50,1),"")</f>
        <v>S</v>
      </c>
      <c r="AY50" s="9">
        <v>305</v>
      </c>
      <c r="AZ50" s="110" t="str">
        <f>VLOOKUP(B50,Classification!A:D,2,0)</f>
        <v>A</v>
      </c>
      <c r="BA50" s="98" t="str">
        <f>VLOOKUP(B50,Classification!A:D,4,0)</f>
        <v>Adenosine</v>
      </c>
      <c r="BB50" s="36" t="b">
        <f t="shared" si="112"/>
        <v>1</v>
      </c>
      <c r="BC50" s="109">
        <f t="shared" si="113"/>
        <v>262</v>
      </c>
      <c r="BD50" s="13" t="s">
        <v>23</v>
      </c>
      <c r="BE50" s="9" t="s">
        <v>1381</v>
      </c>
      <c r="BF50" s="120">
        <v>2.6</v>
      </c>
      <c r="BG50" s="51" t="s">
        <v>1</v>
      </c>
      <c r="BH50" s="51" t="s">
        <v>1</v>
      </c>
      <c r="BJ50" s="111" t="s">
        <v>1293</v>
      </c>
      <c r="BK50" s="112" t="s">
        <v>1293</v>
      </c>
      <c r="BL50" s="112" t="s">
        <v>1293</v>
      </c>
      <c r="BM50" s="112" t="s">
        <v>1293</v>
      </c>
      <c r="BN50" s="112" t="s">
        <v>1293</v>
      </c>
      <c r="BO50" s="112" t="s">
        <v>1293</v>
      </c>
      <c r="BP50" s="112" t="s">
        <v>1293</v>
      </c>
      <c r="BQ50" s="112" t="s">
        <v>1293</v>
      </c>
      <c r="BR50" s="112" t="s">
        <v>1293</v>
      </c>
      <c r="BS50" s="112" t="s">
        <v>1293</v>
      </c>
      <c r="BT50" s="112" t="s">
        <v>1293</v>
      </c>
      <c r="BU50" s="112" t="s">
        <v>1293</v>
      </c>
      <c r="BV50" s="111">
        <f t="shared" si="114"/>
        <v>1</v>
      </c>
      <c r="BW50" s="113">
        <f t="shared" si="115"/>
        <v>35</v>
      </c>
      <c r="BX50" s="114">
        <f t="shared" si="116"/>
        <v>39</v>
      </c>
      <c r="BY50" s="113">
        <f t="shared" si="117"/>
        <v>70</v>
      </c>
      <c r="BZ50" s="114">
        <f t="shared" si="118"/>
        <v>73</v>
      </c>
      <c r="CA50" s="113">
        <f t="shared" si="119"/>
        <v>109</v>
      </c>
      <c r="CB50" s="114">
        <f t="shared" si="120"/>
        <v>117</v>
      </c>
      <c r="CC50" s="113">
        <f t="shared" si="121"/>
        <v>166</v>
      </c>
      <c r="CD50" s="114">
        <f t="shared" si="122"/>
        <v>173</v>
      </c>
      <c r="CE50" s="113">
        <f t="shared" si="123"/>
        <v>219</v>
      </c>
      <c r="CF50" s="114">
        <f t="shared" si="124"/>
        <v>266</v>
      </c>
      <c r="CG50" s="113">
        <f t="shared" si="125"/>
        <v>292</v>
      </c>
      <c r="CH50" s="111">
        <f t="shared" si="126"/>
        <v>34</v>
      </c>
      <c r="CI50" s="113">
        <f t="shared" si="127"/>
        <v>38</v>
      </c>
      <c r="CJ50" s="114">
        <f t="shared" si="128"/>
        <v>69</v>
      </c>
      <c r="CK50" s="114">
        <f t="shared" si="129"/>
        <v>72</v>
      </c>
      <c r="CL50" s="114">
        <f t="shared" si="130"/>
        <v>108</v>
      </c>
      <c r="CM50" s="114">
        <f t="shared" si="131"/>
        <v>116</v>
      </c>
      <c r="CN50" s="114">
        <f t="shared" si="132"/>
        <v>142</v>
      </c>
      <c r="CO50" s="114">
        <f t="shared" si="133"/>
        <v>168</v>
      </c>
      <c r="CP50" s="114">
        <f t="shared" si="134"/>
        <v>208</v>
      </c>
      <c r="CQ50" s="114">
        <f t="shared" si="135"/>
        <v>259</v>
      </c>
      <c r="CR50" s="114">
        <f t="shared" si="136"/>
        <v>291</v>
      </c>
      <c r="CS50" s="114">
        <f t="shared" si="137"/>
        <v>305</v>
      </c>
      <c r="CT50" s="109">
        <f t="shared" si="138"/>
        <v>1</v>
      </c>
    </row>
    <row r="51" spans="1:1029" s="12" customFormat="1" x14ac:dyDescent="0.2">
      <c r="A51" s="9" t="str">
        <f t="shared" si="111"/>
        <v>aa2ar_human_5OLO</v>
      </c>
      <c r="B51" s="9" t="s">
        <v>139</v>
      </c>
      <c r="C51" s="9" t="s">
        <v>1469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12"/>
        <v>1</v>
      </c>
      <c r="BC51" s="109">
        <f t="shared" si="113"/>
        <v>262</v>
      </c>
      <c r="BD51" s="13" t="s">
        <v>23</v>
      </c>
      <c r="BE51" s="9" t="s">
        <v>1381</v>
      </c>
      <c r="BF51" s="120">
        <v>3.1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14"/>
        <v>1</v>
      </c>
      <c r="BW51" s="113">
        <f t="shared" si="115"/>
        <v>35</v>
      </c>
      <c r="BX51" s="114">
        <f t="shared" si="116"/>
        <v>39</v>
      </c>
      <c r="BY51" s="113">
        <f t="shared" si="117"/>
        <v>70</v>
      </c>
      <c r="BZ51" s="114">
        <f t="shared" si="118"/>
        <v>73</v>
      </c>
      <c r="CA51" s="113">
        <f t="shared" si="119"/>
        <v>109</v>
      </c>
      <c r="CB51" s="114">
        <f t="shared" si="120"/>
        <v>117</v>
      </c>
      <c r="CC51" s="113">
        <f t="shared" si="121"/>
        <v>166</v>
      </c>
      <c r="CD51" s="114">
        <f t="shared" si="122"/>
        <v>173</v>
      </c>
      <c r="CE51" s="113">
        <f t="shared" si="123"/>
        <v>219</v>
      </c>
      <c r="CF51" s="114">
        <f t="shared" si="124"/>
        <v>266</v>
      </c>
      <c r="CG51" s="113">
        <f t="shared" si="125"/>
        <v>292</v>
      </c>
      <c r="CH51" s="111">
        <f t="shared" si="126"/>
        <v>34</v>
      </c>
      <c r="CI51" s="113">
        <f t="shared" si="127"/>
        <v>38</v>
      </c>
      <c r="CJ51" s="114">
        <f t="shared" si="128"/>
        <v>69</v>
      </c>
      <c r="CK51" s="114">
        <f t="shared" si="129"/>
        <v>72</v>
      </c>
      <c r="CL51" s="114">
        <f t="shared" si="130"/>
        <v>108</v>
      </c>
      <c r="CM51" s="114">
        <f t="shared" si="131"/>
        <v>116</v>
      </c>
      <c r="CN51" s="114">
        <f t="shared" si="132"/>
        <v>142</v>
      </c>
      <c r="CO51" s="114">
        <f t="shared" si="133"/>
        <v>168</v>
      </c>
      <c r="CP51" s="114">
        <f t="shared" si="134"/>
        <v>208</v>
      </c>
      <c r="CQ51" s="114">
        <f t="shared" si="135"/>
        <v>259</v>
      </c>
      <c r="CR51" s="114">
        <f t="shared" si="136"/>
        <v>291</v>
      </c>
      <c r="CS51" s="114">
        <f t="shared" si="137"/>
        <v>305</v>
      </c>
      <c r="CT51" s="109">
        <f t="shared" si="138"/>
        <v>1</v>
      </c>
    </row>
    <row r="52" spans="1:1029" s="12" customFormat="1" x14ac:dyDescent="0.2">
      <c r="A52" s="9" t="str">
        <f t="shared" si="111"/>
        <v>aa2ar_human_5OLV</v>
      </c>
      <c r="B52" s="9" t="s">
        <v>139</v>
      </c>
      <c r="C52" s="9" t="s">
        <v>1470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S</v>
      </c>
      <c r="AY52" s="9">
        <v>305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12"/>
        <v>1</v>
      </c>
      <c r="BC52" s="109">
        <f t="shared" si="113"/>
        <v>262</v>
      </c>
      <c r="BD52" s="13" t="s">
        <v>23</v>
      </c>
      <c r="BE52" s="9" t="s">
        <v>1381</v>
      </c>
      <c r="BF52" s="120">
        <v>2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14"/>
        <v>1</v>
      </c>
      <c r="BW52" s="113">
        <f t="shared" si="115"/>
        <v>35</v>
      </c>
      <c r="BX52" s="114">
        <f t="shared" si="116"/>
        <v>39</v>
      </c>
      <c r="BY52" s="113">
        <f t="shared" si="117"/>
        <v>70</v>
      </c>
      <c r="BZ52" s="114">
        <f t="shared" si="118"/>
        <v>73</v>
      </c>
      <c r="CA52" s="113">
        <f t="shared" si="119"/>
        <v>109</v>
      </c>
      <c r="CB52" s="114">
        <f t="shared" si="120"/>
        <v>117</v>
      </c>
      <c r="CC52" s="113">
        <f t="shared" si="121"/>
        <v>166</v>
      </c>
      <c r="CD52" s="114">
        <f t="shared" si="122"/>
        <v>173</v>
      </c>
      <c r="CE52" s="113">
        <f t="shared" si="123"/>
        <v>219</v>
      </c>
      <c r="CF52" s="114">
        <f t="shared" si="124"/>
        <v>266</v>
      </c>
      <c r="CG52" s="113">
        <f t="shared" si="125"/>
        <v>292</v>
      </c>
      <c r="CH52" s="111">
        <f t="shared" si="126"/>
        <v>34</v>
      </c>
      <c r="CI52" s="113">
        <f t="shared" si="127"/>
        <v>38</v>
      </c>
      <c r="CJ52" s="114">
        <f t="shared" si="128"/>
        <v>69</v>
      </c>
      <c r="CK52" s="114">
        <f t="shared" si="129"/>
        <v>72</v>
      </c>
      <c r="CL52" s="114">
        <f t="shared" si="130"/>
        <v>108</v>
      </c>
      <c r="CM52" s="114">
        <f t="shared" si="131"/>
        <v>116</v>
      </c>
      <c r="CN52" s="114">
        <f t="shared" si="132"/>
        <v>142</v>
      </c>
      <c r="CO52" s="114">
        <f t="shared" si="133"/>
        <v>168</v>
      </c>
      <c r="CP52" s="114">
        <f t="shared" si="134"/>
        <v>208</v>
      </c>
      <c r="CQ52" s="114">
        <f t="shared" si="135"/>
        <v>259</v>
      </c>
      <c r="CR52" s="114">
        <f t="shared" si="136"/>
        <v>291</v>
      </c>
      <c r="CS52" s="114">
        <f t="shared" si="137"/>
        <v>305</v>
      </c>
      <c r="CT52" s="109">
        <f t="shared" si="138"/>
        <v>1</v>
      </c>
    </row>
    <row r="53" spans="1:1029" s="12" customFormat="1" x14ac:dyDescent="0.2">
      <c r="A53" s="9" t="str">
        <f t="shared" si="111"/>
        <v>aa2ar_human_5OLZ</v>
      </c>
      <c r="B53" s="9" t="s">
        <v>139</v>
      </c>
      <c r="C53" s="9" t="s">
        <v>1471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12"/>
        <v>1</v>
      </c>
      <c r="BC53" s="109">
        <f t="shared" si="113"/>
        <v>262</v>
      </c>
      <c r="BD53" s="13" t="s">
        <v>23</v>
      </c>
      <c r="BE53" s="9" t="s">
        <v>1381</v>
      </c>
      <c r="BF53" s="120">
        <v>1.9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14"/>
        <v>1</v>
      </c>
      <c r="BW53" s="113">
        <f t="shared" si="115"/>
        <v>35</v>
      </c>
      <c r="BX53" s="114">
        <f t="shared" si="116"/>
        <v>39</v>
      </c>
      <c r="BY53" s="113">
        <f t="shared" si="117"/>
        <v>70</v>
      </c>
      <c r="BZ53" s="114">
        <f t="shared" si="118"/>
        <v>73</v>
      </c>
      <c r="CA53" s="113">
        <f t="shared" si="119"/>
        <v>109</v>
      </c>
      <c r="CB53" s="114">
        <f t="shared" si="120"/>
        <v>117</v>
      </c>
      <c r="CC53" s="113">
        <f t="shared" si="121"/>
        <v>166</v>
      </c>
      <c r="CD53" s="114">
        <f t="shared" si="122"/>
        <v>173</v>
      </c>
      <c r="CE53" s="113">
        <f t="shared" si="123"/>
        <v>219</v>
      </c>
      <c r="CF53" s="114">
        <f t="shared" si="124"/>
        <v>266</v>
      </c>
      <c r="CG53" s="113">
        <f t="shared" si="125"/>
        <v>292</v>
      </c>
      <c r="CH53" s="111">
        <f t="shared" si="126"/>
        <v>34</v>
      </c>
      <c r="CI53" s="113">
        <f t="shared" si="127"/>
        <v>38</v>
      </c>
      <c r="CJ53" s="114">
        <f t="shared" si="128"/>
        <v>69</v>
      </c>
      <c r="CK53" s="114">
        <f t="shared" si="129"/>
        <v>72</v>
      </c>
      <c r="CL53" s="114">
        <f t="shared" si="130"/>
        <v>108</v>
      </c>
      <c r="CM53" s="114">
        <f t="shared" si="131"/>
        <v>116</v>
      </c>
      <c r="CN53" s="114">
        <f t="shared" si="132"/>
        <v>142</v>
      </c>
      <c r="CO53" s="114">
        <f t="shared" si="133"/>
        <v>168</v>
      </c>
      <c r="CP53" s="114">
        <f t="shared" si="134"/>
        <v>208</v>
      </c>
      <c r="CQ53" s="114">
        <f t="shared" si="135"/>
        <v>259</v>
      </c>
      <c r="CR53" s="114">
        <f t="shared" si="136"/>
        <v>291</v>
      </c>
      <c r="CS53" s="114">
        <f t="shared" si="137"/>
        <v>305</v>
      </c>
      <c r="CT53" s="109">
        <f t="shared" si="138"/>
        <v>1</v>
      </c>
    </row>
    <row r="54" spans="1:1029" s="12" customFormat="1" x14ac:dyDescent="0.2">
      <c r="A54" s="9" t="str">
        <f t="shared" si="111"/>
        <v>aa2ar_human_5OM1</v>
      </c>
      <c r="B54" s="9" t="s">
        <v>139</v>
      </c>
      <c r="C54" s="9" t="s">
        <v>1472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12"/>
        <v>1</v>
      </c>
      <c r="BC54" s="109">
        <f t="shared" si="113"/>
        <v>262</v>
      </c>
      <c r="BD54" s="13" t="s">
        <v>23</v>
      </c>
      <c r="BE54" s="9" t="s">
        <v>1381</v>
      </c>
      <c r="BF54" s="120">
        <v>2.1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14"/>
        <v>1</v>
      </c>
      <c r="BW54" s="113">
        <f t="shared" si="115"/>
        <v>35</v>
      </c>
      <c r="BX54" s="114">
        <f t="shared" si="116"/>
        <v>39</v>
      </c>
      <c r="BY54" s="113">
        <f t="shared" si="117"/>
        <v>70</v>
      </c>
      <c r="BZ54" s="114">
        <f t="shared" si="118"/>
        <v>73</v>
      </c>
      <c r="CA54" s="113">
        <f t="shared" si="119"/>
        <v>109</v>
      </c>
      <c r="CB54" s="114">
        <f t="shared" si="120"/>
        <v>117</v>
      </c>
      <c r="CC54" s="113">
        <f t="shared" si="121"/>
        <v>166</v>
      </c>
      <c r="CD54" s="114">
        <f t="shared" si="122"/>
        <v>173</v>
      </c>
      <c r="CE54" s="113">
        <f t="shared" si="123"/>
        <v>219</v>
      </c>
      <c r="CF54" s="114">
        <f t="shared" si="124"/>
        <v>266</v>
      </c>
      <c r="CG54" s="113">
        <f t="shared" si="125"/>
        <v>292</v>
      </c>
      <c r="CH54" s="111">
        <f t="shared" si="126"/>
        <v>34</v>
      </c>
      <c r="CI54" s="113">
        <f t="shared" si="127"/>
        <v>38</v>
      </c>
      <c r="CJ54" s="114">
        <f t="shared" si="128"/>
        <v>69</v>
      </c>
      <c r="CK54" s="114">
        <f t="shared" si="129"/>
        <v>72</v>
      </c>
      <c r="CL54" s="114">
        <f t="shared" si="130"/>
        <v>108</v>
      </c>
      <c r="CM54" s="114">
        <f t="shared" si="131"/>
        <v>116</v>
      </c>
      <c r="CN54" s="114">
        <f t="shared" si="132"/>
        <v>142</v>
      </c>
      <c r="CO54" s="114">
        <f t="shared" si="133"/>
        <v>168</v>
      </c>
      <c r="CP54" s="114">
        <f t="shared" si="134"/>
        <v>208</v>
      </c>
      <c r="CQ54" s="114">
        <f t="shared" si="135"/>
        <v>259</v>
      </c>
      <c r="CR54" s="114">
        <f t="shared" si="136"/>
        <v>291</v>
      </c>
      <c r="CS54" s="114">
        <f t="shared" si="137"/>
        <v>305</v>
      </c>
      <c r="CT54" s="109">
        <f t="shared" si="138"/>
        <v>1</v>
      </c>
    </row>
    <row r="55" spans="1:1029" s="12" customFormat="1" x14ac:dyDescent="0.2">
      <c r="A55" s="9" t="str">
        <f t="shared" si="111"/>
        <v>aa2ar_human_5OM4</v>
      </c>
      <c r="B55" s="9" t="s">
        <v>139</v>
      </c>
      <c r="C55" s="9" t="s">
        <v>1473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V</v>
      </c>
      <c r="AY55" s="9">
        <v>307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12"/>
        <v>1</v>
      </c>
      <c r="BC55" s="109">
        <f t="shared" si="113"/>
        <v>264</v>
      </c>
      <c r="BD55" s="13" t="s">
        <v>23</v>
      </c>
      <c r="BE55" s="9" t="s">
        <v>1381</v>
      </c>
      <c r="BF55" s="120">
        <v>2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14"/>
        <v>1</v>
      </c>
      <c r="BW55" s="113">
        <f t="shared" si="115"/>
        <v>35</v>
      </c>
      <c r="BX55" s="114">
        <f t="shared" si="116"/>
        <v>39</v>
      </c>
      <c r="BY55" s="113">
        <f t="shared" si="117"/>
        <v>70</v>
      </c>
      <c r="BZ55" s="114">
        <f t="shared" si="118"/>
        <v>73</v>
      </c>
      <c r="CA55" s="113">
        <f t="shared" si="119"/>
        <v>109</v>
      </c>
      <c r="CB55" s="114">
        <f t="shared" si="120"/>
        <v>117</v>
      </c>
      <c r="CC55" s="113">
        <f t="shared" si="121"/>
        <v>166</v>
      </c>
      <c r="CD55" s="114">
        <f t="shared" si="122"/>
        <v>173</v>
      </c>
      <c r="CE55" s="113">
        <f t="shared" si="123"/>
        <v>219</v>
      </c>
      <c r="CF55" s="114">
        <f t="shared" si="124"/>
        <v>266</v>
      </c>
      <c r="CG55" s="113">
        <f t="shared" si="125"/>
        <v>292</v>
      </c>
      <c r="CH55" s="111">
        <f t="shared" si="126"/>
        <v>34</v>
      </c>
      <c r="CI55" s="113">
        <f t="shared" si="127"/>
        <v>38</v>
      </c>
      <c r="CJ55" s="114">
        <f t="shared" si="128"/>
        <v>69</v>
      </c>
      <c r="CK55" s="114">
        <f t="shared" si="129"/>
        <v>72</v>
      </c>
      <c r="CL55" s="114">
        <f t="shared" si="130"/>
        <v>108</v>
      </c>
      <c r="CM55" s="114">
        <f t="shared" si="131"/>
        <v>116</v>
      </c>
      <c r="CN55" s="114">
        <f t="shared" si="132"/>
        <v>142</v>
      </c>
      <c r="CO55" s="114">
        <f t="shared" si="133"/>
        <v>168</v>
      </c>
      <c r="CP55" s="114">
        <f t="shared" si="134"/>
        <v>208</v>
      </c>
      <c r="CQ55" s="114">
        <f t="shared" si="135"/>
        <v>259</v>
      </c>
      <c r="CR55" s="114">
        <f t="shared" si="136"/>
        <v>291</v>
      </c>
      <c r="CS55" s="114">
        <f t="shared" si="137"/>
        <v>307</v>
      </c>
      <c r="CT55" s="109">
        <f t="shared" si="138"/>
        <v>1</v>
      </c>
    </row>
    <row r="56" spans="1:1029" s="12" customFormat="1" x14ac:dyDescent="0.2">
      <c r="A56" s="9" t="str">
        <f t="shared" si="111"/>
        <v>aa2ar_human_6AQF</v>
      </c>
      <c r="B56" s="9" t="s">
        <v>139</v>
      </c>
      <c r="C56" s="9" t="s">
        <v>1474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H</v>
      </c>
      <c r="AY56" s="9">
        <v>306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12"/>
        <v>1</v>
      </c>
      <c r="BC56" s="109">
        <f t="shared" si="113"/>
        <v>263</v>
      </c>
      <c r="BD56" s="13" t="s">
        <v>23</v>
      </c>
      <c r="BE56" s="9" t="s">
        <v>1381</v>
      </c>
      <c r="BF56" s="120">
        <v>2.5099999999999998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14"/>
        <v>1</v>
      </c>
      <c r="BW56" s="113">
        <f t="shared" si="115"/>
        <v>35</v>
      </c>
      <c r="BX56" s="114">
        <f t="shared" si="116"/>
        <v>39</v>
      </c>
      <c r="BY56" s="113">
        <f t="shared" si="117"/>
        <v>70</v>
      </c>
      <c r="BZ56" s="114">
        <f t="shared" si="118"/>
        <v>73</v>
      </c>
      <c r="CA56" s="113">
        <f t="shared" si="119"/>
        <v>109</v>
      </c>
      <c r="CB56" s="114">
        <f t="shared" si="120"/>
        <v>117</v>
      </c>
      <c r="CC56" s="113">
        <f t="shared" si="121"/>
        <v>166</v>
      </c>
      <c r="CD56" s="114">
        <f t="shared" si="122"/>
        <v>173</v>
      </c>
      <c r="CE56" s="113">
        <f t="shared" si="123"/>
        <v>219</v>
      </c>
      <c r="CF56" s="114">
        <f t="shared" si="124"/>
        <v>266</v>
      </c>
      <c r="CG56" s="113">
        <f t="shared" si="125"/>
        <v>292</v>
      </c>
      <c r="CH56" s="111">
        <f t="shared" si="126"/>
        <v>34</v>
      </c>
      <c r="CI56" s="113">
        <f t="shared" si="127"/>
        <v>38</v>
      </c>
      <c r="CJ56" s="114">
        <f t="shared" si="128"/>
        <v>69</v>
      </c>
      <c r="CK56" s="114">
        <f t="shared" si="129"/>
        <v>72</v>
      </c>
      <c r="CL56" s="114">
        <f t="shared" si="130"/>
        <v>108</v>
      </c>
      <c r="CM56" s="114">
        <f t="shared" si="131"/>
        <v>116</v>
      </c>
      <c r="CN56" s="114">
        <f t="shared" si="132"/>
        <v>142</v>
      </c>
      <c r="CO56" s="114">
        <f t="shared" si="133"/>
        <v>168</v>
      </c>
      <c r="CP56" s="114">
        <f t="shared" si="134"/>
        <v>208</v>
      </c>
      <c r="CQ56" s="114">
        <f t="shared" si="135"/>
        <v>259</v>
      </c>
      <c r="CR56" s="114">
        <f t="shared" si="136"/>
        <v>291</v>
      </c>
      <c r="CS56" s="114">
        <f t="shared" si="137"/>
        <v>306</v>
      </c>
      <c r="CT56" s="109">
        <f t="shared" si="138"/>
        <v>1</v>
      </c>
    </row>
    <row r="57" spans="1:1029" s="12" customFormat="1" x14ac:dyDescent="0.2">
      <c r="A57" s="9" t="str">
        <f t="shared" si="111"/>
        <v>aa2ar_human_5WF5</v>
      </c>
      <c r="B57" s="9" t="s">
        <v>139</v>
      </c>
      <c r="C57" s="9" t="s">
        <v>1483</v>
      </c>
      <c r="D57" s="9" t="str">
        <f>IFERROR(MID(VLOOKUP($B57,Seqs!$A:$B,2,0),E57,1),"")</f>
        <v>M</v>
      </c>
      <c r="E57" s="9">
        <v>4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A</v>
      </c>
      <c r="O57" s="9">
        <v>63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R</v>
      </c>
      <c r="AM57" s="9">
        <v>205</v>
      </c>
      <c r="AN57" s="9" t="str">
        <f>IFERROR(MID(VLOOKUP($B57,Seqs!$A:$B,2,0),AO57,1),"")</f>
        <v>L</v>
      </c>
      <c r="AO57" s="9">
        <v>225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V</v>
      </c>
      <c r="AY57" s="9">
        <v>307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12"/>
        <v>1</v>
      </c>
      <c r="BC57" s="109">
        <f t="shared" si="113"/>
        <v>246</v>
      </c>
      <c r="BD57" s="13" t="s">
        <v>23</v>
      </c>
      <c r="BE57" s="9" t="s">
        <v>1484</v>
      </c>
      <c r="BF57" s="120">
        <v>2.6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14"/>
        <v>4</v>
      </c>
      <c r="BW57" s="113">
        <f t="shared" si="115"/>
        <v>35</v>
      </c>
      <c r="BX57" s="114">
        <f t="shared" si="116"/>
        <v>39</v>
      </c>
      <c r="BY57" s="113">
        <f t="shared" si="117"/>
        <v>70</v>
      </c>
      <c r="BZ57" s="114">
        <f t="shared" si="118"/>
        <v>73</v>
      </c>
      <c r="CA57" s="113">
        <f t="shared" si="119"/>
        <v>109</v>
      </c>
      <c r="CB57" s="114">
        <f t="shared" si="120"/>
        <v>117</v>
      </c>
      <c r="CC57" s="113">
        <f t="shared" si="121"/>
        <v>166</v>
      </c>
      <c r="CD57" s="114">
        <f t="shared" si="122"/>
        <v>173</v>
      </c>
      <c r="CE57" s="113">
        <f t="shared" si="123"/>
        <v>225</v>
      </c>
      <c r="CF57" s="114">
        <f t="shared" si="124"/>
        <v>266</v>
      </c>
      <c r="CG57" s="113">
        <f t="shared" si="125"/>
        <v>292</v>
      </c>
      <c r="CH57" s="111">
        <f t="shared" si="126"/>
        <v>34</v>
      </c>
      <c r="CI57" s="113">
        <f t="shared" si="127"/>
        <v>38</v>
      </c>
      <c r="CJ57" s="114">
        <f t="shared" si="128"/>
        <v>63</v>
      </c>
      <c r="CK57" s="114">
        <f t="shared" si="129"/>
        <v>72</v>
      </c>
      <c r="CL57" s="114">
        <f t="shared" si="130"/>
        <v>108</v>
      </c>
      <c r="CM57" s="114">
        <f t="shared" si="131"/>
        <v>116</v>
      </c>
      <c r="CN57" s="114">
        <f t="shared" si="132"/>
        <v>142</v>
      </c>
      <c r="CO57" s="114">
        <f t="shared" si="133"/>
        <v>168</v>
      </c>
      <c r="CP57" s="114">
        <f t="shared" si="134"/>
        <v>205</v>
      </c>
      <c r="CQ57" s="114">
        <f t="shared" si="135"/>
        <v>259</v>
      </c>
      <c r="CR57" s="114">
        <f t="shared" si="136"/>
        <v>291</v>
      </c>
      <c r="CS57" s="114">
        <f t="shared" si="137"/>
        <v>307</v>
      </c>
      <c r="CT57" s="109">
        <f t="shared" si="138"/>
        <v>1</v>
      </c>
    </row>
    <row r="58" spans="1:1029" s="12" customFormat="1" x14ac:dyDescent="0.2">
      <c r="A58" s="9" t="str">
        <f t="shared" si="111"/>
        <v>aa2ar_human_5WF6</v>
      </c>
      <c r="B58" s="9" t="s">
        <v>139</v>
      </c>
      <c r="C58" s="9" t="s">
        <v>1485</v>
      </c>
      <c r="D58" s="9" t="str">
        <f>IFERROR(MID(VLOOKUP($B58,Seqs!$A:$B,2,0),E58,1),"")</f>
        <v>M</v>
      </c>
      <c r="E58" s="9">
        <v>4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A</v>
      </c>
      <c r="O58" s="9">
        <v>63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R</v>
      </c>
      <c r="AM58" s="9">
        <v>205</v>
      </c>
      <c r="AN58" s="9" t="str">
        <f>IFERROR(MID(VLOOKUP($B58,Seqs!$A:$B,2,0),AO58,1),"")</f>
        <v>L</v>
      </c>
      <c r="AO58" s="9">
        <v>225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V</v>
      </c>
      <c r="AY58" s="9">
        <v>307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12"/>
        <v>1</v>
      </c>
      <c r="BC58" s="109">
        <f t="shared" si="113"/>
        <v>246</v>
      </c>
      <c r="BD58" s="13" t="s">
        <v>23</v>
      </c>
      <c r="BE58" s="9" t="s">
        <v>1484</v>
      </c>
      <c r="BF58" s="120">
        <v>2.9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14"/>
        <v>4</v>
      </c>
      <c r="BW58" s="113">
        <f t="shared" si="115"/>
        <v>35</v>
      </c>
      <c r="BX58" s="114">
        <f t="shared" si="116"/>
        <v>39</v>
      </c>
      <c r="BY58" s="113">
        <f t="shared" si="117"/>
        <v>70</v>
      </c>
      <c r="BZ58" s="114">
        <f t="shared" si="118"/>
        <v>73</v>
      </c>
      <c r="CA58" s="113">
        <f t="shared" si="119"/>
        <v>109</v>
      </c>
      <c r="CB58" s="114">
        <f t="shared" si="120"/>
        <v>117</v>
      </c>
      <c r="CC58" s="113">
        <f t="shared" si="121"/>
        <v>166</v>
      </c>
      <c r="CD58" s="114">
        <f t="shared" si="122"/>
        <v>173</v>
      </c>
      <c r="CE58" s="113">
        <f t="shared" si="123"/>
        <v>225</v>
      </c>
      <c r="CF58" s="114">
        <f t="shared" si="124"/>
        <v>266</v>
      </c>
      <c r="CG58" s="113">
        <f t="shared" si="125"/>
        <v>292</v>
      </c>
      <c r="CH58" s="111">
        <f t="shared" si="126"/>
        <v>34</v>
      </c>
      <c r="CI58" s="113">
        <f t="shared" si="127"/>
        <v>38</v>
      </c>
      <c r="CJ58" s="114">
        <f t="shared" si="128"/>
        <v>63</v>
      </c>
      <c r="CK58" s="114">
        <f t="shared" si="129"/>
        <v>72</v>
      </c>
      <c r="CL58" s="114">
        <f t="shared" si="130"/>
        <v>108</v>
      </c>
      <c r="CM58" s="114">
        <f t="shared" si="131"/>
        <v>116</v>
      </c>
      <c r="CN58" s="114">
        <f t="shared" si="132"/>
        <v>142</v>
      </c>
      <c r="CO58" s="114">
        <f t="shared" si="133"/>
        <v>168</v>
      </c>
      <c r="CP58" s="114">
        <f t="shared" si="134"/>
        <v>205</v>
      </c>
      <c r="CQ58" s="114">
        <f t="shared" si="135"/>
        <v>259</v>
      </c>
      <c r="CR58" s="114">
        <f t="shared" si="136"/>
        <v>291</v>
      </c>
      <c r="CS58" s="114">
        <f t="shared" si="137"/>
        <v>307</v>
      </c>
      <c r="CT58" s="109">
        <f t="shared" si="138"/>
        <v>1</v>
      </c>
    </row>
    <row r="59" spans="1:1029" s="12" customFormat="1" x14ac:dyDescent="0.2">
      <c r="A59" s="9" t="str">
        <f t="shared" si="111"/>
        <v>aa2ar_human_6GDG</v>
      </c>
      <c r="B59" s="9" t="s">
        <v>139</v>
      </c>
      <c r="C59" s="9" t="s">
        <v>1507</v>
      </c>
      <c r="D59" s="9" t="str">
        <f>IFERROR(MID(VLOOKUP($B59,Seqs!$A:$B,2,0),E59,1),"")</f>
        <v>V</v>
      </c>
      <c r="E59" s="9">
        <v>8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L</v>
      </c>
      <c r="AE59" s="9">
        <v>141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T</v>
      </c>
      <c r="AO59" s="9">
        <v>224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F</v>
      </c>
      <c r="AY59" s="9">
        <v>299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12"/>
        <v>1</v>
      </c>
      <c r="BC59" s="109">
        <f t="shared" si="113"/>
        <v>243</v>
      </c>
      <c r="BD59" s="13" t="s">
        <v>23</v>
      </c>
      <c r="BE59" s="9" t="s">
        <v>1297</v>
      </c>
      <c r="BF59" s="120">
        <v>4.1100000000000003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14"/>
        <v>8</v>
      </c>
      <c r="BW59" s="113">
        <f t="shared" si="115"/>
        <v>35</v>
      </c>
      <c r="BX59" s="114">
        <f t="shared" si="116"/>
        <v>39</v>
      </c>
      <c r="BY59" s="113">
        <f t="shared" si="117"/>
        <v>70</v>
      </c>
      <c r="BZ59" s="114">
        <f t="shared" si="118"/>
        <v>73</v>
      </c>
      <c r="CA59" s="113">
        <f t="shared" si="119"/>
        <v>109</v>
      </c>
      <c r="CB59" s="114">
        <f t="shared" si="120"/>
        <v>117</v>
      </c>
      <c r="CC59" s="113">
        <f t="shared" si="121"/>
        <v>166</v>
      </c>
      <c r="CD59" s="114">
        <f t="shared" si="122"/>
        <v>173</v>
      </c>
      <c r="CE59" s="113">
        <f t="shared" si="123"/>
        <v>224</v>
      </c>
      <c r="CF59" s="114">
        <f t="shared" si="124"/>
        <v>266</v>
      </c>
      <c r="CG59" s="113">
        <f t="shared" si="125"/>
        <v>292</v>
      </c>
      <c r="CH59" s="111">
        <f t="shared" si="126"/>
        <v>34</v>
      </c>
      <c r="CI59" s="113">
        <f t="shared" si="127"/>
        <v>38</v>
      </c>
      <c r="CJ59" s="114">
        <f t="shared" si="128"/>
        <v>69</v>
      </c>
      <c r="CK59" s="114">
        <f t="shared" si="129"/>
        <v>72</v>
      </c>
      <c r="CL59" s="114">
        <f t="shared" si="130"/>
        <v>108</v>
      </c>
      <c r="CM59" s="114">
        <f t="shared" si="131"/>
        <v>116</v>
      </c>
      <c r="CN59" s="114">
        <f t="shared" si="132"/>
        <v>141</v>
      </c>
      <c r="CO59" s="114">
        <f t="shared" si="133"/>
        <v>168</v>
      </c>
      <c r="CP59" s="114">
        <f t="shared" si="134"/>
        <v>208</v>
      </c>
      <c r="CQ59" s="114">
        <f t="shared" si="135"/>
        <v>259</v>
      </c>
      <c r="CR59" s="114">
        <f t="shared" si="136"/>
        <v>291</v>
      </c>
      <c r="CS59" s="114">
        <f t="shared" si="137"/>
        <v>299</v>
      </c>
      <c r="CT59" s="109">
        <f t="shared" si="138"/>
        <v>1</v>
      </c>
    </row>
    <row r="60" spans="1:1029" x14ac:dyDescent="0.2">
      <c r="A60" s="3" t="str">
        <f t="shared" si="0"/>
        <v>acm1_human__wt</v>
      </c>
      <c r="B60" s="3" t="s">
        <v>146</v>
      </c>
      <c r="C60" s="3" t="s">
        <v>100</v>
      </c>
      <c r="D60" s="3" t="str">
        <f>IFERROR(MID(VLOOKUP($B60,Seqs!$A:$B,2,0),E60,1),"")</f>
        <v>P</v>
      </c>
      <c r="E60" s="3">
        <v>22</v>
      </c>
      <c r="F60" s="3" t="str">
        <f>IFERROR(MID(VLOOKUP($B60,Seqs!$A:$B,2,0),G60,1),"")</f>
        <v>N</v>
      </c>
      <c r="G60" s="3">
        <v>53</v>
      </c>
      <c r="H60" s="3" t="str">
        <f>IFERROR(MID(VLOOKUP($B60,Seqs!$A:$B,2,0),I60,1),"")</f>
        <v>T</v>
      </c>
      <c r="I60" s="23">
        <v>54</v>
      </c>
      <c r="J60" s="3" t="str">
        <f>IFERROR(MID(VLOOKUP($B60,Seqs!$A:$B,2,0),K60,1),"")</f>
        <v>K</v>
      </c>
      <c r="K60" s="23">
        <v>57</v>
      </c>
      <c r="L60" s="3" t="str">
        <f>IFERROR(MID(VLOOKUP($B60,Seqs!$A:$B,2,0),M60,1),"")</f>
        <v>T</v>
      </c>
      <c r="M60" s="3">
        <v>58</v>
      </c>
      <c r="N60" s="3" t="str">
        <f>IFERROR(MID(VLOOKUP($B60,Seqs!$A:$B,2,0),O60,1),"")</f>
        <v>M</v>
      </c>
      <c r="O60" s="3">
        <v>88</v>
      </c>
      <c r="P60" s="3" t="str">
        <f>IFERROR(MID(VLOOKUP($B60,Seqs!$A:$B,2,0),Q60,1),"")</f>
        <v>H</v>
      </c>
      <c r="Q60" s="3">
        <v>90</v>
      </c>
      <c r="R60" s="3" t="str">
        <f>IFERROR(MID(VLOOKUP($B60,Seqs!$A:$B,2,0),S60,1),"")</f>
        <v>L</v>
      </c>
      <c r="S60" s="3">
        <v>93</v>
      </c>
      <c r="T60" s="3" t="str">
        <f>IFERROR(MID(VLOOKUP($B60,Seqs!$A:$B,2,0),U60,1),"")</f>
        <v>G</v>
      </c>
      <c r="U60" s="3">
        <v>94</v>
      </c>
      <c r="V60" s="3" t="str">
        <f>IFERROR(MID(VLOOKUP($B60,Seqs!$A:$B,2,0),W60,1),"")</f>
        <v>R</v>
      </c>
      <c r="W60" s="3">
        <v>129</v>
      </c>
      <c r="X60" s="3" t="str">
        <f>IFERROR(MID(VLOOKUP($B60,Seqs!$A:$B,2,0),Y60,1),"")</f>
        <v>P</v>
      </c>
      <c r="Y60" s="3">
        <v>130</v>
      </c>
      <c r="Z60" s="3" t="str">
        <f>IFERROR(MID(VLOOKUP($B60,Seqs!$A:$B,2,0),AA60,1),"")</f>
        <v>R</v>
      </c>
      <c r="AA60" s="3">
        <v>137</v>
      </c>
      <c r="AB60" s="3" t="str">
        <f>IFERROR(MID(VLOOKUP($B60,Seqs!$A:$B,2,0),AC60,1),"")</f>
        <v>T</v>
      </c>
      <c r="AC60" s="9">
        <v>138</v>
      </c>
      <c r="AD60" s="3" t="str">
        <f>IFERROR(MID(VLOOKUP($B60,Seqs!$A:$B,2,0),AE60,1),"")</f>
        <v>G</v>
      </c>
      <c r="AE60" s="3">
        <v>169</v>
      </c>
      <c r="AF60" s="3" t="str">
        <f>IFERROR(MID(VLOOKUP($B60,Seqs!$A:$B,2,0),AG60,1),"")</f>
        <v>C</v>
      </c>
      <c r="AG60" s="3">
        <v>178</v>
      </c>
      <c r="AH60" s="3" t="str">
        <f>IFERROR(MID(VLOOKUP($B60,Seqs!$A:$B,2,0),AI60,1),"")</f>
        <v>I</v>
      </c>
      <c r="AI60" s="3">
        <v>180</v>
      </c>
      <c r="AJ60" s="3" t="str">
        <f>IFERROR(MID(VLOOKUP($B60,Seqs!$A:$B,2,0),AK60,1),"")</f>
        <v>Q</v>
      </c>
      <c r="AK60" s="3">
        <v>185</v>
      </c>
      <c r="AL60" s="3" t="str">
        <f>IFERROR(MID(VLOOKUP($B60,Seqs!$A:$B,2,0),AM60,1),"")</f>
        <v>L</v>
      </c>
      <c r="AM60" s="3">
        <v>225</v>
      </c>
      <c r="AN60" s="3" t="str">
        <f>IFERROR(MID(VLOOKUP($B60,Seqs!$A:$B,2,0),AO60,1),"")</f>
        <v>T</v>
      </c>
      <c r="AO60" s="3">
        <v>354</v>
      </c>
      <c r="AP60" s="3" t="str">
        <f>IFERROR(MID(VLOOKUP($B60,Seqs!$A:$B,2,0),AQ60,1),"")</f>
        <v>C</v>
      </c>
      <c r="AQ60" s="3">
        <v>391</v>
      </c>
      <c r="AR60" s="3" t="str">
        <f>IFERROR(MID(VLOOKUP($B60,Seqs!$A:$B,2,0),AS60,1),"")</f>
        <v>P</v>
      </c>
      <c r="AS60" s="3">
        <v>396</v>
      </c>
      <c r="AT60" s="3" t="str">
        <f>IFERROR(MID(VLOOKUP($B60,Seqs!$A:$B,2,0),AU60,1),"")</f>
        <v>C</v>
      </c>
      <c r="AU60" s="3">
        <v>421</v>
      </c>
      <c r="AV60" s="3" t="str">
        <f>IFERROR(MID(VLOOKUP($B60,Seqs!$A:$B,2,0),AW60,1),"")</f>
        <v>N</v>
      </c>
      <c r="AW60" s="3">
        <v>422</v>
      </c>
      <c r="AX60" s="3" t="str">
        <f>IFERROR(MID(VLOOKUP($B60,Seqs!$A:$B,2,0),AY60,1),"")</f>
        <v>L</v>
      </c>
      <c r="AY60" s="3">
        <v>434</v>
      </c>
      <c r="AZ60" s="77" t="str">
        <f>VLOOKUP(B60,Classification!A:D,2,0)</f>
        <v>A</v>
      </c>
      <c r="BA60" s="94" t="str">
        <f>VLOOKUP(B60,Classification!A:D,4,0)</f>
        <v>Acetylcholine(muscarinic)</v>
      </c>
      <c r="BB60" s="27" t="b">
        <f t="shared" si="1"/>
        <v>1</v>
      </c>
      <c r="BC60" s="23">
        <f t="shared" si="85"/>
        <v>268</v>
      </c>
      <c r="BD60" s="56" t="s">
        <v>1379</v>
      </c>
      <c r="BE60" s="3" t="s">
        <v>23</v>
      </c>
      <c r="BF60" s="119" t="s">
        <v>23</v>
      </c>
      <c r="BG60" s="49" t="s">
        <v>1379</v>
      </c>
      <c r="BH60" s="49" t="s">
        <v>1384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86"/>
        <v>22</v>
      </c>
      <c r="BW60" s="71">
        <f t="shared" si="87"/>
        <v>54</v>
      </c>
      <c r="BX60" s="72">
        <f t="shared" si="88"/>
        <v>58</v>
      </c>
      <c r="BY60" s="71">
        <f t="shared" si="89"/>
        <v>90</v>
      </c>
      <c r="BZ60" s="72">
        <f t="shared" si="90"/>
        <v>94</v>
      </c>
      <c r="CA60" s="71">
        <f t="shared" si="91"/>
        <v>130</v>
      </c>
      <c r="CB60" s="72">
        <f t="shared" si="92"/>
        <v>138</v>
      </c>
      <c r="CC60" s="71">
        <f t="shared" si="93"/>
        <v>178</v>
      </c>
      <c r="CD60" s="72">
        <f t="shared" si="94"/>
        <v>185</v>
      </c>
      <c r="CE60" s="71">
        <f t="shared" si="95"/>
        <v>354</v>
      </c>
      <c r="CF60" s="72">
        <f t="shared" si="96"/>
        <v>396</v>
      </c>
      <c r="CG60" s="71">
        <f t="shared" si="97"/>
        <v>422</v>
      </c>
      <c r="CH60" s="70">
        <f t="shared" si="98"/>
        <v>53</v>
      </c>
      <c r="CI60" s="71">
        <f t="shared" si="99"/>
        <v>57</v>
      </c>
      <c r="CJ60" s="72">
        <f t="shared" si="100"/>
        <v>88</v>
      </c>
      <c r="CK60" s="72">
        <f t="shared" si="101"/>
        <v>93</v>
      </c>
      <c r="CL60" s="72">
        <f t="shared" si="102"/>
        <v>129</v>
      </c>
      <c r="CM60" s="72">
        <f t="shared" si="103"/>
        <v>137</v>
      </c>
      <c r="CN60" s="72">
        <f t="shared" si="104"/>
        <v>169</v>
      </c>
      <c r="CO60" s="72">
        <f t="shared" si="105"/>
        <v>180</v>
      </c>
      <c r="CP60" s="72">
        <f t="shared" si="106"/>
        <v>225</v>
      </c>
      <c r="CQ60" s="72">
        <f t="shared" si="107"/>
        <v>391</v>
      </c>
      <c r="CR60" s="72">
        <f t="shared" si="108"/>
        <v>421</v>
      </c>
      <c r="CS60" s="72">
        <f t="shared" si="109"/>
        <v>434</v>
      </c>
      <c r="CT60" s="23">
        <f t="shared" si="110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0"/>
        <v>acm1_human_5CXV</v>
      </c>
      <c r="B61" s="3" t="s">
        <v>146</v>
      </c>
      <c r="C61" s="3" t="s">
        <v>62</v>
      </c>
      <c r="D61" s="3" t="str">
        <f>IFERROR(MID(VLOOKUP($B61,Seqs!$A:$B,2,0),E61,1),"")</f>
        <v>P</v>
      </c>
      <c r="E61" s="3">
        <v>22</v>
      </c>
      <c r="F61" s="3" t="str">
        <f>IFERROR(MID(VLOOKUP($B61,Seqs!$A:$B,2,0),G61,1),"")</f>
        <v>N</v>
      </c>
      <c r="G61" s="3">
        <v>53</v>
      </c>
      <c r="H61" s="3" t="str">
        <f>IFERROR(MID(VLOOKUP($B61,Seqs!$A:$B,2,0),I61,1),"")</f>
        <v>T</v>
      </c>
      <c r="I61" s="23">
        <v>54</v>
      </c>
      <c r="J61" s="3" t="str">
        <f>IFERROR(MID(VLOOKUP($B61,Seqs!$A:$B,2,0),K61,1),"")</f>
        <v>K</v>
      </c>
      <c r="K61" s="23">
        <v>57</v>
      </c>
      <c r="L61" s="3" t="str">
        <f>IFERROR(MID(VLOOKUP($B61,Seqs!$A:$B,2,0),M61,1),"")</f>
        <v>T</v>
      </c>
      <c r="M61" s="3">
        <v>58</v>
      </c>
      <c r="N61" s="3" t="str">
        <f>IFERROR(MID(VLOOKUP($B61,Seqs!$A:$B,2,0),O61,1),"")</f>
        <v>M</v>
      </c>
      <c r="O61" s="3">
        <v>88</v>
      </c>
      <c r="P61" s="3" t="str">
        <f>IFERROR(MID(VLOOKUP($B61,Seqs!$A:$B,2,0),Q61,1),"")</f>
        <v>H</v>
      </c>
      <c r="Q61" s="3">
        <v>90</v>
      </c>
      <c r="R61" s="3" t="str">
        <f>IFERROR(MID(VLOOKUP($B61,Seqs!$A:$B,2,0),S61,1),"")</f>
        <v>L</v>
      </c>
      <c r="S61" s="3">
        <v>93</v>
      </c>
      <c r="T61" s="3" t="str">
        <f>IFERROR(MID(VLOOKUP($B61,Seqs!$A:$B,2,0),U61,1),"")</f>
        <v>G</v>
      </c>
      <c r="U61" s="3">
        <v>94</v>
      </c>
      <c r="V61" s="3" t="str">
        <f>IFERROR(MID(VLOOKUP($B61,Seqs!$A:$B,2,0),W61,1),"")</f>
        <v>R</v>
      </c>
      <c r="W61" s="3">
        <v>129</v>
      </c>
      <c r="X61" s="3" t="str">
        <f>IFERROR(MID(VLOOKUP($B61,Seqs!$A:$B,2,0),Y61,1),"")</f>
        <v>P</v>
      </c>
      <c r="Y61" s="3">
        <v>130</v>
      </c>
      <c r="Z61" s="3" t="str">
        <f>IFERROR(MID(VLOOKUP($B61,Seqs!$A:$B,2,0),AA61,1),"")</f>
        <v>R</v>
      </c>
      <c r="AA61" s="3">
        <v>137</v>
      </c>
      <c r="AB61" s="3" t="str">
        <f>IFERROR(MID(VLOOKUP($B61,Seqs!$A:$B,2,0),AC61,1),"")</f>
        <v>T</v>
      </c>
      <c r="AC61" s="9">
        <v>138</v>
      </c>
      <c r="AD61" s="3" t="str">
        <f>IFERROR(MID(VLOOKUP($B61,Seqs!$A:$B,2,0),AE61,1),"")</f>
        <v>G</v>
      </c>
      <c r="AE61" s="3">
        <v>169</v>
      </c>
      <c r="AF61" s="3" t="str">
        <f>IFERROR(MID(VLOOKUP($B61,Seqs!$A:$B,2,0),AG61,1),"")</f>
        <v>C</v>
      </c>
      <c r="AG61" s="3">
        <v>178</v>
      </c>
      <c r="AH61" s="3" t="str">
        <f>IFERROR(MID(VLOOKUP($B61,Seqs!$A:$B,2,0),AI61,1),"")</f>
        <v>I</v>
      </c>
      <c r="AI61" s="3">
        <v>180</v>
      </c>
      <c r="AJ61" s="3" t="str">
        <f>IFERROR(MID(VLOOKUP($B61,Seqs!$A:$B,2,0),AK61,1),"")</f>
        <v>Q</v>
      </c>
      <c r="AK61" s="3">
        <v>185</v>
      </c>
      <c r="AL61" s="3" t="str">
        <f>IFERROR(MID(VLOOKUP($B61,Seqs!$A:$B,2,0),AM61,1),"")</f>
        <v>R</v>
      </c>
      <c r="AM61" s="3">
        <v>213</v>
      </c>
      <c r="AN61" s="3" t="str">
        <f>IFERROR(MID(VLOOKUP($B61,Seqs!$A:$B,2,0),AO61,1),"")</f>
        <v>L</v>
      </c>
      <c r="AO61" s="3">
        <v>357</v>
      </c>
      <c r="AP61" s="3" t="str">
        <f>IFERROR(MID(VLOOKUP($B61,Seqs!$A:$B,2,0),AQ61,1),"")</f>
        <v>C</v>
      </c>
      <c r="AQ61" s="3">
        <v>391</v>
      </c>
      <c r="AR61" s="3" t="str">
        <f>IFERROR(MID(VLOOKUP($B61,Seqs!$A:$B,2,0),AS61,1),"")</f>
        <v>P</v>
      </c>
      <c r="AS61" s="3">
        <v>396</v>
      </c>
      <c r="AT61" s="3" t="str">
        <f>IFERROR(MID(VLOOKUP($B61,Seqs!$A:$B,2,0),AU61,1),"")</f>
        <v>C</v>
      </c>
      <c r="AU61" s="3">
        <v>421</v>
      </c>
      <c r="AV61" s="3" t="str">
        <f>IFERROR(MID(VLOOKUP($B61,Seqs!$A:$B,2,0),AW61,1),"")</f>
        <v>N</v>
      </c>
      <c r="AW61" s="3">
        <v>422</v>
      </c>
      <c r="AX61" s="3" t="str">
        <f>IFERROR(MID(VLOOKUP($B61,Seqs!$A:$B,2,0),AY61,1),"")</f>
        <v>L</v>
      </c>
      <c r="AY61" s="3">
        <v>434</v>
      </c>
      <c r="AZ61" s="77" t="str">
        <f>VLOOKUP(B61,Classification!A:D,2,0)</f>
        <v>A</v>
      </c>
      <c r="BA61" s="94" t="str">
        <f>VLOOKUP(B61,Classification!A:D,4,0)</f>
        <v>Acetylcholine(muscarinic)</v>
      </c>
      <c r="BB61" s="27" t="b">
        <f t="shared" si="1"/>
        <v>1</v>
      </c>
      <c r="BC61" s="23">
        <f t="shared" si="85"/>
        <v>253</v>
      </c>
      <c r="BD61" s="16" t="s">
        <v>1383</v>
      </c>
      <c r="BE61" s="3" t="s">
        <v>1381</v>
      </c>
      <c r="BF61" s="119">
        <v>2.7</v>
      </c>
      <c r="BG61" s="49" t="s">
        <v>1384</v>
      </c>
      <c r="BH61" s="49" t="s">
        <v>1384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86"/>
        <v>22</v>
      </c>
      <c r="BW61" s="71">
        <f t="shared" si="87"/>
        <v>54</v>
      </c>
      <c r="BX61" s="72">
        <f t="shared" si="88"/>
        <v>58</v>
      </c>
      <c r="BY61" s="71">
        <f t="shared" si="89"/>
        <v>90</v>
      </c>
      <c r="BZ61" s="72">
        <f t="shared" si="90"/>
        <v>94</v>
      </c>
      <c r="CA61" s="71">
        <f t="shared" si="91"/>
        <v>130</v>
      </c>
      <c r="CB61" s="72">
        <f t="shared" si="92"/>
        <v>138</v>
      </c>
      <c r="CC61" s="71">
        <f t="shared" si="93"/>
        <v>178</v>
      </c>
      <c r="CD61" s="72">
        <f t="shared" si="94"/>
        <v>185</v>
      </c>
      <c r="CE61" s="71">
        <f t="shared" si="95"/>
        <v>357</v>
      </c>
      <c r="CF61" s="72">
        <f t="shared" si="96"/>
        <v>396</v>
      </c>
      <c r="CG61" s="71">
        <f t="shared" si="97"/>
        <v>422</v>
      </c>
      <c r="CH61" s="70">
        <f t="shared" si="98"/>
        <v>53</v>
      </c>
      <c r="CI61" s="71">
        <f t="shared" si="99"/>
        <v>57</v>
      </c>
      <c r="CJ61" s="72">
        <f t="shared" si="100"/>
        <v>88</v>
      </c>
      <c r="CK61" s="72">
        <f t="shared" si="101"/>
        <v>93</v>
      </c>
      <c r="CL61" s="72">
        <f t="shared" si="102"/>
        <v>129</v>
      </c>
      <c r="CM61" s="72">
        <f t="shared" si="103"/>
        <v>137</v>
      </c>
      <c r="CN61" s="72">
        <f t="shared" si="104"/>
        <v>169</v>
      </c>
      <c r="CO61" s="72">
        <f t="shared" si="105"/>
        <v>180</v>
      </c>
      <c r="CP61" s="72">
        <f t="shared" si="106"/>
        <v>213</v>
      </c>
      <c r="CQ61" s="72">
        <f t="shared" si="107"/>
        <v>391</v>
      </c>
      <c r="CR61" s="72">
        <f t="shared" si="108"/>
        <v>421</v>
      </c>
      <c r="CS61" s="72">
        <f t="shared" si="109"/>
        <v>434</v>
      </c>
      <c r="CT61" s="23">
        <f t="shared" si="110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0"/>
        <v>acm2_human__wt</v>
      </c>
      <c r="B62" s="3" t="s">
        <v>147</v>
      </c>
      <c r="C62" s="3" t="s">
        <v>100</v>
      </c>
      <c r="D62" s="3" t="str">
        <f>IFERROR(MID(VLOOKUP($B62,Seqs!$A:$B,2,0),E62,1),"")</f>
        <v>K</v>
      </c>
      <c r="E62" s="3">
        <v>19</v>
      </c>
      <c r="F62" s="3" t="str">
        <f>IFERROR(MID(VLOOKUP($B62,Seqs!$A:$B,2,0),G62,1),"")</f>
        <v>N</v>
      </c>
      <c r="G62" s="3">
        <v>51</v>
      </c>
      <c r="H62" s="3" t="str">
        <f>IFERROR(MID(VLOOKUP($B62,Seqs!$A:$B,2,0),I62,1),"")</f>
        <v>R</v>
      </c>
      <c r="I62" s="23">
        <v>52</v>
      </c>
      <c r="J62" s="3" t="str">
        <f>IFERROR(MID(VLOOKUP($B62,Seqs!$A:$B,2,0),K62,1),"")</f>
        <v>Q</v>
      </c>
      <c r="K62" s="23">
        <v>55</v>
      </c>
      <c r="L62" s="3" t="str">
        <f>IFERROR(MID(VLOOKUP($B62,Seqs!$A:$B,2,0),M62,1),"")</f>
        <v>T</v>
      </c>
      <c r="M62" s="3">
        <v>56</v>
      </c>
      <c r="N62" s="3" t="str">
        <f>IFERROR(MID(VLOOKUP($B62,Seqs!$A:$B,2,0),O62,1),"")</f>
        <v>I</v>
      </c>
      <c r="O62" s="3">
        <v>86</v>
      </c>
      <c r="P62" s="3" t="str">
        <f>IFERROR(MID(VLOOKUP($B62,Seqs!$A:$B,2,0),Q62,1),"")</f>
        <v>Y</v>
      </c>
      <c r="Q62" s="3">
        <v>88</v>
      </c>
      <c r="R62" s="3" t="str">
        <f>IFERROR(MID(VLOOKUP($B62,Seqs!$A:$B,2,0),S62,1),"")</f>
        <v>L</v>
      </c>
      <c r="S62" s="3">
        <v>91</v>
      </c>
      <c r="T62" s="3" t="str">
        <f>IFERROR(MID(VLOOKUP($B62,Seqs!$A:$B,2,0),U62,1),"")</f>
        <v>G</v>
      </c>
      <c r="U62" s="3">
        <v>92</v>
      </c>
      <c r="V62" s="3" t="str">
        <f>IFERROR(MID(VLOOKUP($B62,Seqs!$A:$B,2,0),W62,1),"")</f>
        <v>K</v>
      </c>
      <c r="W62" s="3">
        <v>127</v>
      </c>
      <c r="X62" s="3" t="str">
        <f>IFERROR(MID(VLOOKUP($B62,Seqs!$A:$B,2,0),Y62,1),"")</f>
        <v>P</v>
      </c>
      <c r="Y62" s="3">
        <v>128</v>
      </c>
      <c r="Z62" s="3" t="str">
        <f>IFERROR(MID(VLOOKUP($B62,Seqs!$A:$B,2,0),AA62,1),"")</f>
        <v>R</v>
      </c>
      <c r="AA62" s="3">
        <v>135</v>
      </c>
      <c r="AB62" s="3" t="str">
        <f>IFERROR(MID(VLOOKUP($B62,Seqs!$A:$B,2,0),AC62,1),"")</f>
        <v>T</v>
      </c>
      <c r="AC62" s="9">
        <v>136</v>
      </c>
      <c r="AD62" s="3" t="str">
        <f>IFERROR(MID(VLOOKUP($B62,Seqs!$A:$B,2,0),AE62,1),"")</f>
        <v>G</v>
      </c>
      <c r="AE62" s="3">
        <v>167</v>
      </c>
      <c r="AF62" s="3" t="str">
        <f>IFERROR(MID(VLOOKUP($B62,Seqs!$A:$B,2,0),AG62,1),"")</f>
        <v>C</v>
      </c>
      <c r="AG62" s="3">
        <v>176</v>
      </c>
      <c r="AH62" s="3" t="str">
        <f>IFERROR(MID(VLOOKUP($B62,Seqs!$A:$B,2,0),AI62,1),"")</f>
        <v>I</v>
      </c>
      <c r="AI62" s="3">
        <v>178</v>
      </c>
      <c r="AJ62" s="3" t="str">
        <f>IFERROR(MID(VLOOKUP($B62,Seqs!$A:$B,2,0),AK62,1),"")</f>
        <v>N</v>
      </c>
      <c r="AK62" s="3">
        <v>183</v>
      </c>
      <c r="AL62" s="3" t="str">
        <f>IFERROR(MID(VLOOKUP($B62,Seqs!$A:$B,2,0),AM62,1),"")</f>
        <v>E</v>
      </c>
      <c r="AM62" s="3">
        <v>223</v>
      </c>
      <c r="AN62" s="3" t="str">
        <f>IFERROR(MID(VLOOKUP($B62,Seqs!$A:$B,2,0),AO62,1),"")</f>
        <v>K</v>
      </c>
      <c r="AO62" s="3">
        <v>376</v>
      </c>
      <c r="AP62" s="3" t="str">
        <f>IFERROR(MID(VLOOKUP($B62,Seqs!$A:$B,2,0),AQ62,1),"")</f>
        <v>C</v>
      </c>
      <c r="AQ62" s="3">
        <v>413</v>
      </c>
      <c r="AR62" s="3" t="str">
        <f>IFERROR(MID(VLOOKUP($B62,Seqs!$A:$B,2,0),AS62,1),"")</f>
        <v>P</v>
      </c>
      <c r="AS62" s="3">
        <v>418</v>
      </c>
      <c r="AT62" s="3" t="str">
        <f>IFERROR(MID(VLOOKUP($B62,Seqs!$A:$B,2,0),AU62,1),"")</f>
        <v>C</v>
      </c>
      <c r="AU62" s="3">
        <v>443</v>
      </c>
      <c r="AV62" s="3" t="str">
        <f>IFERROR(MID(VLOOKUP($B62,Seqs!$A:$B,2,0),AW62,1),"")</f>
        <v>N</v>
      </c>
      <c r="AW62" s="3">
        <v>444</v>
      </c>
      <c r="AX62" s="3" t="str">
        <f>IFERROR(MID(VLOOKUP($B62,Seqs!$A:$B,2,0),AY62,1),"")</f>
        <v>M</v>
      </c>
      <c r="AY62" s="3">
        <v>456</v>
      </c>
      <c r="AZ62" s="77" t="str">
        <f>VLOOKUP(B62,Classification!A:D,2,0)</f>
        <v>A</v>
      </c>
      <c r="BA62" s="94" t="str">
        <f>VLOOKUP(B62,Classification!A:D,4,0)</f>
        <v>Acetylcholine(muscarinic)</v>
      </c>
      <c r="BB62" s="27" t="b">
        <f t="shared" si="1"/>
        <v>1</v>
      </c>
      <c r="BC62" s="23">
        <f t="shared" si="85"/>
        <v>269</v>
      </c>
      <c r="BD62" s="56" t="s">
        <v>1379</v>
      </c>
      <c r="BE62" s="3" t="s">
        <v>23</v>
      </c>
      <c r="BF62" s="119" t="s">
        <v>23</v>
      </c>
      <c r="BG62" s="49" t="s">
        <v>1379</v>
      </c>
      <c r="BH62" s="49" t="s">
        <v>1384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86"/>
        <v>19</v>
      </c>
      <c r="BW62" s="71">
        <f t="shared" si="87"/>
        <v>52</v>
      </c>
      <c r="BX62" s="72">
        <f t="shared" si="88"/>
        <v>56</v>
      </c>
      <c r="BY62" s="71">
        <f t="shared" si="89"/>
        <v>88</v>
      </c>
      <c r="BZ62" s="72">
        <f t="shared" si="90"/>
        <v>92</v>
      </c>
      <c r="CA62" s="71">
        <f t="shared" si="91"/>
        <v>128</v>
      </c>
      <c r="CB62" s="72">
        <f t="shared" si="92"/>
        <v>136</v>
      </c>
      <c r="CC62" s="71">
        <f t="shared" si="93"/>
        <v>176</v>
      </c>
      <c r="CD62" s="72">
        <f t="shared" si="94"/>
        <v>183</v>
      </c>
      <c r="CE62" s="71">
        <f t="shared" si="95"/>
        <v>376</v>
      </c>
      <c r="CF62" s="72">
        <f t="shared" si="96"/>
        <v>418</v>
      </c>
      <c r="CG62" s="71">
        <f t="shared" si="97"/>
        <v>444</v>
      </c>
      <c r="CH62" s="70">
        <f t="shared" si="98"/>
        <v>51</v>
      </c>
      <c r="CI62" s="71">
        <f t="shared" si="99"/>
        <v>55</v>
      </c>
      <c r="CJ62" s="72">
        <f t="shared" si="100"/>
        <v>86</v>
      </c>
      <c r="CK62" s="72">
        <f t="shared" si="101"/>
        <v>91</v>
      </c>
      <c r="CL62" s="72">
        <f t="shared" si="102"/>
        <v>127</v>
      </c>
      <c r="CM62" s="72">
        <f t="shared" si="103"/>
        <v>135</v>
      </c>
      <c r="CN62" s="72">
        <f t="shared" si="104"/>
        <v>167</v>
      </c>
      <c r="CO62" s="72">
        <f t="shared" si="105"/>
        <v>178</v>
      </c>
      <c r="CP62" s="72">
        <f t="shared" si="106"/>
        <v>223</v>
      </c>
      <c r="CQ62" s="72">
        <f t="shared" si="107"/>
        <v>413</v>
      </c>
      <c r="CR62" s="72">
        <f t="shared" si="108"/>
        <v>443</v>
      </c>
      <c r="CS62" s="72">
        <f t="shared" si="109"/>
        <v>456</v>
      </c>
      <c r="CT62" s="23">
        <f t="shared" si="110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ref="A63:A94" si="139">CONCATENATE(B63,"_",C63)</f>
        <v>acm2_human_3UON</v>
      </c>
      <c r="B63" s="3" t="s">
        <v>147</v>
      </c>
      <c r="C63" s="3" t="s">
        <v>79</v>
      </c>
      <c r="D63" s="3" t="str">
        <f>IFERROR(MID(VLOOKUP($B63,Seqs!$A:$B,2,0),E63,1),"")</f>
        <v>V</v>
      </c>
      <c r="E63" s="3">
        <v>23</v>
      </c>
      <c r="F63" s="3" t="str">
        <f>IFERROR(MID(VLOOKUP($B63,Seqs!$A:$B,2,0),G63,1),"")</f>
        <v>N</v>
      </c>
      <c r="G63" s="3">
        <v>51</v>
      </c>
      <c r="H63" s="3" t="str">
        <f>IFERROR(MID(VLOOKUP($B63,Seqs!$A:$B,2,0),I63,1),"")</f>
        <v>R</v>
      </c>
      <c r="I63" s="23">
        <v>52</v>
      </c>
      <c r="J63" s="3" t="str">
        <f>IFERROR(MID(VLOOKUP($B63,Seqs!$A:$B,2,0),K63,1),"")</f>
        <v>Q</v>
      </c>
      <c r="K63" s="23">
        <v>55</v>
      </c>
      <c r="L63" s="3" t="str">
        <f>IFERROR(MID(VLOOKUP($B63,Seqs!$A:$B,2,0),M63,1),"")</f>
        <v>T</v>
      </c>
      <c r="M63" s="3">
        <v>56</v>
      </c>
      <c r="N63" s="3" t="str">
        <f>IFERROR(MID(VLOOKUP($B63,Seqs!$A:$B,2,0),O63,1),"")</f>
        <v>I</v>
      </c>
      <c r="O63" s="3">
        <v>86</v>
      </c>
      <c r="P63" s="3" t="str">
        <f>IFERROR(MID(VLOOKUP($B63,Seqs!$A:$B,2,0),Q63,1),"")</f>
        <v>Y</v>
      </c>
      <c r="Q63" s="3">
        <v>88</v>
      </c>
      <c r="R63" s="3" t="str">
        <f>IFERROR(MID(VLOOKUP($B63,Seqs!$A:$B,2,0),S63,1),"")</f>
        <v>L</v>
      </c>
      <c r="S63" s="3">
        <v>91</v>
      </c>
      <c r="T63" s="3" t="str">
        <f>IFERROR(MID(VLOOKUP($B63,Seqs!$A:$B,2,0),U63,1),"")</f>
        <v>G</v>
      </c>
      <c r="U63" s="3">
        <v>92</v>
      </c>
      <c r="V63" s="3" t="str">
        <f>IFERROR(MID(VLOOKUP($B63,Seqs!$A:$B,2,0),W63,1),"")</f>
        <v>K</v>
      </c>
      <c r="W63" s="3">
        <v>127</v>
      </c>
      <c r="X63" s="3" t="str">
        <f>IFERROR(MID(VLOOKUP($B63,Seqs!$A:$B,2,0),Y63,1),"")</f>
        <v>P</v>
      </c>
      <c r="Y63" s="3">
        <v>128</v>
      </c>
      <c r="Z63" s="3" t="str">
        <f>IFERROR(MID(VLOOKUP($B63,Seqs!$A:$B,2,0),AA63,1),"")</f>
        <v>R</v>
      </c>
      <c r="AA63" s="3">
        <v>135</v>
      </c>
      <c r="AB63" s="3" t="str">
        <f>IFERROR(MID(VLOOKUP($B63,Seqs!$A:$B,2,0),AC63,1),"")</f>
        <v>T</v>
      </c>
      <c r="AC63" s="9">
        <v>136</v>
      </c>
      <c r="AD63" s="3" t="str">
        <f>IFERROR(MID(VLOOKUP($B63,Seqs!$A:$B,2,0),AE63,1),"")</f>
        <v>G</v>
      </c>
      <c r="AE63" s="3">
        <v>167</v>
      </c>
      <c r="AF63" s="3" t="str">
        <f>IFERROR(MID(VLOOKUP($B63,Seqs!$A:$B,2,0),AG63,1),"")</f>
        <v>C</v>
      </c>
      <c r="AG63" s="3">
        <v>176</v>
      </c>
      <c r="AH63" s="3" t="str">
        <f>IFERROR(MID(VLOOKUP($B63,Seqs!$A:$B,2,0),AI63,1),"")</f>
        <v>I</v>
      </c>
      <c r="AI63" s="3">
        <v>178</v>
      </c>
      <c r="AJ63" s="3" t="str">
        <f>IFERROR(MID(VLOOKUP($B63,Seqs!$A:$B,2,0),AK63,1),"")</f>
        <v>N</v>
      </c>
      <c r="AK63" s="3">
        <v>183</v>
      </c>
      <c r="AL63" s="3" t="str">
        <f>IFERROR(MID(VLOOKUP($B63,Seqs!$A:$B,2,0),AM63,1),"")</f>
        <v>S</v>
      </c>
      <c r="AM63" s="3">
        <v>213</v>
      </c>
      <c r="AN63" s="3" t="str">
        <f>IFERROR(MID(VLOOKUP($B63,Seqs!$A:$B,2,0),AO63,1),"")</f>
        <v>K</v>
      </c>
      <c r="AO63" s="3">
        <v>384</v>
      </c>
      <c r="AP63" s="3" t="str">
        <f>IFERROR(MID(VLOOKUP($B63,Seqs!$A:$B,2,0),AQ63,1),"")</f>
        <v>C</v>
      </c>
      <c r="AQ63" s="3">
        <v>413</v>
      </c>
      <c r="AR63" s="3" t="str">
        <f>IFERROR(MID(VLOOKUP($B63,Seqs!$A:$B,2,0),AS63,1),"")</f>
        <v>P</v>
      </c>
      <c r="AS63" s="3">
        <v>418</v>
      </c>
      <c r="AT63" s="3" t="str">
        <f>IFERROR(MID(VLOOKUP($B63,Seqs!$A:$B,2,0),AU63,1),"")</f>
        <v>C</v>
      </c>
      <c r="AU63" s="3">
        <v>443</v>
      </c>
      <c r="AV63" s="3" t="str">
        <f>IFERROR(MID(VLOOKUP($B63,Seqs!$A:$B,2,0),AW63,1),"")</f>
        <v>N</v>
      </c>
      <c r="AW63" s="3">
        <v>444</v>
      </c>
      <c r="AX63" s="3" t="str">
        <f>IFERROR(MID(VLOOKUP($B63,Seqs!$A:$B,2,0),AY63,1),"")</f>
        <v>M</v>
      </c>
      <c r="AY63" s="3">
        <v>456</v>
      </c>
      <c r="AZ63" s="77" t="str">
        <f>VLOOKUP(B63,Classification!A:D,2,0)</f>
        <v>A</v>
      </c>
      <c r="BA63" s="94" t="str">
        <f>VLOOKUP(B63,Classification!A:D,4,0)</f>
        <v>Acetylcholine(muscarinic)</v>
      </c>
      <c r="BB63" s="27" t="b">
        <f t="shared" ref="BB63:BB94" si="140">AND(E63&lt;G63,OR(G63&lt;I63,I63="-"),OR(I63&lt;K63,I63="-"),OR(K63&lt;M63,K63="-"),M63&lt;O63,OR(O63&lt;Q63,Q63="-"),OR(Q63&lt;S63,Q63="-"),OR(S63&lt;U63,S63="-"),U63&lt;W63,OR(W63&lt;Y63,Y63="-"),OR(Y63&lt;AA63,Y63="-"),OR(AA63&lt;AC63,AA63="-"),AC63&lt;AE63,OR(AE63&lt;AG63,AG63="-"),OR(AG63&lt;AI63,AG63="-"),OR(AI63&lt;AK63,AI63="-"),AK63&lt;AM63,AM63&lt;AO63,AO63&lt;AQ63,AQ63&lt;AS63,AS63&lt;AU63,OR(AU63&lt;AW63,AW63="-"),OR(AW63&lt;AY63,AW63="-"))</f>
        <v>1</v>
      </c>
      <c r="BC63" s="23">
        <f t="shared" si="85"/>
        <v>247</v>
      </c>
      <c r="BD63" s="16" t="s">
        <v>1383</v>
      </c>
      <c r="BE63" s="3" t="s">
        <v>1381</v>
      </c>
      <c r="BF63" s="119">
        <v>3</v>
      </c>
      <c r="BG63" s="49" t="s">
        <v>1384</v>
      </c>
      <c r="BH63" s="49" t="s">
        <v>1384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86"/>
        <v>23</v>
      </c>
      <c r="BW63" s="71">
        <f t="shared" si="87"/>
        <v>52</v>
      </c>
      <c r="BX63" s="72">
        <f t="shared" si="88"/>
        <v>56</v>
      </c>
      <c r="BY63" s="71">
        <f t="shared" si="89"/>
        <v>88</v>
      </c>
      <c r="BZ63" s="72">
        <f t="shared" si="90"/>
        <v>92</v>
      </c>
      <c r="CA63" s="71">
        <f t="shared" si="91"/>
        <v>128</v>
      </c>
      <c r="CB63" s="72">
        <f t="shared" si="92"/>
        <v>136</v>
      </c>
      <c r="CC63" s="71">
        <f t="shared" si="93"/>
        <v>176</v>
      </c>
      <c r="CD63" s="72">
        <f t="shared" si="94"/>
        <v>183</v>
      </c>
      <c r="CE63" s="71">
        <f t="shared" si="95"/>
        <v>384</v>
      </c>
      <c r="CF63" s="72">
        <f t="shared" si="96"/>
        <v>418</v>
      </c>
      <c r="CG63" s="71">
        <f t="shared" si="97"/>
        <v>444</v>
      </c>
      <c r="CH63" s="70">
        <f t="shared" si="98"/>
        <v>51</v>
      </c>
      <c r="CI63" s="71">
        <f t="shared" si="99"/>
        <v>55</v>
      </c>
      <c r="CJ63" s="72">
        <f t="shared" si="100"/>
        <v>86</v>
      </c>
      <c r="CK63" s="72">
        <f t="shared" si="101"/>
        <v>91</v>
      </c>
      <c r="CL63" s="72">
        <f t="shared" si="102"/>
        <v>127</v>
      </c>
      <c r="CM63" s="72">
        <f t="shared" si="103"/>
        <v>135</v>
      </c>
      <c r="CN63" s="72">
        <f t="shared" si="104"/>
        <v>167</v>
      </c>
      <c r="CO63" s="72">
        <f t="shared" si="105"/>
        <v>178</v>
      </c>
      <c r="CP63" s="72">
        <f t="shared" si="106"/>
        <v>213</v>
      </c>
      <c r="CQ63" s="72">
        <f t="shared" si="107"/>
        <v>413</v>
      </c>
      <c r="CR63" s="72">
        <f t="shared" si="108"/>
        <v>443</v>
      </c>
      <c r="CS63" s="72">
        <f t="shared" si="109"/>
        <v>456</v>
      </c>
      <c r="CT63" s="23">
        <f t="shared" si="110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139"/>
        <v>acm2_human_4MQS</v>
      </c>
      <c r="B64" s="3" t="s">
        <v>147</v>
      </c>
      <c r="C64" s="3" t="s">
        <v>68</v>
      </c>
      <c r="D64" s="3" t="str">
        <f>IFERROR(MID(VLOOKUP($B64,Seqs!$A:$B,2,0),E64,1),"")</f>
        <v>K</v>
      </c>
      <c r="E64" s="3">
        <v>19</v>
      </c>
      <c r="F64" s="3" t="str">
        <f>IFERROR(MID(VLOOKUP($B64,Seqs!$A:$B,2,0),G64,1),"")</f>
        <v>N</v>
      </c>
      <c r="G64" s="3">
        <v>51</v>
      </c>
      <c r="H64" s="3" t="str">
        <f>IFERROR(MID(VLOOKUP($B64,Seqs!$A:$B,2,0),I64,1),"")</f>
        <v>R</v>
      </c>
      <c r="I64" s="23">
        <v>52</v>
      </c>
      <c r="J64" s="3" t="str">
        <f>IFERROR(MID(VLOOKUP($B64,Seqs!$A:$B,2,0),K64,1),"")</f>
        <v>Q</v>
      </c>
      <c r="K64" s="23">
        <v>55</v>
      </c>
      <c r="L64" s="3" t="str">
        <f>IFERROR(MID(VLOOKUP($B64,Seqs!$A:$B,2,0),M64,1),"")</f>
        <v>T</v>
      </c>
      <c r="M64" s="3">
        <v>56</v>
      </c>
      <c r="N64" s="3" t="str">
        <f>IFERROR(MID(VLOOKUP($B64,Seqs!$A:$B,2,0),O64,1),"")</f>
        <v>I</v>
      </c>
      <c r="O64" s="3">
        <v>86</v>
      </c>
      <c r="P64" s="3" t="str">
        <f>IFERROR(MID(VLOOKUP($B64,Seqs!$A:$B,2,0),Q64,1),"")</f>
        <v>Y</v>
      </c>
      <c r="Q64" s="3">
        <v>88</v>
      </c>
      <c r="R64" s="3" t="str">
        <f>IFERROR(MID(VLOOKUP($B64,Seqs!$A:$B,2,0),S64,1),"")</f>
        <v>L</v>
      </c>
      <c r="S64" s="3">
        <v>91</v>
      </c>
      <c r="T64" s="3" t="str">
        <f>IFERROR(MID(VLOOKUP($B64,Seqs!$A:$B,2,0),U64,1),"")</f>
        <v>G</v>
      </c>
      <c r="U64" s="3">
        <v>92</v>
      </c>
      <c r="V64" s="3" t="str">
        <f>IFERROR(MID(VLOOKUP($B64,Seqs!$A:$B,2,0),W64,1),"")</f>
        <v>K</v>
      </c>
      <c r="W64" s="3">
        <v>127</v>
      </c>
      <c r="X64" s="3" t="str">
        <f>IFERROR(MID(VLOOKUP($B64,Seqs!$A:$B,2,0),Y64,1),"")</f>
        <v>P</v>
      </c>
      <c r="Y64" s="3">
        <v>128</v>
      </c>
      <c r="Z64" s="3" t="str">
        <f>IFERROR(MID(VLOOKUP($B64,Seqs!$A:$B,2,0),AA64,1),"")</f>
        <v>R</v>
      </c>
      <c r="AA64" s="3">
        <v>135</v>
      </c>
      <c r="AB64" s="3" t="str">
        <f>IFERROR(MID(VLOOKUP($B64,Seqs!$A:$B,2,0),AC64,1),"")</f>
        <v>T</v>
      </c>
      <c r="AC64" s="9">
        <v>136</v>
      </c>
      <c r="AD64" s="3" t="str">
        <f>IFERROR(MID(VLOOKUP($B64,Seqs!$A:$B,2,0),AE64,1),"")</f>
        <v>G</v>
      </c>
      <c r="AE64" s="3">
        <v>167</v>
      </c>
      <c r="AF64" s="3" t="str">
        <f>IFERROR(MID(VLOOKUP($B64,Seqs!$A:$B,2,0),AG64,1),"")</f>
        <v>C</v>
      </c>
      <c r="AG64" s="3">
        <v>176</v>
      </c>
      <c r="AH64" s="3" t="str">
        <f>IFERROR(MID(VLOOKUP($B64,Seqs!$A:$B,2,0),AI64,1),"")</f>
        <v>I</v>
      </c>
      <c r="AI64" s="3">
        <v>178</v>
      </c>
      <c r="AJ64" s="3" t="str">
        <f>IFERROR(MID(VLOOKUP($B64,Seqs!$A:$B,2,0),AK64,1),"")</f>
        <v>N</v>
      </c>
      <c r="AK64" s="3">
        <v>183</v>
      </c>
      <c r="AL64" s="3" t="str">
        <f>IFERROR(MID(VLOOKUP($B64,Seqs!$A:$B,2,0),AM64,1),"")</f>
        <v>K</v>
      </c>
      <c r="AM64" s="3">
        <v>214</v>
      </c>
      <c r="AN64" s="3" t="str">
        <f>IFERROR(MID(VLOOKUP($B64,Seqs!$A:$B,2,0),AO64,1),"")</f>
        <v>S</v>
      </c>
      <c r="AO64" s="3">
        <v>380</v>
      </c>
      <c r="AP64" s="3" t="str">
        <f>IFERROR(MID(VLOOKUP($B64,Seqs!$A:$B,2,0),AQ64,1),"")</f>
        <v>C</v>
      </c>
      <c r="AQ64" s="3">
        <v>413</v>
      </c>
      <c r="AR64" s="3" t="str">
        <f>IFERROR(MID(VLOOKUP($B64,Seqs!$A:$B,2,0),AS64,1),"")</f>
        <v>P</v>
      </c>
      <c r="AS64" s="3">
        <v>418</v>
      </c>
      <c r="AT64" s="3" t="str">
        <f>IFERROR(MID(VLOOKUP($B64,Seqs!$A:$B,2,0),AU64,1),"")</f>
        <v>C</v>
      </c>
      <c r="AU64" s="3">
        <v>443</v>
      </c>
      <c r="AV64" s="3" t="str">
        <f>IFERROR(MID(VLOOKUP($B64,Seqs!$A:$B,2,0),AW64,1),"")</f>
        <v>N</v>
      </c>
      <c r="AW64" s="3">
        <v>444</v>
      </c>
      <c r="AX64" s="3" t="str">
        <f>IFERROR(MID(VLOOKUP($B64,Seqs!$A:$B,2,0),AY64,1),"")</f>
        <v>M</v>
      </c>
      <c r="AY64" s="3">
        <v>456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40"/>
        <v>1</v>
      </c>
      <c r="BC64" s="23">
        <f t="shared" si="85"/>
        <v>256</v>
      </c>
      <c r="BD64" s="4" t="s">
        <v>23</v>
      </c>
      <c r="BE64" s="3" t="s">
        <v>1297</v>
      </c>
      <c r="BF64" s="119">
        <v>3.5</v>
      </c>
      <c r="BG64" s="49" t="s">
        <v>1384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86"/>
        <v>19</v>
      </c>
      <c r="BW64" s="71">
        <f t="shared" si="87"/>
        <v>52</v>
      </c>
      <c r="BX64" s="72">
        <f t="shared" si="88"/>
        <v>56</v>
      </c>
      <c r="BY64" s="71">
        <f t="shared" si="89"/>
        <v>88</v>
      </c>
      <c r="BZ64" s="72">
        <f t="shared" si="90"/>
        <v>92</v>
      </c>
      <c r="CA64" s="71">
        <f t="shared" si="91"/>
        <v>128</v>
      </c>
      <c r="CB64" s="72">
        <f t="shared" si="92"/>
        <v>136</v>
      </c>
      <c r="CC64" s="71">
        <f t="shared" si="93"/>
        <v>176</v>
      </c>
      <c r="CD64" s="72">
        <f t="shared" si="94"/>
        <v>183</v>
      </c>
      <c r="CE64" s="71">
        <f t="shared" si="95"/>
        <v>380</v>
      </c>
      <c r="CF64" s="72">
        <f t="shared" si="96"/>
        <v>418</v>
      </c>
      <c r="CG64" s="71">
        <f t="shared" si="97"/>
        <v>444</v>
      </c>
      <c r="CH64" s="70">
        <f t="shared" si="98"/>
        <v>51</v>
      </c>
      <c r="CI64" s="71">
        <f t="shared" si="99"/>
        <v>55</v>
      </c>
      <c r="CJ64" s="72">
        <f t="shared" si="100"/>
        <v>86</v>
      </c>
      <c r="CK64" s="72">
        <f t="shared" si="101"/>
        <v>91</v>
      </c>
      <c r="CL64" s="72">
        <f t="shared" si="102"/>
        <v>127</v>
      </c>
      <c r="CM64" s="72">
        <f t="shared" si="103"/>
        <v>135</v>
      </c>
      <c r="CN64" s="72">
        <f t="shared" si="104"/>
        <v>167</v>
      </c>
      <c r="CO64" s="72">
        <f t="shared" si="105"/>
        <v>178</v>
      </c>
      <c r="CP64" s="72">
        <f t="shared" si="106"/>
        <v>214</v>
      </c>
      <c r="CQ64" s="72">
        <f t="shared" si="107"/>
        <v>413</v>
      </c>
      <c r="CR64" s="72">
        <f t="shared" si="108"/>
        <v>443</v>
      </c>
      <c r="CS64" s="72">
        <f t="shared" si="109"/>
        <v>456</v>
      </c>
      <c r="CT64" s="23">
        <f t="shared" si="110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139"/>
        <v>acm2_human_4MQT</v>
      </c>
      <c r="B65" s="3" t="s">
        <v>147</v>
      </c>
      <c r="C65" s="3" t="s">
        <v>1047</v>
      </c>
      <c r="D65" s="3" t="str">
        <f>IFERROR(MID(VLOOKUP($B65,Seqs!$A:$B,2,0),E65,1),"")</f>
        <v>K</v>
      </c>
      <c r="E65" s="3">
        <v>19</v>
      </c>
      <c r="F65" s="3" t="str">
        <f>IFERROR(MID(VLOOKUP($B65,Seqs!$A:$B,2,0),G65,1),"")</f>
        <v>N</v>
      </c>
      <c r="G65" s="3">
        <v>51</v>
      </c>
      <c r="H65" s="3" t="str">
        <f>IFERROR(MID(VLOOKUP($B65,Seqs!$A:$B,2,0),I65,1),"")</f>
        <v>R</v>
      </c>
      <c r="I65" s="23">
        <v>52</v>
      </c>
      <c r="J65" s="3" t="str">
        <f>IFERROR(MID(VLOOKUP($B65,Seqs!$A:$B,2,0),K65,1),"")</f>
        <v>Q</v>
      </c>
      <c r="K65" s="23">
        <v>55</v>
      </c>
      <c r="L65" s="3" t="str">
        <f>IFERROR(MID(VLOOKUP($B65,Seqs!$A:$B,2,0),M65,1),"")</f>
        <v>T</v>
      </c>
      <c r="M65" s="3">
        <v>56</v>
      </c>
      <c r="N65" s="3" t="str">
        <f>IFERROR(MID(VLOOKUP($B65,Seqs!$A:$B,2,0),O65,1),"")</f>
        <v>I</v>
      </c>
      <c r="O65" s="3">
        <v>86</v>
      </c>
      <c r="P65" s="3" t="str">
        <f>IFERROR(MID(VLOOKUP($B65,Seqs!$A:$B,2,0),Q65,1),"")</f>
        <v>Y</v>
      </c>
      <c r="Q65" s="3">
        <v>88</v>
      </c>
      <c r="R65" s="3" t="str">
        <f>IFERROR(MID(VLOOKUP($B65,Seqs!$A:$B,2,0),S65,1),"")</f>
        <v>L</v>
      </c>
      <c r="S65" s="3">
        <v>91</v>
      </c>
      <c r="T65" s="3" t="str">
        <f>IFERROR(MID(VLOOKUP($B65,Seqs!$A:$B,2,0),U65,1),"")</f>
        <v>G</v>
      </c>
      <c r="U65" s="3">
        <v>92</v>
      </c>
      <c r="V65" s="3" t="str">
        <f>IFERROR(MID(VLOOKUP($B65,Seqs!$A:$B,2,0),W65,1),"")</f>
        <v>K</v>
      </c>
      <c r="W65" s="3">
        <v>127</v>
      </c>
      <c r="X65" s="3" t="str">
        <f>IFERROR(MID(VLOOKUP($B65,Seqs!$A:$B,2,0),Y65,1),"")</f>
        <v>P</v>
      </c>
      <c r="Y65" s="3">
        <v>128</v>
      </c>
      <c r="Z65" s="3" t="str">
        <f>IFERROR(MID(VLOOKUP($B65,Seqs!$A:$B,2,0),AA65,1),"")</f>
        <v>R</v>
      </c>
      <c r="AA65" s="3">
        <v>135</v>
      </c>
      <c r="AB65" s="3" t="str">
        <f>IFERROR(MID(VLOOKUP($B65,Seqs!$A:$B,2,0),AC65,1),"")</f>
        <v>T</v>
      </c>
      <c r="AC65" s="9">
        <v>136</v>
      </c>
      <c r="AD65" s="3" t="str">
        <f>IFERROR(MID(VLOOKUP($B65,Seqs!$A:$B,2,0),AE65,1),"")</f>
        <v>G</v>
      </c>
      <c r="AE65" s="3">
        <v>167</v>
      </c>
      <c r="AF65" s="3" t="str">
        <f>IFERROR(MID(VLOOKUP($B65,Seqs!$A:$B,2,0),AG65,1),"")</f>
        <v>C</v>
      </c>
      <c r="AG65" s="3">
        <v>176</v>
      </c>
      <c r="AH65" s="3" t="str">
        <f>IFERROR(MID(VLOOKUP($B65,Seqs!$A:$B,2,0),AI65,1),"")</f>
        <v>I</v>
      </c>
      <c r="AI65" s="3">
        <v>178</v>
      </c>
      <c r="AJ65" s="3" t="str">
        <f>IFERROR(MID(VLOOKUP($B65,Seqs!$A:$B,2,0),AK65,1),"")</f>
        <v>N</v>
      </c>
      <c r="AK65" s="3">
        <v>183</v>
      </c>
      <c r="AL65" s="3" t="str">
        <f>IFERROR(MID(VLOOKUP($B65,Seqs!$A:$B,2,0),AM65,1),"")</f>
        <v>S</v>
      </c>
      <c r="AM65" s="3">
        <v>215</v>
      </c>
      <c r="AN65" s="3" t="str">
        <f>IFERROR(MID(VLOOKUP($B65,Seqs!$A:$B,2,0),AO65,1),"")</f>
        <v>P</v>
      </c>
      <c r="AO65" s="3">
        <v>379</v>
      </c>
      <c r="AP65" s="3" t="str">
        <f>IFERROR(MID(VLOOKUP($B65,Seqs!$A:$B,2,0),AQ65,1),"")</f>
        <v>C</v>
      </c>
      <c r="AQ65" s="3">
        <v>413</v>
      </c>
      <c r="AR65" s="3" t="str">
        <f>IFERROR(MID(VLOOKUP($B65,Seqs!$A:$B,2,0),AS65,1),"")</f>
        <v>P</v>
      </c>
      <c r="AS65" s="3">
        <v>418</v>
      </c>
      <c r="AT65" s="3" t="str">
        <f>IFERROR(MID(VLOOKUP($B65,Seqs!$A:$B,2,0),AU65,1),"")</f>
        <v>C</v>
      </c>
      <c r="AU65" s="3">
        <v>443</v>
      </c>
      <c r="AV65" s="3" t="str">
        <f>IFERROR(MID(VLOOKUP($B65,Seqs!$A:$B,2,0),AW65,1),"")</f>
        <v>N</v>
      </c>
      <c r="AW65" s="3">
        <v>444</v>
      </c>
      <c r="AX65" s="3" t="str">
        <f>IFERROR(MID(VLOOKUP($B65,Seqs!$A:$B,2,0),AY65,1),"")</f>
        <v>C</v>
      </c>
      <c r="AY65" s="3">
        <v>457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40"/>
        <v>1</v>
      </c>
      <c r="BC65" s="23">
        <f t="shared" si="85"/>
        <v>259</v>
      </c>
      <c r="BD65" s="4" t="s">
        <v>1382</v>
      </c>
      <c r="BE65" s="3" t="s">
        <v>1297</v>
      </c>
      <c r="BF65" s="119">
        <v>3.7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86"/>
        <v>19</v>
      </c>
      <c r="BW65" s="71">
        <f t="shared" si="87"/>
        <v>52</v>
      </c>
      <c r="BX65" s="72">
        <f t="shared" si="88"/>
        <v>56</v>
      </c>
      <c r="BY65" s="71">
        <f t="shared" si="89"/>
        <v>88</v>
      </c>
      <c r="BZ65" s="72">
        <f t="shared" si="90"/>
        <v>92</v>
      </c>
      <c r="CA65" s="71">
        <f t="shared" si="91"/>
        <v>128</v>
      </c>
      <c r="CB65" s="72">
        <f t="shared" si="92"/>
        <v>136</v>
      </c>
      <c r="CC65" s="71">
        <f t="shared" si="93"/>
        <v>176</v>
      </c>
      <c r="CD65" s="72">
        <f t="shared" si="94"/>
        <v>183</v>
      </c>
      <c r="CE65" s="71">
        <f t="shared" si="95"/>
        <v>379</v>
      </c>
      <c r="CF65" s="72">
        <f t="shared" si="96"/>
        <v>418</v>
      </c>
      <c r="CG65" s="71">
        <f t="shared" si="97"/>
        <v>444</v>
      </c>
      <c r="CH65" s="70">
        <f t="shared" si="98"/>
        <v>51</v>
      </c>
      <c r="CI65" s="71">
        <f t="shared" si="99"/>
        <v>55</v>
      </c>
      <c r="CJ65" s="72">
        <f t="shared" si="100"/>
        <v>86</v>
      </c>
      <c r="CK65" s="72">
        <f t="shared" si="101"/>
        <v>91</v>
      </c>
      <c r="CL65" s="72">
        <f t="shared" si="102"/>
        <v>127</v>
      </c>
      <c r="CM65" s="72">
        <f t="shared" si="103"/>
        <v>135</v>
      </c>
      <c r="CN65" s="72">
        <f t="shared" si="104"/>
        <v>167</v>
      </c>
      <c r="CO65" s="72">
        <f t="shared" si="105"/>
        <v>178</v>
      </c>
      <c r="CP65" s="72">
        <f t="shared" si="106"/>
        <v>215</v>
      </c>
      <c r="CQ65" s="72">
        <f t="shared" si="107"/>
        <v>413</v>
      </c>
      <c r="CR65" s="72">
        <f t="shared" si="108"/>
        <v>443</v>
      </c>
      <c r="CS65" s="72">
        <f t="shared" si="109"/>
        <v>457</v>
      </c>
      <c r="CT65" s="23">
        <f t="shared" si="110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139"/>
        <v>acm3_rat__wt</v>
      </c>
      <c r="B66" s="3" t="s">
        <v>910</v>
      </c>
      <c r="C66" s="3" t="s">
        <v>100</v>
      </c>
      <c r="D66" s="3" t="str">
        <f>IFERROR(MID(VLOOKUP($B66,Seqs!$A:$B,2,0),E66,1),"")</f>
        <v>I</v>
      </c>
      <c r="E66" s="3">
        <v>64</v>
      </c>
      <c r="F66" s="3" t="str">
        <f>IFERROR(MID(VLOOKUP($B66,Seqs!$A:$B,2,0),G66,1),"")</f>
        <v>N</v>
      </c>
      <c r="G66" s="3">
        <v>95</v>
      </c>
      <c r="H66" s="3" t="str">
        <f>IFERROR(MID(VLOOKUP($B66,Seqs!$A:$B,2,0),I66,1),"")</f>
        <v>K</v>
      </c>
      <c r="I66" s="23">
        <v>96</v>
      </c>
      <c r="J66" s="3" t="str">
        <f>IFERROR(MID(VLOOKUP($B66,Seqs!$A:$B,2,0),K66,1),"")</f>
        <v>K</v>
      </c>
      <c r="K66" s="23">
        <v>99</v>
      </c>
      <c r="L66" s="3" t="str">
        <f>IFERROR(MID(VLOOKUP($B66,Seqs!$A:$B,2,0),M66,1),"")</f>
        <v>T</v>
      </c>
      <c r="M66" s="3">
        <v>100</v>
      </c>
      <c r="N66" s="3" t="str">
        <f>IFERROR(MID(VLOOKUP($B66,Seqs!$A:$B,2,0),O66,1),"")</f>
        <v>M</v>
      </c>
      <c r="O66" s="3">
        <v>130</v>
      </c>
      <c r="P66" s="3" t="str">
        <f>IFERROR(MID(VLOOKUP($B66,Seqs!$A:$B,2,0),Q66,1),"")</f>
        <v>R</v>
      </c>
      <c r="Q66" s="3">
        <v>132</v>
      </c>
      <c r="R66" s="3" t="str">
        <f>IFERROR(MID(VLOOKUP($B66,Seqs!$A:$B,2,0),S66,1),"")</f>
        <v>L</v>
      </c>
      <c r="S66" s="3">
        <v>135</v>
      </c>
      <c r="T66" s="3" t="str">
        <f>IFERROR(MID(VLOOKUP($B66,Seqs!$A:$B,2,0),U66,1),"")</f>
        <v>G</v>
      </c>
      <c r="U66" s="3">
        <v>136</v>
      </c>
      <c r="V66" s="3" t="str">
        <f>IFERROR(MID(VLOOKUP($B66,Seqs!$A:$B,2,0),W66,1),"")</f>
        <v>R</v>
      </c>
      <c r="W66" s="3">
        <v>171</v>
      </c>
      <c r="X66" s="3" t="str">
        <f>IFERROR(MID(VLOOKUP($B66,Seqs!$A:$B,2,0),Y66,1),"")</f>
        <v>P</v>
      </c>
      <c r="Y66" s="3">
        <v>172</v>
      </c>
      <c r="Z66" s="3" t="str">
        <f>IFERROR(MID(VLOOKUP($B66,Seqs!$A:$B,2,0),AA66,1),"")</f>
        <v>R</v>
      </c>
      <c r="AA66" s="3">
        <v>179</v>
      </c>
      <c r="AB66" s="3" t="str">
        <f>IFERROR(MID(VLOOKUP($B66,Seqs!$A:$B,2,0),AC66,1),"")</f>
        <v>T</v>
      </c>
      <c r="AC66" s="9">
        <v>180</v>
      </c>
      <c r="AD66" s="3" t="str">
        <f>IFERROR(MID(VLOOKUP($B66,Seqs!$A:$B,2,0),AE66,1),"")</f>
        <v>G</v>
      </c>
      <c r="AE66" s="3">
        <v>211</v>
      </c>
      <c r="AF66" s="3" t="str">
        <f>IFERROR(MID(VLOOKUP($B66,Seqs!$A:$B,2,0),AG66,1),"")</f>
        <v>C</v>
      </c>
      <c r="AG66" s="3">
        <v>220</v>
      </c>
      <c r="AH66" s="3" t="str">
        <f>IFERROR(MID(VLOOKUP($B66,Seqs!$A:$B,2,0),AI66,1),"")</f>
        <v>I</v>
      </c>
      <c r="AI66" s="3">
        <v>222</v>
      </c>
      <c r="AJ66" s="3" t="str">
        <f>IFERROR(MID(VLOOKUP($B66,Seqs!$A:$B,2,0),AK66,1),"")</f>
        <v>E</v>
      </c>
      <c r="AK66" s="3">
        <v>227</v>
      </c>
      <c r="AL66" s="3" t="str">
        <f>IFERROR(MID(VLOOKUP($B66,Seqs!$A:$B,2,0),AM66,1),"")</f>
        <v>L</v>
      </c>
      <c r="AM66" s="3">
        <v>267</v>
      </c>
      <c r="AN66" s="3" t="str">
        <f>IFERROR(MID(VLOOKUP($B66,Seqs!$A:$B,2,0),AO66,1),"")</f>
        <v>R</v>
      </c>
      <c r="AO66" s="3">
        <v>479</v>
      </c>
      <c r="AP66" s="3" t="str">
        <f>IFERROR(MID(VLOOKUP($B66,Seqs!$A:$B,2,0),AQ66,1),"")</f>
        <v>C</v>
      </c>
      <c r="AQ66" s="3">
        <v>516</v>
      </c>
      <c r="AR66" s="3" t="str">
        <f>IFERROR(MID(VLOOKUP($B66,Seqs!$A:$B,2,0),AS66,1),"")</f>
        <v>P</v>
      </c>
      <c r="AS66" s="3">
        <v>521</v>
      </c>
      <c r="AT66" s="3" t="str">
        <f>IFERROR(MID(VLOOKUP($B66,Seqs!$A:$B,2,0),AU66,1),"")</f>
        <v>C</v>
      </c>
      <c r="AU66" s="3">
        <v>546</v>
      </c>
      <c r="AV66" s="3" t="str">
        <f>IFERROR(MID(VLOOKUP($B66,Seqs!$A:$B,2,0),AW66,1),"")</f>
        <v>N</v>
      </c>
      <c r="AW66" s="3">
        <v>547</v>
      </c>
      <c r="AX66" s="3" t="str">
        <f>IFERROR(MID(VLOOKUP($B66,Seqs!$A:$B,2,0),AY66,1),"")</f>
        <v>L</v>
      </c>
      <c r="AY66" s="3">
        <v>558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40"/>
        <v>1</v>
      </c>
      <c r="BC66" s="23">
        <f t="shared" si="85"/>
        <v>267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86"/>
        <v>64</v>
      </c>
      <c r="BW66" s="71">
        <f t="shared" si="87"/>
        <v>96</v>
      </c>
      <c r="BX66" s="72">
        <f t="shared" si="88"/>
        <v>100</v>
      </c>
      <c r="BY66" s="71">
        <f t="shared" si="89"/>
        <v>132</v>
      </c>
      <c r="BZ66" s="72">
        <f t="shared" si="90"/>
        <v>136</v>
      </c>
      <c r="CA66" s="71">
        <f t="shared" si="91"/>
        <v>172</v>
      </c>
      <c r="CB66" s="72">
        <f t="shared" si="92"/>
        <v>180</v>
      </c>
      <c r="CC66" s="71">
        <f t="shared" si="93"/>
        <v>220</v>
      </c>
      <c r="CD66" s="72">
        <f t="shared" si="94"/>
        <v>227</v>
      </c>
      <c r="CE66" s="71">
        <f t="shared" si="95"/>
        <v>479</v>
      </c>
      <c r="CF66" s="72">
        <f t="shared" si="96"/>
        <v>521</v>
      </c>
      <c r="CG66" s="71">
        <f t="shared" si="97"/>
        <v>547</v>
      </c>
      <c r="CH66" s="70">
        <f t="shared" si="98"/>
        <v>95</v>
      </c>
      <c r="CI66" s="71">
        <f t="shared" si="99"/>
        <v>99</v>
      </c>
      <c r="CJ66" s="72">
        <f t="shared" si="100"/>
        <v>130</v>
      </c>
      <c r="CK66" s="72">
        <f t="shared" si="101"/>
        <v>135</v>
      </c>
      <c r="CL66" s="72">
        <f t="shared" si="102"/>
        <v>171</v>
      </c>
      <c r="CM66" s="72">
        <f t="shared" si="103"/>
        <v>179</v>
      </c>
      <c r="CN66" s="72">
        <f t="shared" si="104"/>
        <v>211</v>
      </c>
      <c r="CO66" s="72">
        <f t="shared" si="105"/>
        <v>222</v>
      </c>
      <c r="CP66" s="72">
        <f t="shared" si="106"/>
        <v>267</v>
      </c>
      <c r="CQ66" s="72">
        <f t="shared" si="107"/>
        <v>516</v>
      </c>
      <c r="CR66" s="72">
        <f t="shared" si="108"/>
        <v>546</v>
      </c>
      <c r="CS66" s="72">
        <f t="shared" si="109"/>
        <v>558</v>
      </c>
      <c r="CT66" s="23">
        <f t="shared" si="110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139"/>
        <v>acm3_rat_4U15</v>
      </c>
      <c r="B67" s="3" t="s">
        <v>910</v>
      </c>
      <c r="C67" s="3" t="s">
        <v>71</v>
      </c>
      <c r="D67" s="3" t="str">
        <f>IFERROR(MID(VLOOKUP($B67,Seqs!$A:$B,2,0),E67,1),"")</f>
        <v>I</v>
      </c>
      <c r="E67" s="3">
        <v>64</v>
      </c>
      <c r="F67" s="3" t="str">
        <f>IFERROR(MID(VLOOKUP($B67,Seqs!$A:$B,2,0),G67,1),"")</f>
        <v>N</v>
      </c>
      <c r="G67" s="3">
        <v>95</v>
      </c>
      <c r="H67" s="3" t="str">
        <f>IFERROR(MID(VLOOKUP($B67,Seqs!$A:$B,2,0),I67,1),"")</f>
        <v>K</v>
      </c>
      <c r="I67" s="23">
        <v>96</v>
      </c>
      <c r="J67" s="3" t="str">
        <f>IFERROR(MID(VLOOKUP($B67,Seqs!$A:$B,2,0),K67,1),"")</f>
        <v>K</v>
      </c>
      <c r="K67" s="23">
        <v>99</v>
      </c>
      <c r="L67" s="3" t="str">
        <f>IFERROR(MID(VLOOKUP($B67,Seqs!$A:$B,2,0),M67,1),"")</f>
        <v>T</v>
      </c>
      <c r="M67" s="3">
        <v>100</v>
      </c>
      <c r="N67" s="3" t="str">
        <f>IFERROR(MID(VLOOKUP($B67,Seqs!$A:$B,2,0),O67,1),"")</f>
        <v>M</v>
      </c>
      <c r="O67" s="3">
        <v>130</v>
      </c>
      <c r="P67" s="3" t="str">
        <f>IFERROR(MID(VLOOKUP($B67,Seqs!$A:$B,2,0),Q67,1),"")</f>
        <v>R</v>
      </c>
      <c r="Q67" s="3">
        <v>132</v>
      </c>
      <c r="R67" s="3" t="str">
        <f>IFERROR(MID(VLOOKUP($B67,Seqs!$A:$B,2,0),S67,1),"")</f>
        <v>L</v>
      </c>
      <c r="S67" s="3">
        <v>135</v>
      </c>
      <c r="T67" s="3" t="str">
        <f>IFERROR(MID(VLOOKUP($B67,Seqs!$A:$B,2,0),U67,1),"")</f>
        <v>G</v>
      </c>
      <c r="U67" s="3">
        <v>136</v>
      </c>
      <c r="V67" s="3" t="str">
        <f>IFERROR(MID(VLOOKUP($B67,Seqs!$A:$B,2,0),W67,1),"")</f>
        <v>R</v>
      </c>
      <c r="W67" s="3">
        <v>171</v>
      </c>
      <c r="X67" s="3" t="str">
        <f>IFERROR(MID(VLOOKUP($B67,Seqs!$A:$B,2,0),Y67,1),"")</f>
        <v>P</v>
      </c>
      <c r="Y67" s="3">
        <v>172</v>
      </c>
      <c r="Z67" s="3" t="str">
        <f>IFERROR(MID(VLOOKUP($B67,Seqs!$A:$B,2,0),AA67,1),"")</f>
        <v>R</v>
      </c>
      <c r="AA67" s="3">
        <v>179</v>
      </c>
      <c r="AB67" s="3" t="str">
        <f>IFERROR(MID(VLOOKUP($B67,Seqs!$A:$B,2,0),AC67,1),"")</f>
        <v>T</v>
      </c>
      <c r="AC67" s="9">
        <v>180</v>
      </c>
      <c r="AD67" s="3" t="str">
        <f>IFERROR(MID(VLOOKUP($B67,Seqs!$A:$B,2,0),AE67,1),"")</f>
        <v>G</v>
      </c>
      <c r="AE67" s="3">
        <v>211</v>
      </c>
      <c r="AF67" s="3" t="str">
        <f>IFERROR(MID(VLOOKUP($B67,Seqs!$A:$B,2,0),AG67,1),"")</f>
        <v>C</v>
      </c>
      <c r="AG67" s="3">
        <v>220</v>
      </c>
      <c r="AH67" s="3" t="str">
        <f>IFERROR(MID(VLOOKUP($B67,Seqs!$A:$B,2,0),AI67,1),"")</f>
        <v>I</v>
      </c>
      <c r="AI67" s="3">
        <v>222</v>
      </c>
      <c r="AJ67" s="3" t="str">
        <f>IFERROR(MID(VLOOKUP($B67,Seqs!$A:$B,2,0),AK67,1),"")</f>
        <v>E</v>
      </c>
      <c r="AK67" s="3">
        <v>227</v>
      </c>
      <c r="AL67" s="3" t="str">
        <f>IFERROR(MID(VLOOKUP($B67,Seqs!$A:$B,2,0),AM67,1),"")</f>
        <v>K</v>
      </c>
      <c r="AM67" s="3">
        <v>259</v>
      </c>
      <c r="AN67" s="3" t="str">
        <f>IFERROR(MID(VLOOKUP($B67,Seqs!$A:$B,2,0),AO67,1),"")</f>
        <v>I</v>
      </c>
      <c r="AO67" s="3">
        <v>483</v>
      </c>
      <c r="AP67" s="3" t="str">
        <f>IFERROR(MID(VLOOKUP($B67,Seqs!$A:$B,2,0),AQ67,1),"")</f>
        <v>C</v>
      </c>
      <c r="AQ67" s="3">
        <v>516</v>
      </c>
      <c r="AR67" s="3" t="str">
        <f>IFERROR(MID(VLOOKUP($B67,Seqs!$A:$B,2,0),AS67,1),"")</f>
        <v>P</v>
      </c>
      <c r="AS67" s="3">
        <v>521</v>
      </c>
      <c r="AT67" s="3" t="str">
        <f>IFERROR(MID(VLOOKUP($B67,Seqs!$A:$B,2,0),AU67,1),"")</f>
        <v>C</v>
      </c>
      <c r="AU67" s="3">
        <v>546</v>
      </c>
      <c r="AV67" s="3" t="str">
        <f>IFERROR(MID(VLOOKUP($B67,Seqs!$A:$B,2,0),AW67,1),"")</f>
        <v>N</v>
      </c>
      <c r="AW67" s="3">
        <v>547</v>
      </c>
      <c r="AX67" s="3" t="str">
        <f>IFERROR(MID(VLOOKUP($B67,Seqs!$A:$B,2,0),AY67,1),"")</f>
        <v>L</v>
      </c>
      <c r="AY67" s="3">
        <v>558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si="140"/>
        <v>1</v>
      </c>
      <c r="BC67" s="23">
        <f t="shared" si="85"/>
        <v>255</v>
      </c>
      <c r="BD67" s="16" t="s">
        <v>1383</v>
      </c>
      <c r="BE67" s="3" t="s">
        <v>1381</v>
      </c>
      <c r="BF67" s="119">
        <v>2.8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86"/>
        <v>64</v>
      </c>
      <c r="BW67" s="71">
        <f t="shared" si="87"/>
        <v>96</v>
      </c>
      <c r="BX67" s="72">
        <f t="shared" si="88"/>
        <v>100</v>
      </c>
      <c r="BY67" s="71">
        <f t="shared" si="89"/>
        <v>132</v>
      </c>
      <c r="BZ67" s="72">
        <f t="shared" si="90"/>
        <v>136</v>
      </c>
      <c r="CA67" s="71">
        <f t="shared" si="91"/>
        <v>172</v>
      </c>
      <c r="CB67" s="72">
        <f t="shared" si="92"/>
        <v>180</v>
      </c>
      <c r="CC67" s="71">
        <f t="shared" si="93"/>
        <v>220</v>
      </c>
      <c r="CD67" s="72">
        <f t="shared" si="94"/>
        <v>227</v>
      </c>
      <c r="CE67" s="71">
        <f t="shared" si="95"/>
        <v>483</v>
      </c>
      <c r="CF67" s="72">
        <f t="shared" si="96"/>
        <v>521</v>
      </c>
      <c r="CG67" s="71">
        <f t="shared" si="97"/>
        <v>547</v>
      </c>
      <c r="CH67" s="70">
        <f t="shared" si="98"/>
        <v>95</v>
      </c>
      <c r="CI67" s="71">
        <f t="shared" si="99"/>
        <v>99</v>
      </c>
      <c r="CJ67" s="72">
        <f t="shared" si="100"/>
        <v>130</v>
      </c>
      <c r="CK67" s="72">
        <f t="shared" si="101"/>
        <v>135</v>
      </c>
      <c r="CL67" s="72">
        <f t="shared" si="102"/>
        <v>171</v>
      </c>
      <c r="CM67" s="72">
        <f t="shared" si="103"/>
        <v>179</v>
      </c>
      <c r="CN67" s="72">
        <f t="shared" si="104"/>
        <v>211</v>
      </c>
      <c r="CO67" s="72">
        <f t="shared" si="105"/>
        <v>222</v>
      </c>
      <c r="CP67" s="72">
        <f t="shared" si="106"/>
        <v>259</v>
      </c>
      <c r="CQ67" s="72">
        <f t="shared" si="107"/>
        <v>516</v>
      </c>
      <c r="CR67" s="72">
        <f t="shared" si="108"/>
        <v>546</v>
      </c>
      <c r="CS67" s="72">
        <f t="shared" si="109"/>
        <v>558</v>
      </c>
      <c r="CT67" s="23">
        <f t="shared" si="110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139"/>
        <v>acm3_rat_4U16</v>
      </c>
      <c r="B68" s="3" t="s">
        <v>910</v>
      </c>
      <c r="C68" s="3" t="s">
        <v>1054</v>
      </c>
      <c r="D68" s="3" t="str">
        <f>IFERROR(MID(VLOOKUP($B68,Seqs!$A:$B,2,0),E68,1),"")</f>
        <v>I</v>
      </c>
      <c r="E68" s="3">
        <v>64</v>
      </c>
      <c r="F68" s="3" t="str">
        <f>IFERROR(MID(VLOOKUP($B68,Seqs!$A:$B,2,0),G68,1),"")</f>
        <v>N</v>
      </c>
      <c r="G68" s="3">
        <v>95</v>
      </c>
      <c r="H68" s="3" t="str">
        <f>IFERROR(MID(VLOOKUP($B68,Seqs!$A:$B,2,0),I68,1),"")</f>
        <v>K</v>
      </c>
      <c r="I68" s="23">
        <v>96</v>
      </c>
      <c r="J68" s="3" t="str">
        <f>IFERROR(MID(VLOOKUP($B68,Seqs!$A:$B,2,0),K68,1),"")</f>
        <v>K</v>
      </c>
      <c r="K68" s="23">
        <v>99</v>
      </c>
      <c r="L68" s="3" t="str">
        <f>IFERROR(MID(VLOOKUP($B68,Seqs!$A:$B,2,0),M68,1),"")</f>
        <v>T</v>
      </c>
      <c r="M68" s="3">
        <v>100</v>
      </c>
      <c r="N68" s="3" t="str">
        <f>IFERROR(MID(VLOOKUP($B68,Seqs!$A:$B,2,0),O68,1),"")</f>
        <v>M</v>
      </c>
      <c r="O68" s="3">
        <v>130</v>
      </c>
      <c r="P68" s="3" t="str">
        <f>IFERROR(MID(VLOOKUP($B68,Seqs!$A:$B,2,0),Q68,1),"")</f>
        <v>R</v>
      </c>
      <c r="Q68" s="3">
        <v>132</v>
      </c>
      <c r="R68" s="3" t="str">
        <f>IFERROR(MID(VLOOKUP($B68,Seqs!$A:$B,2,0),S68,1),"")</f>
        <v>L</v>
      </c>
      <c r="S68" s="3">
        <v>135</v>
      </c>
      <c r="T68" s="3" t="str">
        <f>IFERROR(MID(VLOOKUP($B68,Seqs!$A:$B,2,0),U68,1),"")</f>
        <v>G</v>
      </c>
      <c r="U68" s="3">
        <v>136</v>
      </c>
      <c r="V68" s="3" t="str">
        <f>IFERROR(MID(VLOOKUP($B68,Seqs!$A:$B,2,0),W68,1),"")</f>
        <v>R</v>
      </c>
      <c r="W68" s="3">
        <v>171</v>
      </c>
      <c r="X68" s="3" t="str">
        <f>IFERROR(MID(VLOOKUP($B68,Seqs!$A:$B,2,0),Y68,1),"")</f>
        <v>P</v>
      </c>
      <c r="Y68" s="3">
        <v>172</v>
      </c>
      <c r="Z68" s="3" t="str">
        <f>IFERROR(MID(VLOOKUP($B68,Seqs!$A:$B,2,0),AA68,1),"")</f>
        <v>R</v>
      </c>
      <c r="AA68" s="3">
        <v>179</v>
      </c>
      <c r="AB68" s="3" t="str">
        <f>IFERROR(MID(VLOOKUP($B68,Seqs!$A:$B,2,0),AC68,1),"")</f>
        <v>T</v>
      </c>
      <c r="AC68" s="9">
        <v>180</v>
      </c>
      <c r="AD68" s="3" t="str">
        <f>IFERROR(MID(VLOOKUP($B68,Seqs!$A:$B,2,0),AE68,1),"")</f>
        <v>G</v>
      </c>
      <c r="AE68" s="3">
        <v>211</v>
      </c>
      <c r="AF68" s="3" t="str">
        <f>IFERROR(MID(VLOOKUP($B68,Seqs!$A:$B,2,0),AG68,1),"")</f>
        <v>C</v>
      </c>
      <c r="AG68" s="3">
        <v>220</v>
      </c>
      <c r="AH68" s="3" t="str">
        <f>IFERROR(MID(VLOOKUP($B68,Seqs!$A:$B,2,0),AI68,1),"")</f>
        <v>I</v>
      </c>
      <c r="AI68" s="3">
        <v>222</v>
      </c>
      <c r="AJ68" s="3" t="str">
        <f>IFERROR(MID(VLOOKUP($B68,Seqs!$A:$B,2,0),AK68,1),"")</f>
        <v>E</v>
      </c>
      <c r="AK68" s="3">
        <v>227</v>
      </c>
      <c r="AL68" s="3" t="str">
        <f>IFERROR(MID(VLOOKUP($B68,Seqs!$A:$B,2,0),AM68,1),"")</f>
        <v>K</v>
      </c>
      <c r="AM68" s="3">
        <v>259</v>
      </c>
      <c r="AN68" s="3" t="str">
        <f>IFERROR(MID(VLOOKUP($B68,Seqs!$A:$B,2,0),AO68,1),"")</f>
        <v>I</v>
      </c>
      <c r="AO68" s="3">
        <v>483</v>
      </c>
      <c r="AP68" s="3" t="str">
        <f>IFERROR(MID(VLOOKUP($B68,Seqs!$A:$B,2,0),AQ68,1),"")</f>
        <v>C</v>
      </c>
      <c r="AQ68" s="3">
        <v>516</v>
      </c>
      <c r="AR68" s="3" t="str">
        <f>IFERROR(MID(VLOOKUP($B68,Seqs!$A:$B,2,0),AS68,1),"")</f>
        <v>P</v>
      </c>
      <c r="AS68" s="3">
        <v>521</v>
      </c>
      <c r="AT68" s="3" t="str">
        <f>IFERROR(MID(VLOOKUP($B68,Seqs!$A:$B,2,0),AU68,1),"")</f>
        <v>C</v>
      </c>
      <c r="AU68" s="3">
        <v>546</v>
      </c>
      <c r="AV68" s="3" t="str">
        <f>IFERROR(MID(VLOOKUP($B68,Seqs!$A:$B,2,0),AW68,1),"")</f>
        <v/>
      </c>
      <c r="AW68" s="3" t="s">
        <v>23</v>
      </c>
      <c r="AX68" s="3" t="str">
        <f>IFERROR(MID(VLOOKUP($B68,Seqs!$A:$B,2,0),AY68,1),"")</f>
        <v/>
      </c>
      <c r="AY68" s="3" t="s">
        <v>23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140"/>
        <v>1</v>
      </c>
      <c r="BC68" s="23">
        <f t="shared" si="85"/>
        <v>244</v>
      </c>
      <c r="BD68" s="4" t="s">
        <v>23</v>
      </c>
      <c r="BE68" s="3" t="s">
        <v>1381</v>
      </c>
      <c r="BF68" s="119">
        <v>3.7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86"/>
        <v>64</v>
      </c>
      <c r="BW68" s="71">
        <f t="shared" si="87"/>
        <v>96</v>
      </c>
      <c r="BX68" s="72">
        <f t="shared" si="88"/>
        <v>100</v>
      </c>
      <c r="BY68" s="71">
        <f t="shared" si="89"/>
        <v>132</v>
      </c>
      <c r="BZ68" s="72">
        <f t="shared" si="90"/>
        <v>136</v>
      </c>
      <c r="CA68" s="71">
        <f t="shared" si="91"/>
        <v>172</v>
      </c>
      <c r="CB68" s="72">
        <f t="shared" si="92"/>
        <v>180</v>
      </c>
      <c r="CC68" s="71">
        <f t="shared" si="93"/>
        <v>220</v>
      </c>
      <c r="CD68" s="72">
        <f t="shared" si="94"/>
        <v>227</v>
      </c>
      <c r="CE68" s="71">
        <f t="shared" si="95"/>
        <v>483</v>
      </c>
      <c r="CF68" s="72">
        <f t="shared" si="96"/>
        <v>521</v>
      </c>
      <c r="CG68" s="71" t="str">
        <f t="shared" si="97"/>
        <v>-</v>
      </c>
      <c r="CH68" s="70">
        <f t="shared" si="98"/>
        <v>95</v>
      </c>
      <c r="CI68" s="71">
        <f t="shared" si="99"/>
        <v>99</v>
      </c>
      <c r="CJ68" s="72">
        <f t="shared" si="100"/>
        <v>130</v>
      </c>
      <c r="CK68" s="72">
        <f t="shared" si="101"/>
        <v>135</v>
      </c>
      <c r="CL68" s="72">
        <f t="shared" si="102"/>
        <v>171</v>
      </c>
      <c r="CM68" s="72">
        <f t="shared" si="103"/>
        <v>179</v>
      </c>
      <c r="CN68" s="72">
        <f t="shared" si="104"/>
        <v>211</v>
      </c>
      <c r="CO68" s="72">
        <f t="shared" si="105"/>
        <v>222</v>
      </c>
      <c r="CP68" s="72">
        <f t="shared" si="106"/>
        <v>259</v>
      </c>
      <c r="CQ68" s="72">
        <f t="shared" si="107"/>
        <v>516</v>
      </c>
      <c r="CR68" s="72">
        <f t="shared" si="108"/>
        <v>546</v>
      </c>
      <c r="CS68" s="72" t="str">
        <f t="shared" si="109"/>
        <v>-</v>
      </c>
      <c r="CT68" s="23">
        <f t="shared" si="110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139"/>
        <v>acm4_human__wt</v>
      </c>
      <c r="B69" s="3" t="s">
        <v>149</v>
      </c>
      <c r="C69" s="3" t="s">
        <v>100</v>
      </c>
      <c r="D69" s="3" t="str">
        <f>IFERROR(MID(VLOOKUP($B69,Seqs!$A:$B,2,0),E69,1),"")</f>
        <v>R</v>
      </c>
      <c r="E69" s="3">
        <v>26</v>
      </c>
      <c r="F69" s="3" t="str">
        <f>IFERROR(MID(VLOOKUP($B69,Seqs!$A:$B,2,0),G69,1),"")</f>
        <v>N</v>
      </c>
      <c r="G69" s="3">
        <v>60</v>
      </c>
      <c r="H69" s="3" t="str">
        <f>IFERROR(MID(VLOOKUP($B69,Seqs!$A:$B,2,0),I69,1),"")</f>
        <v>R</v>
      </c>
      <c r="I69" s="23">
        <v>61</v>
      </c>
      <c r="J69" s="3" t="str">
        <f>IFERROR(MID(VLOOKUP($B69,Seqs!$A:$B,2,0),K69,1),"")</f>
        <v>Q</v>
      </c>
      <c r="K69" s="23">
        <v>64</v>
      </c>
      <c r="L69" s="3" t="str">
        <f>IFERROR(MID(VLOOKUP($B69,Seqs!$A:$B,2,0),M69,1),"")</f>
        <v>T</v>
      </c>
      <c r="M69" s="3">
        <v>65</v>
      </c>
      <c r="N69" s="3" t="str">
        <f>IFERROR(MID(VLOOKUP($B69,Seqs!$A:$B,2,0),O69,1),"")</f>
        <v>K</v>
      </c>
      <c r="O69" s="3">
        <v>95</v>
      </c>
      <c r="P69" s="3" t="str">
        <f>IFERROR(MID(VLOOKUP($B69,Seqs!$A:$B,2,0),Q69,1),"")</f>
        <v>Y</v>
      </c>
      <c r="Q69" s="3">
        <v>97</v>
      </c>
      <c r="R69" s="3" t="str">
        <f>IFERROR(MID(VLOOKUP($B69,Seqs!$A:$B,2,0),S69,1),"")</f>
        <v>L</v>
      </c>
      <c r="S69" s="3">
        <v>100</v>
      </c>
      <c r="T69" s="3" t="str">
        <f>IFERROR(MID(VLOOKUP($B69,Seqs!$A:$B,2,0),U69,1),"")</f>
        <v>G</v>
      </c>
      <c r="U69" s="3">
        <v>101</v>
      </c>
      <c r="V69" s="3" t="str">
        <f>IFERROR(MID(VLOOKUP($B69,Seqs!$A:$B,2,0),W69,1),"")</f>
        <v>K</v>
      </c>
      <c r="W69" s="3">
        <v>136</v>
      </c>
      <c r="X69" s="3" t="str">
        <f>IFERROR(MID(VLOOKUP($B69,Seqs!$A:$B,2,0),Y69,1),"")</f>
        <v>P</v>
      </c>
      <c r="Y69" s="3">
        <v>137</v>
      </c>
      <c r="Z69" s="3" t="str">
        <f>IFERROR(MID(VLOOKUP($B69,Seqs!$A:$B,2,0),AA69,1),"")</f>
        <v>R</v>
      </c>
      <c r="AA69" s="3">
        <v>144</v>
      </c>
      <c r="AB69" s="3" t="str">
        <f>IFERROR(MID(VLOOKUP($B69,Seqs!$A:$B,2,0),AC69,1),"")</f>
        <v>T</v>
      </c>
      <c r="AC69" s="9">
        <v>145</v>
      </c>
      <c r="AD69" s="3" t="str">
        <f>IFERROR(MID(VLOOKUP($B69,Seqs!$A:$B,2,0),AE69,1),"")</f>
        <v>G</v>
      </c>
      <c r="AE69" s="3">
        <v>176</v>
      </c>
      <c r="AF69" s="3" t="str">
        <f>IFERROR(MID(VLOOKUP($B69,Seqs!$A:$B,2,0),AG69,1),"")</f>
        <v>C</v>
      </c>
      <c r="AG69" s="3">
        <v>185</v>
      </c>
      <c r="AH69" s="3" t="str">
        <f>IFERROR(MID(VLOOKUP($B69,Seqs!$A:$B,2,0),AI69,1),"")</f>
        <v>I</v>
      </c>
      <c r="AI69" s="3">
        <v>187</v>
      </c>
      <c r="AJ69" s="3" t="str">
        <f>IFERROR(MID(VLOOKUP($B69,Seqs!$A:$B,2,0),AK69,1),"")</f>
        <v>N</v>
      </c>
      <c r="AK69" s="3">
        <v>192</v>
      </c>
      <c r="AL69" s="3" t="str">
        <f>IFERROR(MID(VLOOKUP($B69,Seqs!$A:$B,2,0),AM69,1),"")</f>
        <v>E</v>
      </c>
      <c r="AM69" s="3">
        <v>232</v>
      </c>
      <c r="AN69" s="3" t="str">
        <f>IFERROR(MID(VLOOKUP($B69,Seqs!$A:$B,2,0),AO69,1),"")</f>
        <v>R</v>
      </c>
      <c r="AO69" s="3">
        <v>389</v>
      </c>
      <c r="AP69" s="3" t="str">
        <f>IFERROR(MID(VLOOKUP($B69,Seqs!$A:$B,2,0),AQ69,1),"")</f>
        <v>C</v>
      </c>
      <c r="AQ69" s="3">
        <v>426</v>
      </c>
      <c r="AR69" s="3" t="str">
        <f>IFERROR(MID(VLOOKUP($B69,Seqs!$A:$B,2,0),AS69,1),"")</f>
        <v>P</v>
      </c>
      <c r="AS69" s="3">
        <v>431</v>
      </c>
      <c r="AT69" s="3" t="str">
        <f>IFERROR(MID(VLOOKUP($B69,Seqs!$A:$B,2,0),AU69,1),"")</f>
        <v>C</v>
      </c>
      <c r="AU69" s="3">
        <v>456</v>
      </c>
      <c r="AV69" s="3" t="str">
        <f>IFERROR(MID(VLOOKUP($B69,Seqs!$A:$B,2,0),AW69,1),"")</f>
        <v>N</v>
      </c>
      <c r="AW69" s="3">
        <v>457</v>
      </c>
      <c r="AX69" s="3" t="str">
        <f>IFERROR(MID(VLOOKUP($B69,Seqs!$A:$B,2,0),AY69,1),"")</f>
        <v>L</v>
      </c>
      <c r="AY69" s="3">
        <v>469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40"/>
        <v>1</v>
      </c>
      <c r="BC69" s="23">
        <f t="shared" si="85"/>
        <v>271</v>
      </c>
      <c r="BD69" s="34" t="s">
        <v>1379</v>
      </c>
      <c r="BE69" s="3" t="s">
        <v>23</v>
      </c>
      <c r="BF69" s="119" t="s">
        <v>23</v>
      </c>
      <c r="BG69" s="49" t="s">
        <v>1379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86"/>
        <v>26</v>
      </c>
      <c r="BW69" s="71">
        <f t="shared" si="87"/>
        <v>61</v>
      </c>
      <c r="BX69" s="72">
        <f t="shared" si="88"/>
        <v>65</v>
      </c>
      <c r="BY69" s="71">
        <f t="shared" si="89"/>
        <v>97</v>
      </c>
      <c r="BZ69" s="72">
        <f t="shared" si="90"/>
        <v>101</v>
      </c>
      <c r="CA69" s="71">
        <f t="shared" si="91"/>
        <v>137</v>
      </c>
      <c r="CB69" s="72">
        <f t="shared" si="92"/>
        <v>145</v>
      </c>
      <c r="CC69" s="71">
        <f t="shared" si="93"/>
        <v>185</v>
      </c>
      <c r="CD69" s="72">
        <f t="shared" si="94"/>
        <v>192</v>
      </c>
      <c r="CE69" s="71">
        <f t="shared" si="95"/>
        <v>389</v>
      </c>
      <c r="CF69" s="72">
        <f t="shared" si="96"/>
        <v>431</v>
      </c>
      <c r="CG69" s="71">
        <f t="shared" si="97"/>
        <v>457</v>
      </c>
      <c r="CH69" s="70">
        <f t="shared" si="98"/>
        <v>60</v>
      </c>
      <c r="CI69" s="71">
        <f t="shared" si="99"/>
        <v>64</v>
      </c>
      <c r="CJ69" s="72">
        <f t="shared" si="100"/>
        <v>95</v>
      </c>
      <c r="CK69" s="72">
        <f t="shared" si="101"/>
        <v>100</v>
      </c>
      <c r="CL69" s="72">
        <f t="shared" si="102"/>
        <v>136</v>
      </c>
      <c r="CM69" s="72">
        <f t="shared" si="103"/>
        <v>144</v>
      </c>
      <c r="CN69" s="72">
        <f t="shared" si="104"/>
        <v>176</v>
      </c>
      <c r="CO69" s="72">
        <f t="shared" si="105"/>
        <v>187</v>
      </c>
      <c r="CP69" s="72">
        <f t="shared" si="106"/>
        <v>232</v>
      </c>
      <c r="CQ69" s="72">
        <f t="shared" si="107"/>
        <v>426</v>
      </c>
      <c r="CR69" s="72">
        <f t="shared" si="108"/>
        <v>456</v>
      </c>
      <c r="CS69" s="72">
        <f t="shared" si="109"/>
        <v>469</v>
      </c>
      <c r="CT69" s="23">
        <f t="shared" si="11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139"/>
        <v>acm4_human_5DSG</v>
      </c>
      <c r="B70" s="3" t="s">
        <v>149</v>
      </c>
      <c r="C70" s="3" t="s">
        <v>61</v>
      </c>
      <c r="D70" s="3" t="str">
        <f>IFERROR(MID(VLOOKUP($B70,Seqs!$A:$B,2,0),E70,1),"")</f>
        <v>R</v>
      </c>
      <c r="E70" s="3">
        <v>26</v>
      </c>
      <c r="F70" s="3" t="str">
        <f>IFERROR(MID(VLOOKUP($B70,Seqs!$A:$B,2,0),G70,1),"")</f>
        <v>N</v>
      </c>
      <c r="G70" s="3">
        <v>60</v>
      </c>
      <c r="H70" s="3" t="str">
        <f>IFERROR(MID(VLOOKUP($B70,Seqs!$A:$B,2,0),I70,1),"")</f>
        <v>R</v>
      </c>
      <c r="I70" s="23">
        <v>61</v>
      </c>
      <c r="J70" s="3" t="str">
        <f>IFERROR(MID(VLOOKUP($B70,Seqs!$A:$B,2,0),K70,1),"")</f>
        <v>Q</v>
      </c>
      <c r="K70" s="23">
        <v>64</v>
      </c>
      <c r="L70" s="3" t="str">
        <f>IFERROR(MID(VLOOKUP($B70,Seqs!$A:$B,2,0),M70,1),"")</f>
        <v>T</v>
      </c>
      <c r="M70" s="3">
        <v>65</v>
      </c>
      <c r="N70" s="3" t="str">
        <f>IFERROR(MID(VLOOKUP($B70,Seqs!$A:$B,2,0),O70,1),"")</f>
        <v>K</v>
      </c>
      <c r="O70" s="3">
        <v>95</v>
      </c>
      <c r="P70" s="3" t="str">
        <f>IFERROR(MID(VLOOKUP($B70,Seqs!$A:$B,2,0),Q70,1),"")</f>
        <v>Y</v>
      </c>
      <c r="Q70" s="3">
        <v>97</v>
      </c>
      <c r="R70" s="3" t="str">
        <f>IFERROR(MID(VLOOKUP($B70,Seqs!$A:$B,2,0),S70,1),"")</f>
        <v>L</v>
      </c>
      <c r="S70" s="3">
        <v>100</v>
      </c>
      <c r="T70" s="3" t="str">
        <f>IFERROR(MID(VLOOKUP($B70,Seqs!$A:$B,2,0),U70,1),"")</f>
        <v>G</v>
      </c>
      <c r="U70" s="3">
        <v>101</v>
      </c>
      <c r="V70" s="3" t="str">
        <f>IFERROR(MID(VLOOKUP($B70,Seqs!$A:$B,2,0),W70,1),"")</f>
        <v>K</v>
      </c>
      <c r="W70" s="3">
        <v>136</v>
      </c>
      <c r="X70" s="3" t="str">
        <f>IFERROR(MID(VLOOKUP($B70,Seqs!$A:$B,2,0),Y70,1),"")</f>
        <v>P</v>
      </c>
      <c r="Y70" s="3">
        <v>137</v>
      </c>
      <c r="Z70" s="3" t="str">
        <f>IFERROR(MID(VLOOKUP($B70,Seqs!$A:$B,2,0),AA70,1),"")</f>
        <v>R</v>
      </c>
      <c r="AA70" s="3">
        <v>144</v>
      </c>
      <c r="AB70" s="3" t="str">
        <f>IFERROR(MID(VLOOKUP($B70,Seqs!$A:$B,2,0),AC70,1),"")</f>
        <v>T</v>
      </c>
      <c r="AC70" s="9">
        <v>145</v>
      </c>
      <c r="AD70" s="3" t="str">
        <f>IFERROR(MID(VLOOKUP($B70,Seqs!$A:$B,2,0),AE70,1),"")</f>
        <v>G</v>
      </c>
      <c r="AE70" s="3">
        <v>176</v>
      </c>
      <c r="AF70" s="3" t="str">
        <f>IFERROR(MID(VLOOKUP($B70,Seqs!$A:$B,2,0),AG70,1),"")</f>
        <v>C</v>
      </c>
      <c r="AG70" s="3">
        <v>185</v>
      </c>
      <c r="AH70" s="3" t="str">
        <f>IFERROR(MID(VLOOKUP($B70,Seqs!$A:$B,2,0),AI70,1),"")</f>
        <v>I</v>
      </c>
      <c r="AI70" s="3">
        <v>187</v>
      </c>
      <c r="AJ70" s="3" t="str">
        <f>IFERROR(MID(VLOOKUP($B70,Seqs!$A:$B,2,0),AK70,1),"")</f>
        <v>N</v>
      </c>
      <c r="AK70" s="3">
        <v>192</v>
      </c>
      <c r="AL70" s="3" t="str">
        <f>IFERROR(MID(VLOOKUP($B70,Seqs!$A:$B,2,0),AM70,1),"")</f>
        <v>L</v>
      </c>
      <c r="AM70" s="3">
        <v>220</v>
      </c>
      <c r="AN70" s="3" t="str">
        <f>IFERROR(MID(VLOOKUP($B70,Seqs!$A:$B,2,0),AO70,1),"")</f>
        <v>R</v>
      </c>
      <c r="AO70" s="3">
        <v>396</v>
      </c>
      <c r="AP70" s="3" t="str">
        <f>IFERROR(MID(VLOOKUP($B70,Seqs!$A:$B,2,0),AQ70,1),"")</f>
        <v>C</v>
      </c>
      <c r="AQ70" s="3">
        <v>426</v>
      </c>
      <c r="AR70" s="3" t="str">
        <f>IFERROR(MID(VLOOKUP($B70,Seqs!$A:$B,2,0),AS70,1),"")</f>
        <v>P</v>
      </c>
      <c r="AS70" s="3">
        <v>431</v>
      </c>
      <c r="AT70" s="3" t="str">
        <f>IFERROR(MID(VLOOKUP($B70,Seqs!$A:$B,2,0),AU70,1),"")</f>
        <v>C</v>
      </c>
      <c r="AU70" s="3">
        <v>456</v>
      </c>
      <c r="AV70" s="3" t="str">
        <f>IFERROR(MID(VLOOKUP($B70,Seqs!$A:$B,2,0),AW70,1),"")</f>
        <v>N</v>
      </c>
      <c r="AW70" s="3">
        <v>457</v>
      </c>
      <c r="AX70" s="3" t="str">
        <f>IFERROR(MID(VLOOKUP($B70,Seqs!$A:$B,2,0),AY70,1),"")</f>
        <v>L</v>
      </c>
      <c r="AY70" s="3">
        <v>469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40"/>
        <v>1</v>
      </c>
      <c r="BC70" s="23">
        <f t="shared" si="85"/>
        <v>252</v>
      </c>
      <c r="BD70" s="2" t="s">
        <v>1383</v>
      </c>
      <c r="BE70" s="3" t="s">
        <v>1381</v>
      </c>
      <c r="BF70" s="119">
        <v>2.6</v>
      </c>
      <c r="BG70" s="49" t="s">
        <v>1384</v>
      </c>
      <c r="BH70" s="49" t="s">
        <v>1384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86"/>
        <v>26</v>
      </c>
      <c r="BW70" s="71">
        <f t="shared" si="87"/>
        <v>61</v>
      </c>
      <c r="BX70" s="72">
        <f t="shared" si="88"/>
        <v>65</v>
      </c>
      <c r="BY70" s="71">
        <f t="shared" si="89"/>
        <v>97</v>
      </c>
      <c r="BZ70" s="72">
        <f t="shared" si="90"/>
        <v>101</v>
      </c>
      <c r="CA70" s="71">
        <f t="shared" si="91"/>
        <v>137</v>
      </c>
      <c r="CB70" s="72">
        <f t="shared" si="92"/>
        <v>145</v>
      </c>
      <c r="CC70" s="71">
        <f t="shared" si="93"/>
        <v>185</v>
      </c>
      <c r="CD70" s="72">
        <f t="shared" si="94"/>
        <v>192</v>
      </c>
      <c r="CE70" s="71">
        <f t="shared" si="95"/>
        <v>396</v>
      </c>
      <c r="CF70" s="72">
        <f t="shared" si="96"/>
        <v>431</v>
      </c>
      <c r="CG70" s="71">
        <f t="shared" si="97"/>
        <v>457</v>
      </c>
      <c r="CH70" s="70">
        <f t="shared" si="98"/>
        <v>60</v>
      </c>
      <c r="CI70" s="71">
        <f t="shared" si="99"/>
        <v>64</v>
      </c>
      <c r="CJ70" s="72">
        <f t="shared" si="100"/>
        <v>95</v>
      </c>
      <c r="CK70" s="72">
        <f t="shared" si="101"/>
        <v>100</v>
      </c>
      <c r="CL70" s="72">
        <f t="shared" si="102"/>
        <v>136</v>
      </c>
      <c r="CM70" s="72">
        <f t="shared" si="103"/>
        <v>144</v>
      </c>
      <c r="CN70" s="72">
        <f t="shared" si="104"/>
        <v>176</v>
      </c>
      <c r="CO70" s="72">
        <f t="shared" si="105"/>
        <v>187</v>
      </c>
      <c r="CP70" s="72">
        <f t="shared" si="106"/>
        <v>220</v>
      </c>
      <c r="CQ70" s="72">
        <f t="shared" si="107"/>
        <v>426</v>
      </c>
      <c r="CR70" s="72">
        <f t="shared" si="108"/>
        <v>456</v>
      </c>
      <c r="CS70" s="72">
        <f t="shared" si="109"/>
        <v>469</v>
      </c>
      <c r="CT70" s="23">
        <f t="shared" si="11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139"/>
        <v>adrb1_melga__wt</v>
      </c>
      <c r="B71" s="3" t="s">
        <v>912</v>
      </c>
      <c r="C71" s="3" t="s">
        <v>100</v>
      </c>
      <c r="D71" s="3" t="str">
        <f>IFERROR(MID(VLOOKUP($B71,Seqs!$A:$B,2,0),E71,1),"")</f>
        <v>A</v>
      </c>
      <c r="E71" s="3">
        <v>33</v>
      </c>
      <c r="F71" s="3" t="str">
        <f>IFERROR(MID(VLOOKUP($B71,Seqs!$A:$B,2,0),G71,1),"")</f>
        <v>T</v>
      </c>
      <c r="G71" s="3">
        <v>69</v>
      </c>
      <c r="H71" s="3" t="str">
        <f>IFERROR(MID(VLOOKUP($B71,Seqs!$A:$B,2,0),I71,1),"")</f>
        <v>Q</v>
      </c>
      <c r="I71" s="23">
        <v>70</v>
      </c>
      <c r="J71" s="3" t="str">
        <f>IFERROR(MID(VLOOKUP($B71,Seqs!$A:$B,2,0),K71,1),"")</f>
        <v>Q</v>
      </c>
      <c r="K71" s="23">
        <v>73</v>
      </c>
      <c r="L71" s="3" t="str">
        <f>IFERROR(MID(VLOOKUP($B71,Seqs!$A:$B,2,0),M71,1),"")</f>
        <v>T</v>
      </c>
      <c r="M71" s="3">
        <v>74</v>
      </c>
      <c r="N71" s="3" t="str">
        <f>IFERROR(MID(VLOOKUP($B71,Seqs!$A:$B,2,0),O71,1),"")</f>
        <v>R</v>
      </c>
      <c r="O71" s="3">
        <v>104</v>
      </c>
      <c r="P71" s="3" t="str">
        <f>IFERROR(MID(VLOOKUP($B71,Seqs!$A:$B,2,0),Q71,1),"")</f>
        <v>T</v>
      </c>
      <c r="Q71" s="3">
        <v>106</v>
      </c>
      <c r="R71" s="3" t="str">
        <f>IFERROR(MID(VLOOKUP($B71,Seqs!$A:$B,2,0),S71,1),"")</f>
        <v>W</v>
      </c>
      <c r="S71" s="3">
        <v>109</v>
      </c>
      <c r="T71" s="3" t="str">
        <f>IFERROR(MID(VLOOKUP($B71,Seqs!$A:$B,2,0),U71,1),"")</f>
        <v>G</v>
      </c>
      <c r="U71" s="3">
        <v>110</v>
      </c>
      <c r="V71" s="3" t="str">
        <f>IFERROR(MID(VLOOKUP($B71,Seqs!$A:$B,2,0),W71,1),"")</f>
        <v>S</v>
      </c>
      <c r="W71" s="3">
        <v>145</v>
      </c>
      <c r="X71" s="3" t="str">
        <f>IFERROR(MID(VLOOKUP($B71,Seqs!$A:$B,2,0),Y71,1),"")</f>
        <v>P</v>
      </c>
      <c r="Y71" s="3">
        <v>146</v>
      </c>
      <c r="Z71" s="3" t="str">
        <f>IFERROR(MID(VLOOKUP($B71,Seqs!$A:$B,2,0),AA71,1),"")</f>
        <v>M</v>
      </c>
      <c r="AA71" s="3">
        <v>153</v>
      </c>
      <c r="AB71" s="3" t="str">
        <f>IFERROR(MID(VLOOKUP($B71,Seqs!$A:$B,2,0),AC71,1),"")</f>
        <v>T</v>
      </c>
      <c r="AC71" s="9">
        <v>154</v>
      </c>
      <c r="AD71" s="3" t="str">
        <f>IFERROR(MID(VLOOKUP($B71,Seqs!$A:$B,2,0),AE71,1),"")</f>
        <v>H</v>
      </c>
      <c r="AE71" s="3">
        <v>180</v>
      </c>
      <c r="AF71" s="3" t="str">
        <f>IFERROR(MID(VLOOKUP($B71,Seqs!$A:$B,2,0),AG71,1),"")</f>
        <v>C</v>
      </c>
      <c r="AG71" s="3">
        <v>199</v>
      </c>
      <c r="AH71" s="3" t="str">
        <f>IFERROR(MID(VLOOKUP($B71,Seqs!$A:$B,2,0),AI71,1),"")</f>
        <v>F</v>
      </c>
      <c r="AI71" s="3">
        <v>201</v>
      </c>
      <c r="AJ71" s="3" t="str">
        <f>IFERROR(MID(VLOOKUP($B71,Seqs!$A:$B,2,0),AK71,1),"")</f>
        <v>N</v>
      </c>
      <c r="AK71" s="3">
        <v>204</v>
      </c>
      <c r="AL71" s="3" t="str">
        <f>IFERROR(MID(VLOOKUP($B71,Seqs!$A:$B,2,0),AM71,1),"")</f>
        <v>E</v>
      </c>
      <c r="AM71" s="3">
        <v>245</v>
      </c>
      <c r="AN71" s="3" t="str">
        <f>IFERROR(MID(VLOOKUP($B71,Seqs!$A:$B,2,0),AO71,1),"")</f>
        <v>R</v>
      </c>
      <c r="AO71" s="3">
        <v>275</v>
      </c>
      <c r="AP71" s="3" t="str">
        <f>IFERROR(MID(VLOOKUP($B71,Seqs!$A:$B,2,0),AQ71,1),"")</f>
        <v>N</v>
      </c>
      <c r="AQ71" s="3">
        <v>316</v>
      </c>
      <c r="AR71" s="3" t="str">
        <f>IFERROR(MID(VLOOKUP($B71,Seqs!$A:$B,2,0),AS71,1),"")</f>
        <v>P</v>
      </c>
      <c r="AS71" s="3">
        <v>321</v>
      </c>
      <c r="AT71" s="3" t="str">
        <f>IFERROR(MID(VLOOKUP($B71,Seqs!$A:$B,2,0),AU71,1),"")</f>
        <v>R</v>
      </c>
      <c r="AU71" s="3">
        <v>345</v>
      </c>
      <c r="AV71" s="3" t="str">
        <f>IFERROR(MID(VLOOKUP($B71,Seqs!$A:$B,2,0),AW71,1),"")</f>
        <v>S</v>
      </c>
      <c r="AW71" s="3">
        <v>346</v>
      </c>
      <c r="AX71" s="3" t="str">
        <f>IFERROR(MID(VLOOKUP($B71,Seqs!$A:$B,2,0),AY71,1),"")</f>
        <v>C</v>
      </c>
      <c r="AY71" s="3">
        <v>358</v>
      </c>
      <c r="AZ71" s="77" t="str">
        <f>VLOOKUP(B71,Classification!A:D,2,0)</f>
        <v>A</v>
      </c>
      <c r="BA71" s="94" t="str">
        <f>VLOOKUP(B71,Classification!A:D,4,0)</f>
        <v>Adrenoceptors</v>
      </c>
      <c r="BB71" s="27" t="b">
        <f t="shared" si="140"/>
        <v>1</v>
      </c>
      <c r="BC71" s="23">
        <f t="shared" si="85"/>
        <v>272</v>
      </c>
      <c r="BD71" s="34" t="s">
        <v>1379</v>
      </c>
      <c r="BE71" s="3" t="s">
        <v>23</v>
      </c>
      <c r="BF71" s="119" t="s">
        <v>23</v>
      </c>
      <c r="BG71" s="49" t="s">
        <v>1379</v>
      </c>
      <c r="BH71" s="49" t="s">
        <v>1384</v>
      </c>
      <c r="BI71" s="3" t="s">
        <v>1166</v>
      </c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86"/>
        <v>33</v>
      </c>
      <c r="BW71" s="71">
        <f t="shared" si="87"/>
        <v>70</v>
      </c>
      <c r="BX71" s="72">
        <f t="shared" si="88"/>
        <v>74</v>
      </c>
      <c r="BY71" s="71">
        <f t="shared" si="89"/>
        <v>106</v>
      </c>
      <c r="BZ71" s="72">
        <f t="shared" si="90"/>
        <v>110</v>
      </c>
      <c r="CA71" s="71">
        <f t="shared" si="91"/>
        <v>146</v>
      </c>
      <c r="CB71" s="72">
        <f t="shared" si="92"/>
        <v>154</v>
      </c>
      <c r="CC71" s="71">
        <f t="shared" si="93"/>
        <v>199</v>
      </c>
      <c r="CD71" s="72">
        <f t="shared" si="94"/>
        <v>204</v>
      </c>
      <c r="CE71" s="71">
        <f t="shared" si="95"/>
        <v>275</v>
      </c>
      <c r="CF71" s="72">
        <f t="shared" si="96"/>
        <v>321</v>
      </c>
      <c r="CG71" s="71">
        <f t="shared" si="97"/>
        <v>346</v>
      </c>
      <c r="CH71" s="70">
        <f t="shared" si="98"/>
        <v>69</v>
      </c>
      <c r="CI71" s="71">
        <f t="shared" si="99"/>
        <v>73</v>
      </c>
      <c r="CJ71" s="72">
        <f t="shared" si="100"/>
        <v>104</v>
      </c>
      <c r="CK71" s="72">
        <f t="shared" si="101"/>
        <v>109</v>
      </c>
      <c r="CL71" s="72">
        <f t="shared" si="102"/>
        <v>145</v>
      </c>
      <c r="CM71" s="72">
        <f t="shared" si="103"/>
        <v>153</v>
      </c>
      <c r="CN71" s="72">
        <f t="shared" si="104"/>
        <v>180</v>
      </c>
      <c r="CO71" s="72">
        <f t="shared" si="105"/>
        <v>201</v>
      </c>
      <c r="CP71" s="72">
        <f t="shared" si="106"/>
        <v>245</v>
      </c>
      <c r="CQ71" s="72">
        <f t="shared" si="107"/>
        <v>316</v>
      </c>
      <c r="CR71" s="72">
        <f t="shared" si="108"/>
        <v>345</v>
      </c>
      <c r="CS71" s="72">
        <f t="shared" si="109"/>
        <v>358</v>
      </c>
      <c r="CT71" s="23">
        <f t="shared" si="11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si="139"/>
        <v>adrb1_melga_2Y00</v>
      </c>
      <c r="B72" s="3" t="s">
        <v>912</v>
      </c>
      <c r="C72" s="3" t="s">
        <v>1023</v>
      </c>
      <c r="D72" s="3" t="str">
        <f>IFERROR(MID(VLOOKUP($B72,Seqs!$A:$B,2,0),E72,1),"")</f>
        <v>A</v>
      </c>
      <c r="E72" s="3">
        <v>33</v>
      </c>
      <c r="F72" s="3" t="str">
        <f>IFERROR(MID(VLOOKUP($B72,Seqs!$A:$B,2,0),G72,1),"")</f>
        <v>T</v>
      </c>
      <c r="G72" s="3">
        <v>69</v>
      </c>
      <c r="H72" s="3" t="str">
        <f>IFERROR(MID(VLOOKUP($B72,Seqs!$A:$B,2,0),I72,1),"")</f>
        <v>Q</v>
      </c>
      <c r="I72" s="23">
        <v>70</v>
      </c>
      <c r="J72" s="3" t="str">
        <f>IFERROR(MID(VLOOKUP($B72,Seqs!$A:$B,2,0),K72,1),"")</f>
        <v>Q</v>
      </c>
      <c r="K72" s="23">
        <v>73</v>
      </c>
      <c r="L72" s="3" t="str">
        <f>IFERROR(MID(VLOOKUP($B72,Seqs!$A:$B,2,0),M72,1),"")</f>
        <v>T</v>
      </c>
      <c r="M72" s="3">
        <v>74</v>
      </c>
      <c r="N72" s="3" t="str">
        <f>IFERROR(MID(VLOOKUP($B72,Seqs!$A:$B,2,0),O72,1),"")</f>
        <v>R</v>
      </c>
      <c r="O72" s="3">
        <v>104</v>
      </c>
      <c r="P72" s="3" t="str">
        <f>IFERROR(MID(VLOOKUP($B72,Seqs!$A:$B,2,0),Q72,1),"")</f>
        <v>T</v>
      </c>
      <c r="Q72" s="3">
        <v>106</v>
      </c>
      <c r="R72" s="3" t="str">
        <f>IFERROR(MID(VLOOKUP($B72,Seqs!$A:$B,2,0),S72,1),"")</f>
        <v>W</v>
      </c>
      <c r="S72" s="3">
        <v>109</v>
      </c>
      <c r="T72" s="3" t="str">
        <f>IFERROR(MID(VLOOKUP($B72,Seqs!$A:$B,2,0),U72,1),"")</f>
        <v>G</v>
      </c>
      <c r="U72" s="3">
        <v>110</v>
      </c>
      <c r="V72" s="3" t="str">
        <f>IFERROR(MID(VLOOKUP($B72,Seqs!$A:$B,2,0),W72,1),"")</f>
        <v>S</v>
      </c>
      <c r="W72" s="3">
        <v>145</v>
      </c>
      <c r="X72" s="3" t="str">
        <f>IFERROR(MID(VLOOKUP($B72,Seqs!$A:$B,2,0),Y72,1),"")</f>
        <v>P</v>
      </c>
      <c r="Y72" s="3">
        <v>146</v>
      </c>
      <c r="Z72" s="3" t="str">
        <f>IFERROR(MID(VLOOKUP($B72,Seqs!$A:$B,2,0),AA72,1),"")</f>
        <v>M</v>
      </c>
      <c r="AA72" s="3">
        <v>153</v>
      </c>
      <c r="AB72" s="3" t="str">
        <f>IFERROR(MID(VLOOKUP($B72,Seqs!$A:$B,2,0),AC72,1),"")</f>
        <v>T</v>
      </c>
      <c r="AC72" s="9">
        <v>154</v>
      </c>
      <c r="AD72" s="3" t="str">
        <f>IFERROR(MID(VLOOKUP($B72,Seqs!$A:$B,2,0),AE72,1),"")</f>
        <v>H</v>
      </c>
      <c r="AE72" s="3">
        <v>180</v>
      </c>
      <c r="AF72" s="3" t="str">
        <f>IFERROR(MID(VLOOKUP($B72,Seqs!$A:$B,2,0),AG72,1),"")</f>
        <v>C</v>
      </c>
      <c r="AG72" s="3">
        <v>199</v>
      </c>
      <c r="AH72" s="3" t="str">
        <f>IFERROR(MID(VLOOKUP($B72,Seqs!$A:$B,2,0),AI72,1),"")</f>
        <v>F</v>
      </c>
      <c r="AI72" s="3">
        <v>201</v>
      </c>
      <c r="AJ72" s="3" t="str">
        <f>IFERROR(MID(VLOOKUP($B72,Seqs!$A:$B,2,0),AK72,1),"")</f>
        <v>N</v>
      </c>
      <c r="AK72" s="3">
        <v>204</v>
      </c>
      <c r="AL72" s="3" t="str">
        <f>IFERROR(MID(VLOOKUP($B72,Seqs!$A:$B,2,0),AM72,1),"")</f>
        <v>I</v>
      </c>
      <c r="AM72" s="3">
        <v>238</v>
      </c>
      <c r="AN72" s="3" t="str">
        <f>IFERROR(MID(VLOOKUP($B72,Seqs!$A:$B,2,0),AO72,1),"")</f>
        <v>R</v>
      </c>
      <c r="AO72" s="3">
        <v>275</v>
      </c>
      <c r="AP72" s="3" t="str">
        <f>IFERROR(MID(VLOOKUP($B72,Seqs!$A:$B,2,0),AQ72,1),"")</f>
        <v>N</v>
      </c>
      <c r="AQ72" s="3">
        <v>316</v>
      </c>
      <c r="AR72" s="3" t="str">
        <f>IFERROR(MID(VLOOKUP($B72,Seqs!$A:$B,2,0),AS72,1),"")</f>
        <v>P</v>
      </c>
      <c r="AS72" s="3">
        <v>321</v>
      </c>
      <c r="AT72" s="3" t="str">
        <f>IFERROR(MID(VLOOKUP($B72,Seqs!$A:$B,2,0),AU72,1),"")</f>
        <v>R</v>
      </c>
      <c r="AU72" s="3">
        <v>345</v>
      </c>
      <c r="AV72" s="3" t="str">
        <f>IFERROR(MID(VLOOKUP($B72,Seqs!$A:$B,2,0),AW72,1),"")</f>
        <v>S</v>
      </c>
      <c r="AW72" s="3">
        <v>346</v>
      </c>
      <c r="AX72" s="3" t="str">
        <f>IFERROR(MID(VLOOKUP($B72,Seqs!$A:$B,2,0),AY72,1),"")</f>
        <v>C</v>
      </c>
      <c r="AY72" s="3">
        <v>358</v>
      </c>
      <c r="AZ72" s="77" t="str">
        <f>VLOOKUP(B72,Classification!A:D,2,0)</f>
        <v>A</v>
      </c>
      <c r="BA72" s="94" t="str">
        <f>VLOOKUP(B72,Classification!A:D,4,0)</f>
        <v>Adrenoceptors</v>
      </c>
      <c r="BB72" s="27" t="b">
        <f t="shared" si="140"/>
        <v>1</v>
      </c>
      <c r="BC72" s="23">
        <f t="shared" si="85"/>
        <v>265</v>
      </c>
      <c r="BD72" s="4" t="s">
        <v>23</v>
      </c>
      <c r="BE72" s="3" t="s">
        <v>1381</v>
      </c>
      <c r="BF72" s="119">
        <v>2.5</v>
      </c>
      <c r="BG72" s="49" t="s">
        <v>1384</v>
      </c>
      <c r="BH72" s="49" t="s">
        <v>1384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86"/>
        <v>33</v>
      </c>
      <c r="BW72" s="71">
        <f t="shared" si="87"/>
        <v>70</v>
      </c>
      <c r="BX72" s="72">
        <f t="shared" si="88"/>
        <v>74</v>
      </c>
      <c r="BY72" s="71">
        <f t="shared" si="89"/>
        <v>106</v>
      </c>
      <c r="BZ72" s="72">
        <f t="shared" si="90"/>
        <v>110</v>
      </c>
      <c r="CA72" s="71">
        <f t="shared" si="91"/>
        <v>146</v>
      </c>
      <c r="CB72" s="72">
        <f t="shared" si="92"/>
        <v>154</v>
      </c>
      <c r="CC72" s="71">
        <f t="shared" si="93"/>
        <v>199</v>
      </c>
      <c r="CD72" s="72">
        <f t="shared" si="94"/>
        <v>204</v>
      </c>
      <c r="CE72" s="71">
        <f t="shared" si="95"/>
        <v>275</v>
      </c>
      <c r="CF72" s="72">
        <f t="shared" si="96"/>
        <v>321</v>
      </c>
      <c r="CG72" s="71">
        <f t="shared" si="97"/>
        <v>346</v>
      </c>
      <c r="CH72" s="70">
        <f t="shared" si="98"/>
        <v>69</v>
      </c>
      <c r="CI72" s="71">
        <f t="shared" si="99"/>
        <v>73</v>
      </c>
      <c r="CJ72" s="72">
        <f t="shared" si="100"/>
        <v>104</v>
      </c>
      <c r="CK72" s="72">
        <f t="shared" si="101"/>
        <v>109</v>
      </c>
      <c r="CL72" s="72">
        <f t="shared" si="102"/>
        <v>145</v>
      </c>
      <c r="CM72" s="72">
        <f t="shared" si="103"/>
        <v>153</v>
      </c>
      <c r="CN72" s="72">
        <f t="shared" si="104"/>
        <v>180</v>
      </c>
      <c r="CO72" s="72">
        <f t="shared" si="105"/>
        <v>201</v>
      </c>
      <c r="CP72" s="72">
        <f t="shared" si="106"/>
        <v>238</v>
      </c>
      <c r="CQ72" s="72">
        <f t="shared" si="107"/>
        <v>316</v>
      </c>
      <c r="CR72" s="72">
        <f t="shared" si="108"/>
        <v>345</v>
      </c>
      <c r="CS72" s="72">
        <f t="shared" si="109"/>
        <v>358</v>
      </c>
      <c r="CT72" s="23">
        <f t="shared" si="11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139"/>
        <v>adrb1_melga_2Y02</v>
      </c>
      <c r="B73" s="3" t="s">
        <v>912</v>
      </c>
      <c r="C73" s="3" t="s">
        <v>1024</v>
      </c>
      <c r="D73" s="3" t="str">
        <f>IFERROR(MID(VLOOKUP($B73,Seqs!$A:$B,2,0),E73,1),"")</f>
        <v>A</v>
      </c>
      <c r="E73" s="3">
        <v>33</v>
      </c>
      <c r="F73" s="3" t="str">
        <f>IFERROR(MID(VLOOKUP($B73,Seqs!$A:$B,2,0),G73,1),"")</f>
        <v>T</v>
      </c>
      <c r="G73" s="3">
        <v>69</v>
      </c>
      <c r="H73" s="3" t="str">
        <f>IFERROR(MID(VLOOKUP($B73,Seqs!$A:$B,2,0),I73,1),"")</f>
        <v>Q</v>
      </c>
      <c r="I73" s="23">
        <v>70</v>
      </c>
      <c r="J73" s="3" t="str">
        <f>IFERROR(MID(VLOOKUP($B73,Seqs!$A:$B,2,0),K73,1),"")</f>
        <v>Q</v>
      </c>
      <c r="K73" s="23">
        <v>73</v>
      </c>
      <c r="L73" s="3" t="str">
        <f>IFERROR(MID(VLOOKUP($B73,Seqs!$A:$B,2,0),M73,1),"")</f>
        <v>T</v>
      </c>
      <c r="M73" s="3">
        <v>74</v>
      </c>
      <c r="N73" s="3" t="str">
        <f>IFERROR(MID(VLOOKUP($B73,Seqs!$A:$B,2,0),O73,1),"")</f>
        <v>R</v>
      </c>
      <c r="O73" s="3">
        <v>104</v>
      </c>
      <c r="P73" s="3" t="str">
        <f>IFERROR(MID(VLOOKUP($B73,Seqs!$A:$B,2,0),Q73,1),"")</f>
        <v>T</v>
      </c>
      <c r="Q73" s="3">
        <v>106</v>
      </c>
      <c r="R73" s="3" t="str">
        <f>IFERROR(MID(VLOOKUP($B73,Seqs!$A:$B,2,0),S73,1),"")</f>
        <v>W</v>
      </c>
      <c r="S73" s="3">
        <v>109</v>
      </c>
      <c r="T73" s="3" t="str">
        <f>IFERROR(MID(VLOOKUP($B73,Seqs!$A:$B,2,0),U73,1),"")</f>
        <v>G</v>
      </c>
      <c r="U73" s="3">
        <v>110</v>
      </c>
      <c r="V73" s="3" t="str">
        <f>IFERROR(MID(VLOOKUP($B73,Seqs!$A:$B,2,0),W73,1),"")</f>
        <v>S</v>
      </c>
      <c r="W73" s="3">
        <v>145</v>
      </c>
      <c r="X73" s="3" t="str">
        <f>IFERROR(MID(VLOOKUP($B73,Seqs!$A:$B,2,0),Y73,1),"")</f>
        <v>P</v>
      </c>
      <c r="Y73" s="3">
        <v>146</v>
      </c>
      <c r="Z73" s="3" t="str">
        <f>IFERROR(MID(VLOOKUP($B73,Seqs!$A:$B,2,0),AA73,1),"")</f>
        <v>M</v>
      </c>
      <c r="AA73" s="3">
        <v>153</v>
      </c>
      <c r="AB73" s="3" t="str">
        <f>IFERROR(MID(VLOOKUP($B73,Seqs!$A:$B,2,0),AC73,1),"")</f>
        <v>T</v>
      </c>
      <c r="AC73" s="9">
        <v>154</v>
      </c>
      <c r="AD73" s="3" t="str">
        <f>IFERROR(MID(VLOOKUP($B73,Seqs!$A:$B,2,0),AE73,1),"")</f>
        <v>H</v>
      </c>
      <c r="AE73" s="3">
        <v>180</v>
      </c>
      <c r="AF73" s="3" t="str">
        <f>IFERROR(MID(VLOOKUP($B73,Seqs!$A:$B,2,0),AG73,1),"")</f>
        <v>C</v>
      </c>
      <c r="AG73" s="3">
        <v>199</v>
      </c>
      <c r="AH73" s="3" t="str">
        <f>IFERROR(MID(VLOOKUP($B73,Seqs!$A:$B,2,0),AI73,1),"")</f>
        <v>F</v>
      </c>
      <c r="AI73" s="3">
        <v>201</v>
      </c>
      <c r="AJ73" s="3" t="str">
        <f>IFERROR(MID(VLOOKUP($B73,Seqs!$A:$B,2,0),AK73,1),"")</f>
        <v>N</v>
      </c>
      <c r="AK73" s="3">
        <v>204</v>
      </c>
      <c r="AL73" s="3" t="str">
        <f>IFERROR(MID(VLOOKUP($B73,Seqs!$A:$B,2,0),AM73,1),"")</f>
        <v>I</v>
      </c>
      <c r="AM73" s="3">
        <v>238</v>
      </c>
      <c r="AN73" s="3" t="str">
        <f>IFERROR(MID(VLOOKUP($B73,Seqs!$A:$B,2,0),AO73,1),"")</f>
        <v>R</v>
      </c>
      <c r="AO73" s="3">
        <v>275</v>
      </c>
      <c r="AP73" s="3" t="str">
        <f>IFERROR(MID(VLOOKUP($B73,Seqs!$A:$B,2,0),AQ73,1),"")</f>
        <v>N</v>
      </c>
      <c r="AQ73" s="3">
        <v>316</v>
      </c>
      <c r="AR73" s="3" t="str">
        <f>IFERROR(MID(VLOOKUP($B73,Seqs!$A:$B,2,0),AS73,1),"")</f>
        <v>P</v>
      </c>
      <c r="AS73" s="3">
        <v>321</v>
      </c>
      <c r="AT73" s="3" t="str">
        <f>IFERROR(MID(VLOOKUP($B73,Seqs!$A:$B,2,0),AU73,1),"")</f>
        <v>R</v>
      </c>
      <c r="AU73" s="3">
        <v>345</v>
      </c>
      <c r="AV73" s="3" t="str">
        <f>IFERROR(MID(VLOOKUP($B73,Seqs!$A:$B,2,0),AW73,1),"")</f>
        <v>S</v>
      </c>
      <c r="AW73" s="3">
        <v>346</v>
      </c>
      <c r="AX73" s="3" t="str">
        <f>IFERROR(MID(VLOOKUP($B73,Seqs!$A:$B,2,0),AY73,1),"")</f>
        <v>C</v>
      </c>
      <c r="AY73" s="3">
        <v>358</v>
      </c>
      <c r="AZ73" s="77" t="str">
        <f>VLOOKUP(B73,Classification!A:D,2,0)</f>
        <v>A</v>
      </c>
      <c r="BA73" s="94" t="str">
        <f>VLOOKUP(B73,Classification!A:D,4,0)</f>
        <v>Adrenoceptors</v>
      </c>
      <c r="BB73" s="27" t="b">
        <f t="shared" si="140"/>
        <v>1</v>
      </c>
      <c r="BC73" s="23">
        <f t="shared" si="85"/>
        <v>265</v>
      </c>
      <c r="BD73" s="4" t="s">
        <v>23</v>
      </c>
      <c r="BE73" s="3" t="s">
        <v>1381</v>
      </c>
      <c r="BF73" s="119">
        <v>2.6</v>
      </c>
      <c r="BG73" s="49" t="s">
        <v>1384</v>
      </c>
      <c r="BH73" s="49" t="s">
        <v>1384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86"/>
        <v>33</v>
      </c>
      <c r="BW73" s="71">
        <f t="shared" si="87"/>
        <v>70</v>
      </c>
      <c r="BX73" s="72">
        <f t="shared" si="88"/>
        <v>74</v>
      </c>
      <c r="BY73" s="71">
        <f t="shared" si="89"/>
        <v>106</v>
      </c>
      <c r="BZ73" s="72">
        <f t="shared" si="90"/>
        <v>110</v>
      </c>
      <c r="CA73" s="71">
        <f t="shared" si="91"/>
        <v>146</v>
      </c>
      <c r="CB73" s="72">
        <f t="shared" si="92"/>
        <v>154</v>
      </c>
      <c r="CC73" s="71">
        <f t="shared" si="93"/>
        <v>199</v>
      </c>
      <c r="CD73" s="72">
        <f t="shared" si="94"/>
        <v>204</v>
      </c>
      <c r="CE73" s="71">
        <f t="shared" si="95"/>
        <v>275</v>
      </c>
      <c r="CF73" s="72">
        <f t="shared" si="96"/>
        <v>321</v>
      </c>
      <c r="CG73" s="71">
        <f t="shared" si="97"/>
        <v>346</v>
      </c>
      <c r="CH73" s="70">
        <f t="shared" si="98"/>
        <v>69</v>
      </c>
      <c r="CI73" s="71">
        <f t="shared" si="99"/>
        <v>73</v>
      </c>
      <c r="CJ73" s="72">
        <f t="shared" si="100"/>
        <v>104</v>
      </c>
      <c r="CK73" s="72">
        <f t="shared" si="101"/>
        <v>109</v>
      </c>
      <c r="CL73" s="72">
        <f t="shared" si="102"/>
        <v>145</v>
      </c>
      <c r="CM73" s="72">
        <f t="shared" si="103"/>
        <v>153</v>
      </c>
      <c r="CN73" s="72">
        <f t="shared" si="104"/>
        <v>180</v>
      </c>
      <c r="CO73" s="72">
        <f t="shared" si="105"/>
        <v>201</v>
      </c>
      <c r="CP73" s="72">
        <f t="shared" si="106"/>
        <v>238</v>
      </c>
      <c r="CQ73" s="72">
        <f t="shared" si="107"/>
        <v>316</v>
      </c>
      <c r="CR73" s="72">
        <f t="shared" si="108"/>
        <v>345</v>
      </c>
      <c r="CS73" s="72">
        <f t="shared" si="109"/>
        <v>358</v>
      </c>
      <c r="CT73" s="23">
        <f t="shared" si="11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139"/>
        <v>adrb1_melga_2Y03</v>
      </c>
      <c r="B74" s="3" t="s">
        <v>912</v>
      </c>
      <c r="C74" s="3" t="s">
        <v>1025</v>
      </c>
      <c r="D74" s="3" t="str">
        <f>IFERROR(MID(VLOOKUP($B74,Seqs!$A:$B,2,0),E74,1),"")</f>
        <v>A</v>
      </c>
      <c r="E74" s="3">
        <v>33</v>
      </c>
      <c r="F74" s="3" t="str">
        <f>IFERROR(MID(VLOOKUP($B74,Seqs!$A:$B,2,0),G74,1),"")</f>
        <v>T</v>
      </c>
      <c r="G74" s="3">
        <v>69</v>
      </c>
      <c r="H74" s="3" t="str">
        <f>IFERROR(MID(VLOOKUP($B74,Seqs!$A:$B,2,0),I74,1),"")</f>
        <v>Q</v>
      </c>
      <c r="I74" s="23">
        <v>70</v>
      </c>
      <c r="J74" s="3" t="str">
        <f>IFERROR(MID(VLOOKUP($B74,Seqs!$A:$B,2,0),K74,1),"")</f>
        <v>Q</v>
      </c>
      <c r="K74" s="23">
        <v>73</v>
      </c>
      <c r="L74" s="3" t="str">
        <f>IFERROR(MID(VLOOKUP($B74,Seqs!$A:$B,2,0),M74,1),"")</f>
        <v>T</v>
      </c>
      <c r="M74" s="3">
        <v>74</v>
      </c>
      <c r="N74" s="3" t="str">
        <f>IFERROR(MID(VLOOKUP($B74,Seqs!$A:$B,2,0),O74,1),"")</f>
        <v>R</v>
      </c>
      <c r="O74" s="3">
        <v>104</v>
      </c>
      <c r="P74" s="3" t="str">
        <f>IFERROR(MID(VLOOKUP($B74,Seqs!$A:$B,2,0),Q74,1),"")</f>
        <v>T</v>
      </c>
      <c r="Q74" s="3">
        <v>106</v>
      </c>
      <c r="R74" s="3" t="str">
        <f>IFERROR(MID(VLOOKUP($B74,Seqs!$A:$B,2,0),S74,1),"")</f>
        <v>W</v>
      </c>
      <c r="S74" s="3">
        <v>109</v>
      </c>
      <c r="T74" s="3" t="str">
        <f>IFERROR(MID(VLOOKUP($B74,Seqs!$A:$B,2,0),U74,1),"")</f>
        <v>G</v>
      </c>
      <c r="U74" s="3">
        <v>110</v>
      </c>
      <c r="V74" s="3" t="str">
        <f>IFERROR(MID(VLOOKUP($B74,Seqs!$A:$B,2,0),W74,1),"")</f>
        <v>S</v>
      </c>
      <c r="W74" s="3">
        <v>145</v>
      </c>
      <c r="X74" s="3" t="str">
        <f>IFERROR(MID(VLOOKUP($B74,Seqs!$A:$B,2,0),Y74,1),"")</f>
        <v>P</v>
      </c>
      <c r="Y74" s="3">
        <v>146</v>
      </c>
      <c r="Z74" s="3" t="str">
        <f>IFERROR(MID(VLOOKUP($B74,Seqs!$A:$B,2,0),AA74,1),"")</f>
        <v>M</v>
      </c>
      <c r="AA74" s="3">
        <v>153</v>
      </c>
      <c r="AB74" s="3" t="str">
        <f>IFERROR(MID(VLOOKUP($B74,Seqs!$A:$B,2,0),AC74,1),"")</f>
        <v>T</v>
      </c>
      <c r="AC74" s="9">
        <v>154</v>
      </c>
      <c r="AD74" s="3" t="str">
        <f>IFERROR(MID(VLOOKUP($B74,Seqs!$A:$B,2,0),AE74,1),"")</f>
        <v>H</v>
      </c>
      <c r="AE74" s="3">
        <v>180</v>
      </c>
      <c r="AF74" s="3" t="str">
        <f>IFERROR(MID(VLOOKUP($B74,Seqs!$A:$B,2,0),AG74,1),"")</f>
        <v>C</v>
      </c>
      <c r="AG74" s="3">
        <v>199</v>
      </c>
      <c r="AH74" s="3" t="str">
        <f>IFERROR(MID(VLOOKUP($B74,Seqs!$A:$B,2,0),AI74,1),"")</f>
        <v>F</v>
      </c>
      <c r="AI74" s="3">
        <v>201</v>
      </c>
      <c r="AJ74" s="3" t="str">
        <f>IFERROR(MID(VLOOKUP($B74,Seqs!$A:$B,2,0),AK74,1),"")</f>
        <v>N</v>
      </c>
      <c r="AK74" s="3">
        <v>204</v>
      </c>
      <c r="AL74" s="3" t="str">
        <f>IFERROR(MID(VLOOKUP($B74,Seqs!$A:$B,2,0),AM74,1),"")</f>
        <v>I</v>
      </c>
      <c r="AM74" s="3">
        <v>238</v>
      </c>
      <c r="AN74" s="3" t="str">
        <f>IFERROR(MID(VLOOKUP($B74,Seqs!$A:$B,2,0),AO74,1),"")</f>
        <v>R</v>
      </c>
      <c r="AO74" s="3">
        <v>275</v>
      </c>
      <c r="AP74" s="3" t="str">
        <f>IFERROR(MID(VLOOKUP($B74,Seqs!$A:$B,2,0),AQ74,1),"")</f>
        <v>N</v>
      </c>
      <c r="AQ74" s="3">
        <v>316</v>
      </c>
      <c r="AR74" s="3" t="str">
        <f>IFERROR(MID(VLOOKUP($B74,Seqs!$A:$B,2,0),AS74,1),"")</f>
        <v>P</v>
      </c>
      <c r="AS74" s="3">
        <v>321</v>
      </c>
      <c r="AT74" s="3" t="str">
        <f>IFERROR(MID(VLOOKUP($B74,Seqs!$A:$B,2,0),AU74,1),"")</f>
        <v>R</v>
      </c>
      <c r="AU74" s="3">
        <v>345</v>
      </c>
      <c r="AV74" s="3" t="str">
        <f>IFERROR(MID(VLOOKUP($B74,Seqs!$A:$B,2,0),AW74,1),"")</f>
        <v>S</v>
      </c>
      <c r="AW74" s="3">
        <v>346</v>
      </c>
      <c r="AX74" s="3" t="str">
        <f>IFERROR(MID(VLOOKUP($B74,Seqs!$A:$B,2,0),AY74,1),"")</f>
        <v>C</v>
      </c>
      <c r="AY74" s="3">
        <v>358</v>
      </c>
      <c r="AZ74" s="77" t="str">
        <f>VLOOKUP(B74,Classification!A:D,2,0)</f>
        <v>A</v>
      </c>
      <c r="BA74" s="94" t="str">
        <f>VLOOKUP(B74,Classification!A:D,4,0)</f>
        <v>Adrenoceptors</v>
      </c>
      <c r="BB74" s="27" t="b">
        <f t="shared" si="140"/>
        <v>1</v>
      </c>
      <c r="BC74" s="23">
        <f t="shared" si="85"/>
        <v>265</v>
      </c>
      <c r="BD74" s="4" t="s">
        <v>23</v>
      </c>
      <c r="BE74" s="3" t="s">
        <v>1381</v>
      </c>
      <c r="BF74" s="119">
        <v>2.85</v>
      </c>
      <c r="BG74" s="49" t="s">
        <v>1384</v>
      </c>
      <c r="BH74" s="49" t="s">
        <v>1384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86"/>
        <v>33</v>
      </c>
      <c r="BW74" s="71">
        <f t="shared" si="87"/>
        <v>70</v>
      </c>
      <c r="BX74" s="72">
        <f t="shared" si="88"/>
        <v>74</v>
      </c>
      <c r="BY74" s="71">
        <f t="shared" si="89"/>
        <v>106</v>
      </c>
      <c r="BZ74" s="72">
        <f t="shared" si="90"/>
        <v>110</v>
      </c>
      <c r="CA74" s="71">
        <f t="shared" si="91"/>
        <v>146</v>
      </c>
      <c r="CB74" s="72">
        <f t="shared" si="92"/>
        <v>154</v>
      </c>
      <c r="CC74" s="71">
        <f t="shared" si="93"/>
        <v>199</v>
      </c>
      <c r="CD74" s="72">
        <f t="shared" si="94"/>
        <v>204</v>
      </c>
      <c r="CE74" s="71">
        <f t="shared" si="95"/>
        <v>275</v>
      </c>
      <c r="CF74" s="72">
        <f t="shared" si="96"/>
        <v>321</v>
      </c>
      <c r="CG74" s="71">
        <f t="shared" si="97"/>
        <v>346</v>
      </c>
      <c r="CH74" s="70">
        <f t="shared" si="98"/>
        <v>69</v>
      </c>
      <c r="CI74" s="71">
        <f t="shared" si="99"/>
        <v>73</v>
      </c>
      <c r="CJ74" s="72">
        <f t="shared" si="100"/>
        <v>104</v>
      </c>
      <c r="CK74" s="72">
        <f t="shared" si="101"/>
        <v>109</v>
      </c>
      <c r="CL74" s="72">
        <f t="shared" si="102"/>
        <v>145</v>
      </c>
      <c r="CM74" s="72">
        <f t="shared" si="103"/>
        <v>153</v>
      </c>
      <c r="CN74" s="72">
        <f t="shared" si="104"/>
        <v>180</v>
      </c>
      <c r="CO74" s="72">
        <f t="shared" si="105"/>
        <v>201</v>
      </c>
      <c r="CP74" s="72">
        <f t="shared" si="106"/>
        <v>238</v>
      </c>
      <c r="CQ74" s="72">
        <f t="shared" si="107"/>
        <v>316</v>
      </c>
      <c r="CR74" s="72">
        <f t="shared" si="108"/>
        <v>345</v>
      </c>
      <c r="CS74" s="72">
        <f t="shared" si="109"/>
        <v>358</v>
      </c>
      <c r="CT74" s="23">
        <f t="shared" si="11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139"/>
        <v>adrb1_melga_2Y04</v>
      </c>
      <c r="B75" s="3" t="s">
        <v>912</v>
      </c>
      <c r="C75" s="3" t="s">
        <v>1026</v>
      </c>
      <c r="D75" s="3" t="str">
        <f>IFERROR(MID(VLOOKUP($B75,Seqs!$A:$B,2,0),E75,1),"")</f>
        <v>A</v>
      </c>
      <c r="E75" s="3">
        <v>33</v>
      </c>
      <c r="F75" s="3" t="str">
        <f>IFERROR(MID(VLOOKUP($B75,Seqs!$A:$B,2,0),G75,1),"")</f>
        <v>T</v>
      </c>
      <c r="G75" s="3">
        <v>69</v>
      </c>
      <c r="H75" s="3" t="str">
        <f>IFERROR(MID(VLOOKUP($B75,Seqs!$A:$B,2,0),I75,1),"")</f>
        <v>Q</v>
      </c>
      <c r="I75" s="23">
        <v>70</v>
      </c>
      <c r="J75" s="3" t="str">
        <f>IFERROR(MID(VLOOKUP($B75,Seqs!$A:$B,2,0),K75,1),"")</f>
        <v>Q</v>
      </c>
      <c r="K75" s="23">
        <v>73</v>
      </c>
      <c r="L75" s="3" t="str">
        <f>IFERROR(MID(VLOOKUP($B75,Seqs!$A:$B,2,0),M75,1),"")</f>
        <v>T</v>
      </c>
      <c r="M75" s="3">
        <v>74</v>
      </c>
      <c r="N75" s="3" t="str">
        <f>IFERROR(MID(VLOOKUP($B75,Seqs!$A:$B,2,0),O75,1),"")</f>
        <v>R</v>
      </c>
      <c r="O75" s="3">
        <v>104</v>
      </c>
      <c r="P75" s="3" t="str">
        <f>IFERROR(MID(VLOOKUP($B75,Seqs!$A:$B,2,0),Q75,1),"")</f>
        <v>T</v>
      </c>
      <c r="Q75" s="3">
        <v>106</v>
      </c>
      <c r="R75" s="3" t="str">
        <f>IFERROR(MID(VLOOKUP($B75,Seqs!$A:$B,2,0),S75,1),"")</f>
        <v>W</v>
      </c>
      <c r="S75" s="3">
        <v>109</v>
      </c>
      <c r="T75" s="3" t="str">
        <f>IFERROR(MID(VLOOKUP($B75,Seqs!$A:$B,2,0),U75,1),"")</f>
        <v>G</v>
      </c>
      <c r="U75" s="3">
        <v>110</v>
      </c>
      <c r="V75" s="3" t="str">
        <f>IFERROR(MID(VLOOKUP($B75,Seqs!$A:$B,2,0),W75,1),"")</f>
        <v>S</v>
      </c>
      <c r="W75" s="3">
        <v>145</v>
      </c>
      <c r="X75" s="3" t="str">
        <f>IFERROR(MID(VLOOKUP($B75,Seqs!$A:$B,2,0),Y75,1),"")</f>
        <v>P</v>
      </c>
      <c r="Y75" s="3">
        <v>146</v>
      </c>
      <c r="Z75" s="3" t="str">
        <f>IFERROR(MID(VLOOKUP($B75,Seqs!$A:$B,2,0),AA75,1),"")</f>
        <v>M</v>
      </c>
      <c r="AA75" s="3">
        <v>153</v>
      </c>
      <c r="AB75" s="3" t="str">
        <f>IFERROR(MID(VLOOKUP($B75,Seqs!$A:$B,2,0),AC75,1),"")</f>
        <v>T</v>
      </c>
      <c r="AC75" s="9">
        <v>154</v>
      </c>
      <c r="AD75" s="3" t="str">
        <f>IFERROR(MID(VLOOKUP($B75,Seqs!$A:$B,2,0),AE75,1),"")</f>
        <v>H</v>
      </c>
      <c r="AE75" s="3">
        <v>180</v>
      </c>
      <c r="AF75" s="3" t="str">
        <f>IFERROR(MID(VLOOKUP($B75,Seqs!$A:$B,2,0),AG75,1),"")</f>
        <v>C</v>
      </c>
      <c r="AG75" s="3">
        <v>199</v>
      </c>
      <c r="AH75" s="3" t="str">
        <f>IFERROR(MID(VLOOKUP($B75,Seqs!$A:$B,2,0),AI75,1),"")</f>
        <v>F</v>
      </c>
      <c r="AI75" s="3">
        <v>201</v>
      </c>
      <c r="AJ75" s="3" t="str">
        <f>IFERROR(MID(VLOOKUP($B75,Seqs!$A:$B,2,0),AK75,1),"")</f>
        <v>N</v>
      </c>
      <c r="AK75" s="3">
        <v>204</v>
      </c>
      <c r="AL75" s="3" t="str">
        <f>IFERROR(MID(VLOOKUP($B75,Seqs!$A:$B,2,0),AM75,1),"")</f>
        <v>I</v>
      </c>
      <c r="AM75" s="3">
        <v>238</v>
      </c>
      <c r="AN75" s="3" t="str">
        <f>IFERROR(MID(VLOOKUP($B75,Seqs!$A:$B,2,0),AO75,1),"")</f>
        <v>R</v>
      </c>
      <c r="AO75" s="3">
        <v>275</v>
      </c>
      <c r="AP75" s="3" t="str">
        <f>IFERROR(MID(VLOOKUP($B75,Seqs!$A:$B,2,0),AQ75,1),"")</f>
        <v>N</v>
      </c>
      <c r="AQ75" s="3">
        <v>316</v>
      </c>
      <c r="AR75" s="3" t="str">
        <f>IFERROR(MID(VLOOKUP($B75,Seqs!$A:$B,2,0),AS75,1),"")</f>
        <v>P</v>
      </c>
      <c r="AS75" s="3">
        <v>321</v>
      </c>
      <c r="AT75" s="3" t="str">
        <f>IFERROR(MID(VLOOKUP($B75,Seqs!$A:$B,2,0),AU75,1),"")</f>
        <v>R</v>
      </c>
      <c r="AU75" s="3">
        <v>345</v>
      </c>
      <c r="AV75" s="3" t="str">
        <f>IFERROR(MID(VLOOKUP($B75,Seqs!$A:$B,2,0),AW75,1),"")</f>
        <v>S</v>
      </c>
      <c r="AW75" s="3">
        <v>346</v>
      </c>
      <c r="AX75" s="3" t="str">
        <f>IFERROR(MID(VLOOKUP($B75,Seqs!$A:$B,2,0),AY75,1),"")</f>
        <v>C</v>
      </c>
      <c r="AY75" s="3">
        <v>358</v>
      </c>
      <c r="AZ75" s="77" t="str">
        <f>VLOOKUP(B75,Classification!A:D,2,0)</f>
        <v>A</v>
      </c>
      <c r="BA75" s="94" t="str">
        <f>VLOOKUP(B75,Classification!A:D,4,0)</f>
        <v>Adrenoceptors</v>
      </c>
      <c r="BB75" s="27" t="b">
        <f t="shared" si="140"/>
        <v>1</v>
      </c>
      <c r="BC75" s="23">
        <f t="shared" si="85"/>
        <v>265</v>
      </c>
      <c r="BD75" s="4" t="s">
        <v>23</v>
      </c>
      <c r="BE75" s="3" t="s">
        <v>1381</v>
      </c>
      <c r="BF75" s="119">
        <v>3.05</v>
      </c>
      <c r="BG75" s="49" t="s">
        <v>1384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86"/>
        <v>33</v>
      </c>
      <c r="BW75" s="71">
        <f t="shared" si="87"/>
        <v>70</v>
      </c>
      <c r="BX75" s="72">
        <f t="shared" si="88"/>
        <v>74</v>
      </c>
      <c r="BY75" s="71">
        <f t="shared" si="89"/>
        <v>106</v>
      </c>
      <c r="BZ75" s="72">
        <f t="shared" si="90"/>
        <v>110</v>
      </c>
      <c r="CA75" s="71">
        <f t="shared" si="91"/>
        <v>146</v>
      </c>
      <c r="CB75" s="72">
        <f t="shared" si="92"/>
        <v>154</v>
      </c>
      <c r="CC75" s="71">
        <f t="shared" si="93"/>
        <v>199</v>
      </c>
      <c r="CD75" s="72">
        <f t="shared" si="94"/>
        <v>204</v>
      </c>
      <c r="CE75" s="71">
        <f t="shared" si="95"/>
        <v>275</v>
      </c>
      <c r="CF75" s="72">
        <f t="shared" si="96"/>
        <v>321</v>
      </c>
      <c r="CG75" s="71">
        <f t="shared" si="97"/>
        <v>346</v>
      </c>
      <c r="CH75" s="70">
        <f t="shared" si="98"/>
        <v>69</v>
      </c>
      <c r="CI75" s="71">
        <f t="shared" si="99"/>
        <v>73</v>
      </c>
      <c r="CJ75" s="72">
        <f t="shared" si="100"/>
        <v>104</v>
      </c>
      <c r="CK75" s="72">
        <f t="shared" si="101"/>
        <v>109</v>
      </c>
      <c r="CL75" s="72">
        <f t="shared" si="102"/>
        <v>145</v>
      </c>
      <c r="CM75" s="72">
        <f t="shared" si="103"/>
        <v>153</v>
      </c>
      <c r="CN75" s="72">
        <f t="shared" si="104"/>
        <v>180</v>
      </c>
      <c r="CO75" s="72">
        <f t="shared" si="105"/>
        <v>201</v>
      </c>
      <c r="CP75" s="72">
        <f t="shared" si="106"/>
        <v>238</v>
      </c>
      <c r="CQ75" s="72">
        <f t="shared" si="107"/>
        <v>316</v>
      </c>
      <c r="CR75" s="72">
        <f t="shared" si="108"/>
        <v>345</v>
      </c>
      <c r="CS75" s="72">
        <f t="shared" si="109"/>
        <v>358</v>
      </c>
      <c r="CT75" s="23">
        <f t="shared" si="11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139"/>
        <v>adrb1_melga_2YCW</v>
      </c>
      <c r="B76" s="3" t="s">
        <v>912</v>
      </c>
      <c r="C76" s="3" t="s">
        <v>1027</v>
      </c>
      <c r="D76" s="3" t="str">
        <f>IFERROR(MID(VLOOKUP($B76,Seqs!$A:$B,2,0),E76,1),"")</f>
        <v>S</v>
      </c>
      <c r="E76" s="3">
        <v>37</v>
      </c>
      <c r="F76" s="3" t="str">
        <f>IFERROR(MID(VLOOKUP($B76,Seqs!$A:$B,2,0),G76,1),"")</f>
        <v>T</v>
      </c>
      <c r="G76" s="3">
        <v>69</v>
      </c>
      <c r="H76" s="3" t="str">
        <f>IFERROR(MID(VLOOKUP($B76,Seqs!$A:$B,2,0),I76,1),"")</f>
        <v>Q</v>
      </c>
      <c r="I76" s="23">
        <v>70</v>
      </c>
      <c r="J76" s="3" t="str">
        <f>IFERROR(MID(VLOOKUP($B76,Seqs!$A:$B,2,0),K76,1),"")</f>
        <v>Q</v>
      </c>
      <c r="K76" s="23">
        <v>73</v>
      </c>
      <c r="L76" s="3" t="str">
        <f>IFERROR(MID(VLOOKUP($B76,Seqs!$A:$B,2,0),M76,1),"")</f>
        <v>T</v>
      </c>
      <c r="M76" s="3">
        <v>74</v>
      </c>
      <c r="N76" s="3" t="str">
        <f>IFERROR(MID(VLOOKUP($B76,Seqs!$A:$B,2,0),O76,1),"")</f>
        <v>R</v>
      </c>
      <c r="O76" s="3">
        <v>104</v>
      </c>
      <c r="P76" s="3" t="str">
        <f>IFERROR(MID(VLOOKUP($B76,Seqs!$A:$B,2,0),Q76,1),"")</f>
        <v>T</v>
      </c>
      <c r="Q76" s="3">
        <v>106</v>
      </c>
      <c r="R76" s="3" t="str">
        <f>IFERROR(MID(VLOOKUP($B76,Seqs!$A:$B,2,0),S76,1),"")</f>
        <v>W</v>
      </c>
      <c r="S76" s="3">
        <v>109</v>
      </c>
      <c r="T76" s="3" t="str">
        <f>IFERROR(MID(VLOOKUP($B76,Seqs!$A:$B,2,0),U76,1),"")</f>
        <v>G</v>
      </c>
      <c r="U76" s="3">
        <v>110</v>
      </c>
      <c r="V76" s="3" t="str">
        <f>IFERROR(MID(VLOOKUP($B76,Seqs!$A:$B,2,0),W76,1),"")</f>
        <v>S</v>
      </c>
      <c r="W76" s="3">
        <v>145</v>
      </c>
      <c r="X76" s="3" t="str">
        <f>IFERROR(MID(VLOOKUP($B76,Seqs!$A:$B,2,0),Y76,1),"")</f>
        <v>P</v>
      </c>
      <c r="Y76" s="3">
        <v>146</v>
      </c>
      <c r="Z76" s="3" t="str">
        <f>IFERROR(MID(VLOOKUP($B76,Seqs!$A:$B,2,0),AA76,1),"")</f>
        <v>M</v>
      </c>
      <c r="AA76" s="3">
        <v>153</v>
      </c>
      <c r="AB76" s="3" t="str">
        <f>IFERROR(MID(VLOOKUP($B76,Seqs!$A:$B,2,0),AC76,1),"")</f>
        <v>T</v>
      </c>
      <c r="AC76" s="9">
        <v>154</v>
      </c>
      <c r="AD76" s="3" t="str">
        <f>IFERROR(MID(VLOOKUP($B76,Seqs!$A:$B,2,0),AE76,1),"")</f>
        <v>H</v>
      </c>
      <c r="AE76" s="3">
        <v>180</v>
      </c>
      <c r="AF76" s="3" t="str">
        <f>IFERROR(MID(VLOOKUP($B76,Seqs!$A:$B,2,0),AG76,1),"")</f>
        <v>C</v>
      </c>
      <c r="AG76" s="3">
        <v>199</v>
      </c>
      <c r="AH76" s="3" t="str">
        <f>IFERROR(MID(VLOOKUP($B76,Seqs!$A:$B,2,0),AI76,1),"")</f>
        <v>F</v>
      </c>
      <c r="AI76" s="3">
        <v>201</v>
      </c>
      <c r="AJ76" s="3" t="str">
        <f>IFERROR(MID(VLOOKUP($B76,Seqs!$A:$B,2,0),AK76,1),"")</f>
        <v>N</v>
      </c>
      <c r="AK76" s="3">
        <v>204</v>
      </c>
      <c r="AL76" s="3" t="str">
        <f>IFERROR(MID(VLOOKUP($B76,Seqs!$A:$B,2,0),AM76,1),"")</f>
        <v>K</v>
      </c>
      <c r="AM76" s="3">
        <v>240</v>
      </c>
      <c r="AN76" s="3" t="str">
        <f>IFERROR(MID(VLOOKUP($B76,Seqs!$A:$B,2,0),AO76,1),"")</f>
        <v>L</v>
      </c>
      <c r="AO76" s="3">
        <v>289</v>
      </c>
      <c r="AP76" s="3" t="str">
        <f>IFERROR(MID(VLOOKUP($B76,Seqs!$A:$B,2,0),AQ76,1),"")</f>
        <v>N</v>
      </c>
      <c r="AQ76" s="3">
        <v>316</v>
      </c>
      <c r="AR76" s="3" t="str">
        <f>IFERROR(MID(VLOOKUP($B76,Seqs!$A:$B,2,0),AS76,1),"")</f>
        <v>P</v>
      </c>
      <c r="AS76" s="3">
        <v>321</v>
      </c>
      <c r="AT76" s="3" t="str">
        <f>IFERROR(MID(VLOOKUP($B76,Seqs!$A:$B,2,0),AU76,1),"")</f>
        <v>R</v>
      </c>
      <c r="AU76" s="3">
        <v>345</v>
      </c>
      <c r="AV76" s="3" t="str">
        <f>IFERROR(MID(VLOOKUP($B76,Seqs!$A:$B,2,0),AW76,1),"")</f>
        <v>S</v>
      </c>
      <c r="AW76" s="3">
        <v>346</v>
      </c>
      <c r="AX76" s="3" t="str">
        <f>IFERROR(MID(VLOOKUP($B76,Seqs!$A:$B,2,0),AY76,1),"")</f>
        <v>C</v>
      </c>
      <c r="AY76" s="3">
        <v>358</v>
      </c>
      <c r="AZ76" s="77" t="str">
        <f>VLOOKUP(B76,Classification!A:D,2,0)</f>
        <v>A</v>
      </c>
      <c r="BA76" s="94" t="str">
        <f>VLOOKUP(B76,Classification!A:D,4,0)</f>
        <v>Adrenoceptors</v>
      </c>
      <c r="BB76" s="27" t="b">
        <f t="shared" si="140"/>
        <v>1</v>
      </c>
      <c r="BC76" s="23">
        <f t="shared" si="85"/>
        <v>249</v>
      </c>
      <c r="BD76" s="4" t="s">
        <v>23</v>
      </c>
      <c r="BE76" s="3" t="s">
        <v>1381</v>
      </c>
      <c r="BF76" s="119">
        <v>3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86"/>
        <v>37</v>
      </c>
      <c r="BW76" s="71">
        <f t="shared" si="87"/>
        <v>70</v>
      </c>
      <c r="BX76" s="72">
        <f t="shared" si="88"/>
        <v>74</v>
      </c>
      <c r="BY76" s="71">
        <f t="shared" si="89"/>
        <v>106</v>
      </c>
      <c r="BZ76" s="72">
        <f t="shared" si="90"/>
        <v>110</v>
      </c>
      <c r="CA76" s="71">
        <f t="shared" si="91"/>
        <v>146</v>
      </c>
      <c r="CB76" s="72">
        <f t="shared" si="92"/>
        <v>154</v>
      </c>
      <c r="CC76" s="71">
        <f t="shared" si="93"/>
        <v>199</v>
      </c>
      <c r="CD76" s="72">
        <f t="shared" si="94"/>
        <v>204</v>
      </c>
      <c r="CE76" s="71">
        <f t="shared" si="95"/>
        <v>289</v>
      </c>
      <c r="CF76" s="72">
        <f t="shared" si="96"/>
        <v>321</v>
      </c>
      <c r="CG76" s="71">
        <f t="shared" si="97"/>
        <v>346</v>
      </c>
      <c r="CH76" s="70">
        <f t="shared" si="98"/>
        <v>69</v>
      </c>
      <c r="CI76" s="71">
        <f t="shared" si="99"/>
        <v>73</v>
      </c>
      <c r="CJ76" s="72">
        <f t="shared" si="100"/>
        <v>104</v>
      </c>
      <c r="CK76" s="72">
        <f t="shared" si="101"/>
        <v>109</v>
      </c>
      <c r="CL76" s="72">
        <f t="shared" si="102"/>
        <v>145</v>
      </c>
      <c r="CM76" s="72">
        <f t="shared" si="103"/>
        <v>153</v>
      </c>
      <c r="CN76" s="72">
        <f t="shared" si="104"/>
        <v>180</v>
      </c>
      <c r="CO76" s="72">
        <f t="shared" si="105"/>
        <v>201</v>
      </c>
      <c r="CP76" s="72">
        <f t="shared" si="106"/>
        <v>240</v>
      </c>
      <c r="CQ76" s="72">
        <f t="shared" si="107"/>
        <v>316</v>
      </c>
      <c r="CR76" s="72">
        <f t="shared" si="108"/>
        <v>345</v>
      </c>
      <c r="CS76" s="72">
        <f t="shared" si="109"/>
        <v>358</v>
      </c>
      <c r="CT76" s="23">
        <f t="shared" si="11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139"/>
        <v>adrb1_melga_2YCZ</v>
      </c>
      <c r="B77" s="3" t="s">
        <v>912</v>
      </c>
      <c r="C77" s="3" t="s">
        <v>1028</v>
      </c>
      <c r="D77" s="3" t="str">
        <f>IFERROR(MID(VLOOKUP($B77,Seqs!$A:$B,2,0),E77,1),"")</f>
        <v>A</v>
      </c>
      <c r="E77" s="3">
        <v>33</v>
      </c>
      <c r="F77" s="3" t="str">
        <f>IFERROR(MID(VLOOKUP($B77,Seqs!$A:$B,2,0),G77,1),"")</f>
        <v>T</v>
      </c>
      <c r="G77" s="3">
        <v>69</v>
      </c>
      <c r="H77" s="3" t="str">
        <f>IFERROR(MID(VLOOKUP($B77,Seqs!$A:$B,2,0),I77,1),"")</f>
        <v>Q</v>
      </c>
      <c r="I77" s="23">
        <v>70</v>
      </c>
      <c r="J77" s="3" t="str">
        <f>IFERROR(MID(VLOOKUP($B77,Seqs!$A:$B,2,0),K77,1),"")</f>
        <v>Q</v>
      </c>
      <c r="K77" s="23">
        <v>73</v>
      </c>
      <c r="L77" s="3" t="str">
        <f>IFERROR(MID(VLOOKUP($B77,Seqs!$A:$B,2,0),M77,1),"")</f>
        <v>T</v>
      </c>
      <c r="M77" s="3">
        <v>74</v>
      </c>
      <c r="N77" s="3" t="str">
        <f>IFERROR(MID(VLOOKUP($B77,Seqs!$A:$B,2,0),O77,1),"")</f>
        <v>R</v>
      </c>
      <c r="O77" s="3">
        <v>104</v>
      </c>
      <c r="P77" s="3" t="str">
        <f>IFERROR(MID(VLOOKUP($B77,Seqs!$A:$B,2,0),Q77,1),"")</f>
        <v>T</v>
      </c>
      <c r="Q77" s="3">
        <v>106</v>
      </c>
      <c r="R77" s="3" t="str">
        <f>IFERROR(MID(VLOOKUP($B77,Seqs!$A:$B,2,0),S77,1),"")</f>
        <v>W</v>
      </c>
      <c r="S77" s="3">
        <v>109</v>
      </c>
      <c r="T77" s="3" t="str">
        <f>IFERROR(MID(VLOOKUP($B77,Seqs!$A:$B,2,0),U77,1),"")</f>
        <v>G</v>
      </c>
      <c r="U77" s="3">
        <v>110</v>
      </c>
      <c r="V77" s="3" t="str">
        <f>IFERROR(MID(VLOOKUP($B77,Seqs!$A:$B,2,0),W77,1),"")</f>
        <v>S</v>
      </c>
      <c r="W77" s="3">
        <v>145</v>
      </c>
      <c r="X77" s="3" t="str">
        <f>IFERROR(MID(VLOOKUP($B77,Seqs!$A:$B,2,0),Y77,1),"")</f>
        <v>P</v>
      </c>
      <c r="Y77" s="3">
        <v>146</v>
      </c>
      <c r="Z77" s="3" t="str">
        <f>IFERROR(MID(VLOOKUP($B77,Seqs!$A:$B,2,0),AA77,1),"")</f>
        <v>M</v>
      </c>
      <c r="AA77" s="3">
        <v>153</v>
      </c>
      <c r="AB77" s="3" t="str">
        <f>IFERROR(MID(VLOOKUP($B77,Seqs!$A:$B,2,0),AC77,1),"")</f>
        <v>T</v>
      </c>
      <c r="AC77" s="9">
        <v>154</v>
      </c>
      <c r="AD77" s="3" t="str">
        <f>IFERROR(MID(VLOOKUP($B77,Seqs!$A:$B,2,0),AE77,1),"")</f>
        <v>H</v>
      </c>
      <c r="AE77" s="3">
        <v>180</v>
      </c>
      <c r="AF77" s="3" t="str">
        <f>IFERROR(MID(VLOOKUP($B77,Seqs!$A:$B,2,0),AG77,1),"")</f>
        <v>C</v>
      </c>
      <c r="AG77" s="3">
        <v>199</v>
      </c>
      <c r="AH77" s="3" t="str">
        <f>IFERROR(MID(VLOOKUP($B77,Seqs!$A:$B,2,0),AI77,1),"")</f>
        <v>F</v>
      </c>
      <c r="AI77" s="3">
        <v>201</v>
      </c>
      <c r="AJ77" s="3" t="str">
        <f>IFERROR(MID(VLOOKUP($B77,Seqs!$A:$B,2,0),AK77,1),"")</f>
        <v>N</v>
      </c>
      <c r="AK77" s="3">
        <v>204</v>
      </c>
      <c r="AL77" s="3" t="str">
        <f>IFERROR(MID(VLOOKUP($B77,Seqs!$A:$B,2,0),AM77,1),"")</f>
        <v>K</v>
      </c>
      <c r="AM77" s="3">
        <v>240</v>
      </c>
      <c r="AN77" s="3" t="str">
        <f>IFERROR(MID(VLOOKUP($B77,Seqs!$A:$B,2,0),AO77,1),"")</f>
        <v>A</v>
      </c>
      <c r="AO77" s="3">
        <v>288</v>
      </c>
      <c r="AP77" s="3" t="str">
        <f>IFERROR(MID(VLOOKUP($B77,Seqs!$A:$B,2,0),AQ77,1),"")</f>
        <v>N</v>
      </c>
      <c r="AQ77" s="3">
        <v>316</v>
      </c>
      <c r="AR77" s="3" t="str">
        <f>IFERROR(MID(VLOOKUP($B77,Seqs!$A:$B,2,0),AS77,1),"")</f>
        <v>P</v>
      </c>
      <c r="AS77" s="3">
        <v>321</v>
      </c>
      <c r="AT77" s="3" t="str">
        <f>IFERROR(MID(VLOOKUP($B77,Seqs!$A:$B,2,0),AU77,1),"")</f>
        <v>R</v>
      </c>
      <c r="AU77" s="3">
        <v>345</v>
      </c>
      <c r="AV77" s="3" t="str">
        <f>IFERROR(MID(VLOOKUP($B77,Seqs!$A:$B,2,0),AW77,1),"")</f>
        <v>S</v>
      </c>
      <c r="AW77" s="3">
        <v>346</v>
      </c>
      <c r="AX77" s="3" t="str">
        <f>IFERROR(MID(VLOOKUP($B77,Seqs!$A:$B,2,0),AY77,1),"")</f>
        <v>C</v>
      </c>
      <c r="AY77" s="3">
        <v>358</v>
      </c>
      <c r="AZ77" s="77" t="str">
        <f>VLOOKUP(B77,Classification!A:D,2,0)</f>
        <v>A</v>
      </c>
      <c r="BA77" s="94" t="str">
        <f>VLOOKUP(B77,Classification!A:D,4,0)</f>
        <v>Adrenoceptors</v>
      </c>
      <c r="BB77" s="27" t="b">
        <f t="shared" si="140"/>
        <v>1</v>
      </c>
      <c r="BC77" s="23">
        <f t="shared" si="85"/>
        <v>254</v>
      </c>
      <c r="BD77" s="16" t="s">
        <v>23</v>
      </c>
      <c r="BE77" s="3" t="s">
        <v>1381</v>
      </c>
      <c r="BF77" s="119">
        <v>3.65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86"/>
        <v>33</v>
      </c>
      <c r="BW77" s="71">
        <f t="shared" si="87"/>
        <v>70</v>
      </c>
      <c r="BX77" s="72">
        <f t="shared" si="88"/>
        <v>74</v>
      </c>
      <c r="BY77" s="71">
        <f t="shared" si="89"/>
        <v>106</v>
      </c>
      <c r="BZ77" s="72">
        <f t="shared" si="90"/>
        <v>110</v>
      </c>
      <c r="CA77" s="71">
        <f t="shared" si="91"/>
        <v>146</v>
      </c>
      <c r="CB77" s="72">
        <f t="shared" si="92"/>
        <v>154</v>
      </c>
      <c r="CC77" s="71">
        <f t="shared" si="93"/>
        <v>199</v>
      </c>
      <c r="CD77" s="72">
        <f t="shared" si="94"/>
        <v>204</v>
      </c>
      <c r="CE77" s="71">
        <f t="shared" si="95"/>
        <v>288</v>
      </c>
      <c r="CF77" s="72">
        <f t="shared" si="96"/>
        <v>321</v>
      </c>
      <c r="CG77" s="71">
        <f t="shared" si="97"/>
        <v>346</v>
      </c>
      <c r="CH77" s="70">
        <f t="shared" si="98"/>
        <v>69</v>
      </c>
      <c r="CI77" s="71">
        <f t="shared" si="99"/>
        <v>73</v>
      </c>
      <c r="CJ77" s="72">
        <f t="shared" si="100"/>
        <v>104</v>
      </c>
      <c r="CK77" s="72">
        <f t="shared" si="101"/>
        <v>109</v>
      </c>
      <c r="CL77" s="72">
        <f t="shared" si="102"/>
        <v>145</v>
      </c>
      <c r="CM77" s="72">
        <f t="shared" si="103"/>
        <v>153</v>
      </c>
      <c r="CN77" s="72">
        <f t="shared" si="104"/>
        <v>180</v>
      </c>
      <c r="CO77" s="72">
        <f t="shared" si="105"/>
        <v>201</v>
      </c>
      <c r="CP77" s="72">
        <f t="shared" si="106"/>
        <v>240</v>
      </c>
      <c r="CQ77" s="72">
        <f t="shared" si="107"/>
        <v>316</v>
      </c>
      <c r="CR77" s="72">
        <f t="shared" si="108"/>
        <v>345</v>
      </c>
      <c r="CS77" s="72">
        <f t="shared" si="109"/>
        <v>358</v>
      </c>
      <c r="CT77" s="23">
        <f t="shared" si="11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139"/>
        <v>adrb1_melga_3ZPQ</v>
      </c>
      <c r="B78" s="3" t="s">
        <v>912</v>
      </c>
      <c r="C78" s="3" t="s">
        <v>1038</v>
      </c>
      <c r="D78" s="3" t="str">
        <f>IFERROR(MID(VLOOKUP($B78,Seqs!$A:$B,2,0),E78,1),"")</f>
        <v>A</v>
      </c>
      <c r="E78" s="3">
        <v>33</v>
      </c>
      <c r="F78" s="3" t="str">
        <f>IFERROR(MID(VLOOKUP($B78,Seqs!$A:$B,2,0),G78,1),"")</f>
        <v>T</v>
      </c>
      <c r="G78" s="3">
        <v>69</v>
      </c>
      <c r="H78" s="3" t="str">
        <f>IFERROR(MID(VLOOKUP($B78,Seqs!$A:$B,2,0),I78,1),"")</f>
        <v>Q</v>
      </c>
      <c r="I78" s="23">
        <v>70</v>
      </c>
      <c r="J78" s="3" t="str">
        <f>IFERROR(MID(VLOOKUP($B78,Seqs!$A:$B,2,0),K78,1),"")</f>
        <v>Q</v>
      </c>
      <c r="K78" s="23">
        <v>73</v>
      </c>
      <c r="L78" s="3" t="str">
        <f>IFERROR(MID(VLOOKUP($B78,Seqs!$A:$B,2,0),M78,1),"")</f>
        <v>T</v>
      </c>
      <c r="M78" s="3">
        <v>74</v>
      </c>
      <c r="N78" s="3" t="str">
        <f>IFERROR(MID(VLOOKUP($B78,Seqs!$A:$B,2,0),O78,1),"")</f>
        <v>R</v>
      </c>
      <c r="O78" s="3">
        <v>104</v>
      </c>
      <c r="P78" s="3" t="str">
        <f>IFERROR(MID(VLOOKUP($B78,Seqs!$A:$B,2,0),Q78,1),"")</f>
        <v>T</v>
      </c>
      <c r="Q78" s="3">
        <v>106</v>
      </c>
      <c r="R78" s="3" t="str">
        <f>IFERROR(MID(VLOOKUP($B78,Seqs!$A:$B,2,0),S78,1),"")</f>
        <v>W</v>
      </c>
      <c r="S78" s="3">
        <v>109</v>
      </c>
      <c r="T78" s="3" t="str">
        <f>IFERROR(MID(VLOOKUP($B78,Seqs!$A:$B,2,0),U78,1),"")</f>
        <v>G</v>
      </c>
      <c r="U78" s="3">
        <v>110</v>
      </c>
      <c r="V78" s="3" t="str">
        <f>IFERROR(MID(VLOOKUP($B78,Seqs!$A:$B,2,0),W78,1),"")</f>
        <v>S</v>
      </c>
      <c r="W78" s="3">
        <v>145</v>
      </c>
      <c r="X78" s="3" t="str">
        <f>IFERROR(MID(VLOOKUP($B78,Seqs!$A:$B,2,0),Y78,1),"")</f>
        <v>P</v>
      </c>
      <c r="Y78" s="3">
        <v>146</v>
      </c>
      <c r="Z78" s="3" t="str">
        <f>IFERROR(MID(VLOOKUP($B78,Seqs!$A:$B,2,0),AA78,1),"")</f>
        <v>M</v>
      </c>
      <c r="AA78" s="3">
        <v>153</v>
      </c>
      <c r="AB78" s="3" t="str">
        <f>IFERROR(MID(VLOOKUP($B78,Seqs!$A:$B,2,0),AC78,1),"")</f>
        <v>T</v>
      </c>
      <c r="AC78" s="9">
        <v>154</v>
      </c>
      <c r="AD78" s="3" t="str">
        <f>IFERROR(MID(VLOOKUP($B78,Seqs!$A:$B,2,0),AE78,1),"")</f>
        <v>H</v>
      </c>
      <c r="AE78" s="3">
        <v>180</v>
      </c>
      <c r="AF78" s="3" t="str">
        <f>IFERROR(MID(VLOOKUP($B78,Seqs!$A:$B,2,0),AG78,1),"")</f>
        <v>C</v>
      </c>
      <c r="AG78" s="3">
        <v>199</v>
      </c>
      <c r="AH78" s="3" t="str">
        <f>IFERROR(MID(VLOOKUP($B78,Seqs!$A:$B,2,0),AI78,1),"")</f>
        <v>F</v>
      </c>
      <c r="AI78" s="3">
        <v>201</v>
      </c>
      <c r="AJ78" s="3" t="str">
        <f>IFERROR(MID(VLOOKUP($B78,Seqs!$A:$B,2,0),AK78,1),"")</f>
        <v>N</v>
      </c>
      <c r="AK78" s="3">
        <v>204</v>
      </c>
      <c r="AL78" s="3" t="str">
        <f>IFERROR(MID(VLOOKUP($B78,Seqs!$A:$B,2,0),AM78,1),"")</f>
        <v>I</v>
      </c>
      <c r="AM78" s="3">
        <v>238</v>
      </c>
      <c r="AN78" s="3" t="str">
        <f>IFERROR(MID(VLOOKUP($B78,Seqs!$A:$B,2,0),AO78,1),"")</f>
        <v>R</v>
      </c>
      <c r="AO78" s="3">
        <v>275</v>
      </c>
      <c r="AP78" s="3" t="str">
        <f>IFERROR(MID(VLOOKUP($B78,Seqs!$A:$B,2,0),AQ78,1),"")</f>
        <v>N</v>
      </c>
      <c r="AQ78" s="3">
        <v>316</v>
      </c>
      <c r="AR78" s="3" t="str">
        <f>IFERROR(MID(VLOOKUP($B78,Seqs!$A:$B,2,0),AS78,1),"")</f>
        <v>P</v>
      </c>
      <c r="AS78" s="3">
        <v>321</v>
      </c>
      <c r="AT78" s="3" t="str">
        <f>IFERROR(MID(VLOOKUP($B78,Seqs!$A:$B,2,0),AU78,1),"")</f>
        <v>R</v>
      </c>
      <c r="AU78" s="3">
        <v>345</v>
      </c>
      <c r="AV78" s="3" t="str">
        <f>IFERROR(MID(VLOOKUP($B78,Seqs!$A:$B,2,0),AW78,1),"")</f>
        <v>S</v>
      </c>
      <c r="AW78" s="3">
        <v>346</v>
      </c>
      <c r="AX78" s="3" t="str">
        <f>IFERROR(MID(VLOOKUP($B78,Seqs!$A:$B,2,0),AY78,1),"")</f>
        <v>C</v>
      </c>
      <c r="AY78" s="3">
        <v>358</v>
      </c>
      <c r="AZ78" s="77" t="str">
        <f>VLOOKUP(B78,Classification!A:D,2,0)</f>
        <v>A</v>
      </c>
      <c r="BA78" s="94" t="str">
        <f>VLOOKUP(B78,Classification!A:D,4,0)</f>
        <v>Adrenoceptors</v>
      </c>
      <c r="BB78" s="27" t="b">
        <f t="shared" si="140"/>
        <v>1</v>
      </c>
      <c r="BC78" s="23">
        <f t="shared" si="85"/>
        <v>265</v>
      </c>
      <c r="BD78" s="4" t="s">
        <v>23</v>
      </c>
      <c r="BE78" s="3" t="s">
        <v>1381</v>
      </c>
      <c r="BF78" s="119">
        <v>2.8</v>
      </c>
      <c r="BG78" s="49" t="s">
        <v>1384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86"/>
        <v>33</v>
      </c>
      <c r="BW78" s="71">
        <f t="shared" si="87"/>
        <v>70</v>
      </c>
      <c r="BX78" s="72">
        <f t="shared" si="88"/>
        <v>74</v>
      </c>
      <c r="BY78" s="71">
        <f t="shared" si="89"/>
        <v>106</v>
      </c>
      <c r="BZ78" s="72">
        <f t="shared" si="90"/>
        <v>110</v>
      </c>
      <c r="CA78" s="71">
        <f t="shared" si="91"/>
        <v>146</v>
      </c>
      <c r="CB78" s="72">
        <f t="shared" si="92"/>
        <v>154</v>
      </c>
      <c r="CC78" s="71">
        <f t="shared" si="93"/>
        <v>199</v>
      </c>
      <c r="CD78" s="72">
        <f t="shared" si="94"/>
        <v>204</v>
      </c>
      <c r="CE78" s="71">
        <f t="shared" si="95"/>
        <v>275</v>
      </c>
      <c r="CF78" s="72">
        <f t="shared" si="96"/>
        <v>321</v>
      </c>
      <c r="CG78" s="71">
        <f t="shared" si="97"/>
        <v>346</v>
      </c>
      <c r="CH78" s="70">
        <f t="shared" si="98"/>
        <v>69</v>
      </c>
      <c r="CI78" s="71">
        <f t="shared" si="99"/>
        <v>73</v>
      </c>
      <c r="CJ78" s="72">
        <f t="shared" si="100"/>
        <v>104</v>
      </c>
      <c r="CK78" s="72">
        <f t="shared" si="101"/>
        <v>109</v>
      </c>
      <c r="CL78" s="72">
        <f t="shared" si="102"/>
        <v>145</v>
      </c>
      <c r="CM78" s="72">
        <f t="shared" si="103"/>
        <v>153</v>
      </c>
      <c r="CN78" s="72">
        <f t="shared" si="104"/>
        <v>180</v>
      </c>
      <c r="CO78" s="72">
        <f t="shared" si="105"/>
        <v>201</v>
      </c>
      <c r="CP78" s="72">
        <f t="shared" si="106"/>
        <v>238</v>
      </c>
      <c r="CQ78" s="72">
        <f t="shared" si="107"/>
        <v>316</v>
      </c>
      <c r="CR78" s="72">
        <f t="shared" si="108"/>
        <v>345</v>
      </c>
      <c r="CS78" s="72">
        <f t="shared" si="109"/>
        <v>358</v>
      </c>
      <c r="CT78" s="23">
        <f t="shared" si="11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139"/>
        <v>adrb1_melga_3ZPR</v>
      </c>
      <c r="B79" s="3" t="s">
        <v>912</v>
      </c>
      <c r="C79" s="3" t="s">
        <v>1039</v>
      </c>
      <c r="D79" s="3" t="str">
        <f>IFERROR(MID(VLOOKUP($B79,Seqs!$A:$B,2,0),E79,1),"")</f>
        <v>A</v>
      </c>
      <c r="E79" s="3">
        <v>33</v>
      </c>
      <c r="F79" s="3" t="str">
        <f>IFERROR(MID(VLOOKUP($B79,Seqs!$A:$B,2,0),G79,1),"")</f>
        <v>T</v>
      </c>
      <c r="G79" s="3">
        <v>69</v>
      </c>
      <c r="H79" s="3" t="str">
        <f>IFERROR(MID(VLOOKUP($B79,Seqs!$A:$B,2,0),I79,1),"")</f>
        <v>Q</v>
      </c>
      <c r="I79" s="23">
        <v>70</v>
      </c>
      <c r="J79" s="3" t="str">
        <f>IFERROR(MID(VLOOKUP($B79,Seqs!$A:$B,2,0),K79,1),"")</f>
        <v>Q</v>
      </c>
      <c r="K79" s="23">
        <v>73</v>
      </c>
      <c r="L79" s="3" t="str">
        <f>IFERROR(MID(VLOOKUP($B79,Seqs!$A:$B,2,0),M79,1),"")</f>
        <v>T</v>
      </c>
      <c r="M79" s="3">
        <v>74</v>
      </c>
      <c r="N79" s="3" t="str">
        <f>IFERROR(MID(VLOOKUP($B79,Seqs!$A:$B,2,0),O79,1),"")</f>
        <v>R</v>
      </c>
      <c r="O79" s="3">
        <v>104</v>
      </c>
      <c r="P79" s="3" t="str">
        <f>IFERROR(MID(VLOOKUP($B79,Seqs!$A:$B,2,0),Q79,1),"")</f>
        <v>T</v>
      </c>
      <c r="Q79" s="3">
        <v>106</v>
      </c>
      <c r="R79" s="3" t="str">
        <f>IFERROR(MID(VLOOKUP($B79,Seqs!$A:$B,2,0),S79,1),"")</f>
        <v>W</v>
      </c>
      <c r="S79" s="3">
        <v>109</v>
      </c>
      <c r="T79" s="3" t="str">
        <f>IFERROR(MID(VLOOKUP($B79,Seqs!$A:$B,2,0),U79,1),"")</f>
        <v>G</v>
      </c>
      <c r="U79" s="3">
        <v>110</v>
      </c>
      <c r="V79" s="3" t="str">
        <f>IFERROR(MID(VLOOKUP($B79,Seqs!$A:$B,2,0),W79,1),"")</f>
        <v>S</v>
      </c>
      <c r="W79" s="3">
        <v>145</v>
      </c>
      <c r="X79" s="3" t="str">
        <f>IFERROR(MID(VLOOKUP($B79,Seqs!$A:$B,2,0),Y79,1),"")</f>
        <v>P</v>
      </c>
      <c r="Y79" s="3">
        <v>146</v>
      </c>
      <c r="Z79" s="3" t="str">
        <f>IFERROR(MID(VLOOKUP($B79,Seqs!$A:$B,2,0),AA79,1),"")</f>
        <v>M</v>
      </c>
      <c r="AA79" s="3">
        <v>153</v>
      </c>
      <c r="AB79" s="3" t="str">
        <f>IFERROR(MID(VLOOKUP($B79,Seqs!$A:$B,2,0),AC79,1),"")</f>
        <v>T</v>
      </c>
      <c r="AC79" s="9">
        <v>154</v>
      </c>
      <c r="AD79" s="3" t="str">
        <f>IFERROR(MID(VLOOKUP($B79,Seqs!$A:$B,2,0),AE79,1),"")</f>
        <v>H</v>
      </c>
      <c r="AE79" s="3">
        <v>180</v>
      </c>
      <c r="AF79" s="3" t="str">
        <f>IFERROR(MID(VLOOKUP($B79,Seqs!$A:$B,2,0),AG79,1),"")</f>
        <v>C</v>
      </c>
      <c r="AG79" s="3">
        <v>199</v>
      </c>
      <c r="AH79" s="3" t="str">
        <f>IFERROR(MID(VLOOKUP($B79,Seqs!$A:$B,2,0),AI79,1),"")</f>
        <v>F</v>
      </c>
      <c r="AI79" s="3">
        <v>201</v>
      </c>
      <c r="AJ79" s="3" t="str">
        <f>IFERROR(MID(VLOOKUP($B79,Seqs!$A:$B,2,0),AK79,1),"")</f>
        <v>N</v>
      </c>
      <c r="AK79" s="3">
        <v>204</v>
      </c>
      <c r="AL79" s="3" t="str">
        <f>IFERROR(MID(VLOOKUP($B79,Seqs!$A:$B,2,0),AM79,1),"")</f>
        <v>I</v>
      </c>
      <c r="AM79" s="3">
        <v>238</v>
      </c>
      <c r="AN79" s="3" t="str">
        <f>IFERROR(MID(VLOOKUP($B79,Seqs!$A:$B,2,0),AO79,1),"")</f>
        <v>R</v>
      </c>
      <c r="AO79" s="3">
        <v>275</v>
      </c>
      <c r="AP79" s="3" t="str">
        <f>IFERROR(MID(VLOOKUP($B79,Seqs!$A:$B,2,0),AQ79,1),"")</f>
        <v>N</v>
      </c>
      <c r="AQ79" s="3">
        <v>316</v>
      </c>
      <c r="AR79" s="3" t="str">
        <f>IFERROR(MID(VLOOKUP($B79,Seqs!$A:$B,2,0),AS79,1),"")</f>
        <v>P</v>
      </c>
      <c r="AS79" s="3">
        <v>321</v>
      </c>
      <c r="AT79" s="3" t="str">
        <f>IFERROR(MID(VLOOKUP($B79,Seqs!$A:$B,2,0),AU79,1),"")</f>
        <v>R</v>
      </c>
      <c r="AU79" s="3">
        <v>345</v>
      </c>
      <c r="AV79" s="3" t="str">
        <f>IFERROR(MID(VLOOKUP($B79,Seqs!$A:$B,2,0),AW79,1),"")</f>
        <v>S</v>
      </c>
      <c r="AW79" s="3">
        <v>346</v>
      </c>
      <c r="AX79" s="3" t="str">
        <f>IFERROR(MID(VLOOKUP($B79,Seqs!$A:$B,2,0),AY79,1),"")</f>
        <v>C</v>
      </c>
      <c r="AY79" s="3">
        <v>358</v>
      </c>
      <c r="AZ79" s="77" t="str">
        <f>VLOOKUP(B79,Classification!A:D,2,0)</f>
        <v>A</v>
      </c>
      <c r="BA79" s="94" t="str">
        <f>VLOOKUP(B79,Classification!A:D,4,0)</f>
        <v>Adrenoceptors</v>
      </c>
      <c r="BB79" s="27" t="b">
        <f t="shared" si="140"/>
        <v>1</v>
      </c>
      <c r="BC79" s="23">
        <f t="shared" si="85"/>
        <v>265</v>
      </c>
      <c r="BD79" s="4" t="s">
        <v>23</v>
      </c>
      <c r="BE79" s="3" t="s">
        <v>1381</v>
      </c>
      <c r="BF79" s="119">
        <v>2.7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86"/>
        <v>33</v>
      </c>
      <c r="BW79" s="71">
        <f t="shared" si="87"/>
        <v>70</v>
      </c>
      <c r="BX79" s="72">
        <f t="shared" si="88"/>
        <v>74</v>
      </c>
      <c r="BY79" s="71">
        <f t="shared" si="89"/>
        <v>106</v>
      </c>
      <c r="BZ79" s="72">
        <f t="shared" si="90"/>
        <v>110</v>
      </c>
      <c r="CA79" s="71">
        <f t="shared" si="91"/>
        <v>146</v>
      </c>
      <c r="CB79" s="72">
        <f t="shared" si="92"/>
        <v>154</v>
      </c>
      <c r="CC79" s="71">
        <f t="shared" si="93"/>
        <v>199</v>
      </c>
      <c r="CD79" s="72">
        <f t="shared" si="94"/>
        <v>204</v>
      </c>
      <c r="CE79" s="71">
        <f t="shared" si="95"/>
        <v>275</v>
      </c>
      <c r="CF79" s="72">
        <f t="shared" si="96"/>
        <v>321</v>
      </c>
      <c r="CG79" s="71">
        <f t="shared" si="97"/>
        <v>346</v>
      </c>
      <c r="CH79" s="70">
        <f t="shared" si="98"/>
        <v>69</v>
      </c>
      <c r="CI79" s="71">
        <f t="shared" si="99"/>
        <v>73</v>
      </c>
      <c r="CJ79" s="72">
        <f t="shared" si="100"/>
        <v>104</v>
      </c>
      <c r="CK79" s="72">
        <f t="shared" si="101"/>
        <v>109</v>
      </c>
      <c r="CL79" s="72">
        <f t="shared" si="102"/>
        <v>145</v>
      </c>
      <c r="CM79" s="72">
        <f t="shared" si="103"/>
        <v>153</v>
      </c>
      <c r="CN79" s="72">
        <f t="shared" si="104"/>
        <v>180</v>
      </c>
      <c r="CO79" s="72">
        <f t="shared" si="105"/>
        <v>201</v>
      </c>
      <c r="CP79" s="72">
        <f t="shared" si="106"/>
        <v>238</v>
      </c>
      <c r="CQ79" s="72">
        <f t="shared" si="107"/>
        <v>316</v>
      </c>
      <c r="CR79" s="72">
        <f t="shared" si="108"/>
        <v>345</v>
      </c>
      <c r="CS79" s="72">
        <f t="shared" si="109"/>
        <v>358</v>
      </c>
      <c r="CT79" s="23">
        <f t="shared" si="11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139"/>
        <v>adrb1_melga_4AMI</v>
      </c>
      <c r="B80" s="3" t="s">
        <v>912</v>
      </c>
      <c r="C80" s="3" t="s">
        <v>1040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236</v>
      </c>
      <c r="AN80" s="3" t="str">
        <f>IFERROR(MID(VLOOKUP($B80,Seqs!$A:$B,2,0),AO80,1),"")</f>
        <v>A</v>
      </c>
      <c r="AO80" s="3">
        <v>288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140"/>
        <v>1</v>
      </c>
      <c r="BC80" s="23">
        <f t="shared" si="85"/>
        <v>250</v>
      </c>
      <c r="BD80" s="4" t="s">
        <v>23</v>
      </c>
      <c r="BE80" s="3" t="s">
        <v>1381</v>
      </c>
      <c r="BF80" s="119">
        <v>3.2</v>
      </c>
      <c r="BG80" s="49" t="s">
        <v>1384</v>
      </c>
      <c r="BH80" s="49" t="s">
        <v>1384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86"/>
        <v>33</v>
      </c>
      <c r="BW80" s="71">
        <f t="shared" si="87"/>
        <v>70</v>
      </c>
      <c r="BX80" s="72">
        <f t="shared" si="88"/>
        <v>74</v>
      </c>
      <c r="BY80" s="71">
        <f t="shared" si="89"/>
        <v>106</v>
      </c>
      <c r="BZ80" s="72">
        <f t="shared" si="90"/>
        <v>110</v>
      </c>
      <c r="CA80" s="71">
        <f t="shared" si="91"/>
        <v>146</v>
      </c>
      <c r="CB80" s="72">
        <f t="shared" si="92"/>
        <v>154</v>
      </c>
      <c r="CC80" s="71">
        <f t="shared" si="93"/>
        <v>199</v>
      </c>
      <c r="CD80" s="72">
        <f t="shared" si="94"/>
        <v>204</v>
      </c>
      <c r="CE80" s="71">
        <f t="shared" si="95"/>
        <v>288</v>
      </c>
      <c r="CF80" s="72">
        <f t="shared" si="96"/>
        <v>321</v>
      </c>
      <c r="CG80" s="71">
        <f t="shared" si="97"/>
        <v>346</v>
      </c>
      <c r="CH80" s="70">
        <f t="shared" si="98"/>
        <v>69</v>
      </c>
      <c r="CI80" s="71">
        <f t="shared" si="99"/>
        <v>73</v>
      </c>
      <c r="CJ80" s="72">
        <f t="shared" si="100"/>
        <v>104</v>
      </c>
      <c r="CK80" s="72">
        <f t="shared" si="101"/>
        <v>109</v>
      </c>
      <c r="CL80" s="72">
        <f t="shared" si="102"/>
        <v>145</v>
      </c>
      <c r="CM80" s="72">
        <f t="shared" si="103"/>
        <v>153</v>
      </c>
      <c r="CN80" s="72">
        <f t="shared" si="104"/>
        <v>180</v>
      </c>
      <c r="CO80" s="72">
        <f t="shared" si="105"/>
        <v>201</v>
      </c>
      <c r="CP80" s="72">
        <f t="shared" si="106"/>
        <v>236</v>
      </c>
      <c r="CQ80" s="72">
        <f t="shared" si="107"/>
        <v>316</v>
      </c>
      <c r="CR80" s="72">
        <f t="shared" si="108"/>
        <v>345</v>
      </c>
      <c r="CS80" s="72">
        <f t="shared" si="109"/>
        <v>358</v>
      </c>
      <c r="CT80" s="23">
        <f t="shared" si="11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139"/>
        <v>adrb1_melga_4AMJ</v>
      </c>
      <c r="B81" s="3" t="s">
        <v>912</v>
      </c>
      <c r="C81" s="3" t="s">
        <v>1041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140"/>
        <v>1</v>
      </c>
      <c r="BC81" s="23">
        <f t="shared" si="85"/>
        <v>265</v>
      </c>
      <c r="BD81" s="2" t="s">
        <v>1383</v>
      </c>
      <c r="BE81" s="3" t="s">
        <v>1381</v>
      </c>
      <c r="BF81" s="119">
        <v>2.2999999999999998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86"/>
        <v>33</v>
      </c>
      <c r="BW81" s="71">
        <f t="shared" si="87"/>
        <v>70</v>
      </c>
      <c r="BX81" s="72">
        <f t="shared" si="88"/>
        <v>74</v>
      </c>
      <c r="BY81" s="71">
        <f t="shared" si="89"/>
        <v>106</v>
      </c>
      <c r="BZ81" s="72">
        <f t="shared" si="90"/>
        <v>110</v>
      </c>
      <c r="CA81" s="71">
        <f t="shared" si="91"/>
        <v>146</v>
      </c>
      <c r="CB81" s="72">
        <f t="shared" si="92"/>
        <v>154</v>
      </c>
      <c r="CC81" s="71">
        <f t="shared" si="93"/>
        <v>199</v>
      </c>
      <c r="CD81" s="72">
        <f t="shared" si="94"/>
        <v>204</v>
      </c>
      <c r="CE81" s="71">
        <f t="shared" si="95"/>
        <v>275</v>
      </c>
      <c r="CF81" s="72">
        <f t="shared" si="96"/>
        <v>321</v>
      </c>
      <c r="CG81" s="71">
        <f t="shared" si="97"/>
        <v>346</v>
      </c>
      <c r="CH81" s="70">
        <f t="shared" si="98"/>
        <v>69</v>
      </c>
      <c r="CI81" s="71">
        <f t="shared" si="99"/>
        <v>73</v>
      </c>
      <c r="CJ81" s="72">
        <f t="shared" si="100"/>
        <v>104</v>
      </c>
      <c r="CK81" s="72">
        <f t="shared" si="101"/>
        <v>109</v>
      </c>
      <c r="CL81" s="72">
        <f t="shared" si="102"/>
        <v>145</v>
      </c>
      <c r="CM81" s="72">
        <f t="shared" si="103"/>
        <v>153</v>
      </c>
      <c r="CN81" s="72">
        <f t="shared" si="104"/>
        <v>180</v>
      </c>
      <c r="CO81" s="72">
        <f t="shared" si="105"/>
        <v>201</v>
      </c>
      <c r="CP81" s="72">
        <f t="shared" si="106"/>
        <v>238</v>
      </c>
      <c r="CQ81" s="72">
        <f t="shared" si="107"/>
        <v>316</v>
      </c>
      <c r="CR81" s="72">
        <f t="shared" si="108"/>
        <v>345</v>
      </c>
      <c r="CS81" s="72">
        <f t="shared" si="109"/>
        <v>358</v>
      </c>
      <c r="CT81" s="23">
        <f t="shared" si="11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139"/>
        <v>adrb1_melga_4BVN</v>
      </c>
      <c r="B82" s="3" t="s">
        <v>912</v>
      </c>
      <c r="C82" s="3" t="s">
        <v>82</v>
      </c>
      <c r="D82" s="3" t="str">
        <f>IFERROR(MID(VLOOKUP($B82,Seqs!$A:$B,2,0),E82,1),"")</f>
        <v>S</v>
      </c>
      <c r="E82" s="3">
        <v>37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R</v>
      </c>
      <c r="AM82" s="3">
        <v>239</v>
      </c>
      <c r="AN82" s="3" t="str">
        <f>IFERROR(MID(VLOOKUP($B82,Seqs!$A:$B,2,0),AO82,1),"")</f>
        <v>R</v>
      </c>
      <c r="AO82" s="3">
        <v>279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140"/>
        <v>1</v>
      </c>
      <c r="BC82" s="23">
        <f t="shared" ref="BC82:BC126" si="141">_xlfn.AGGREGATE(9,6,CH82:CS82)-_xlfn.AGGREGATE(9,6,BV82:CG82)+12</f>
        <v>258</v>
      </c>
      <c r="BD82" s="4" t="s">
        <v>23</v>
      </c>
      <c r="BE82" s="3" t="s">
        <v>1381</v>
      </c>
      <c r="BF82" s="119">
        <v>2.1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ref="BV82:BV126" si="142">E82</f>
        <v>37</v>
      </c>
      <c r="BW82" s="71">
        <f t="shared" ref="BW82:BW126" si="143">I82</f>
        <v>70</v>
      </c>
      <c r="BX82" s="72">
        <f t="shared" ref="BX82:BX126" si="144">M82</f>
        <v>74</v>
      </c>
      <c r="BY82" s="71">
        <f t="shared" ref="BY82:BY126" si="145">Q82</f>
        <v>106</v>
      </c>
      <c r="BZ82" s="72">
        <f t="shared" ref="BZ82:BZ126" si="146">U82</f>
        <v>110</v>
      </c>
      <c r="CA82" s="71">
        <f t="shared" ref="CA82:CA126" si="147">Y82</f>
        <v>146</v>
      </c>
      <c r="CB82" s="72">
        <f t="shared" ref="CB82:CB126" si="148">AC82</f>
        <v>154</v>
      </c>
      <c r="CC82" s="71">
        <f t="shared" ref="CC82:CC126" si="149">AG82</f>
        <v>199</v>
      </c>
      <c r="CD82" s="72">
        <f t="shared" ref="CD82:CD126" si="150">AK82</f>
        <v>204</v>
      </c>
      <c r="CE82" s="71">
        <f t="shared" ref="CE82:CE126" si="151">AO82</f>
        <v>279</v>
      </c>
      <c r="CF82" s="72">
        <f t="shared" ref="CF82:CF126" si="152">AS82</f>
        <v>321</v>
      </c>
      <c r="CG82" s="71">
        <f t="shared" ref="CG82:CG126" si="153">AW82</f>
        <v>346</v>
      </c>
      <c r="CH82" s="70">
        <f t="shared" ref="CH82:CH126" si="154">G82</f>
        <v>69</v>
      </c>
      <c r="CI82" s="71">
        <f t="shared" ref="CI82:CI126" si="155">K82</f>
        <v>73</v>
      </c>
      <c r="CJ82" s="72">
        <f t="shared" ref="CJ82:CJ126" si="156">O82</f>
        <v>104</v>
      </c>
      <c r="CK82" s="72">
        <f t="shared" ref="CK82:CK126" si="157">S82</f>
        <v>109</v>
      </c>
      <c r="CL82" s="72">
        <f t="shared" ref="CL82:CL126" si="158">W82</f>
        <v>145</v>
      </c>
      <c r="CM82" s="72">
        <f t="shared" ref="CM82:CM126" si="159">AA82</f>
        <v>153</v>
      </c>
      <c r="CN82" s="72">
        <f t="shared" ref="CN82:CN126" si="160">AE82</f>
        <v>180</v>
      </c>
      <c r="CO82" s="72">
        <f t="shared" ref="CO82:CO126" si="161">AI82</f>
        <v>201</v>
      </c>
      <c r="CP82" s="72">
        <f t="shared" ref="CP82:CP126" si="162">AM82</f>
        <v>239</v>
      </c>
      <c r="CQ82" s="72">
        <f t="shared" ref="CQ82:CQ126" si="163">AQ82</f>
        <v>316</v>
      </c>
      <c r="CR82" s="72">
        <f t="shared" ref="CR82:CR126" si="164">AU82</f>
        <v>345</v>
      </c>
      <c r="CS82" s="72">
        <f t="shared" ref="CS82:CS126" si="165">AY82</f>
        <v>358</v>
      </c>
      <c r="CT82" s="23">
        <f t="shared" ref="CT82:CT126" si="166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139"/>
        <v>adrb1_melga_4GPO</v>
      </c>
      <c r="B83" s="3" t="s">
        <v>912</v>
      </c>
      <c r="C83" s="3" t="s">
        <v>1042</v>
      </c>
      <c r="D83" s="3" t="str">
        <f>IFERROR(MID(VLOOKUP($B83,Seqs!$A:$B,2,0),E83,1),"")</f>
        <v>S</v>
      </c>
      <c r="E83" s="3">
        <v>37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E</v>
      </c>
      <c r="AM83" s="3">
        <v>233</v>
      </c>
      <c r="AN83" s="3" t="str">
        <f>IFERROR(MID(VLOOKUP($B83,Seqs!$A:$B,2,0),AO83,1),"")</f>
        <v>M</v>
      </c>
      <c r="AO83" s="3">
        <v>283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L</v>
      </c>
      <c r="AY83" s="3">
        <v>356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140"/>
        <v>1</v>
      </c>
      <c r="BC83" s="23">
        <f t="shared" si="141"/>
        <v>246</v>
      </c>
      <c r="BD83" s="4" t="s">
        <v>23</v>
      </c>
      <c r="BE83" s="3" t="s">
        <v>1381</v>
      </c>
      <c r="BF83" s="119">
        <v>3.5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42"/>
        <v>37</v>
      </c>
      <c r="BW83" s="71">
        <f t="shared" si="143"/>
        <v>70</v>
      </c>
      <c r="BX83" s="72">
        <f t="shared" si="144"/>
        <v>74</v>
      </c>
      <c r="BY83" s="71">
        <f t="shared" si="145"/>
        <v>106</v>
      </c>
      <c r="BZ83" s="72">
        <f t="shared" si="146"/>
        <v>110</v>
      </c>
      <c r="CA83" s="71">
        <f t="shared" si="147"/>
        <v>146</v>
      </c>
      <c r="CB83" s="72">
        <f t="shared" si="148"/>
        <v>154</v>
      </c>
      <c r="CC83" s="71">
        <f t="shared" si="149"/>
        <v>199</v>
      </c>
      <c r="CD83" s="72">
        <f t="shared" si="150"/>
        <v>204</v>
      </c>
      <c r="CE83" s="71">
        <f t="shared" si="151"/>
        <v>283</v>
      </c>
      <c r="CF83" s="72">
        <f t="shared" si="152"/>
        <v>321</v>
      </c>
      <c r="CG83" s="71">
        <f t="shared" si="153"/>
        <v>346</v>
      </c>
      <c r="CH83" s="70">
        <f t="shared" si="154"/>
        <v>69</v>
      </c>
      <c r="CI83" s="71">
        <f t="shared" si="155"/>
        <v>73</v>
      </c>
      <c r="CJ83" s="72">
        <f t="shared" si="156"/>
        <v>104</v>
      </c>
      <c r="CK83" s="72">
        <f t="shared" si="157"/>
        <v>109</v>
      </c>
      <c r="CL83" s="72">
        <f t="shared" si="158"/>
        <v>145</v>
      </c>
      <c r="CM83" s="72">
        <f t="shared" si="159"/>
        <v>153</v>
      </c>
      <c r="CN83" s="72">
        <f t="shared" si="160"/>
        <v>180</v>
      </c>
      <c r="CO83" s="72">
        <f t="shared" si="161"/>
        <v>201</v>
      </c>
      <c r="CP83" s="72">
        <f t="shared" si="162"/>
        <v>233</v>
      </c>
      <c r="CQ83" s="72">
        <f t="shared" si="163"/>
        <v>316</v>
      </c>
      <c r="CR83" s="72">
        <f t="shared" si="164"/>
        <v>345</v>
      </c>
      <c r="CS83" s="72">
        <f t="shared" si="165"/>
        <v>356</v>
      </c>
      <c r="CT83" s="23">
        <f t="shared" si="166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139"/>
        <v>adrb1_melga_5A8E</v>
      </c>
      <c r="B84" s="3" t="s">
        <v>912</v>
      </c>
      <c r="C84" s="3" t="s">
        <v>1059</v>
      </c>
      <c r="D84" s="3" t="str">
        <f>IFERROR(MID(VLOOKUP($B84,Seqs!$A:$B,2,0),E84,1),"")</f>
        <v>S</v>
      </c>
      <c r="E84" s="3">
        <v>37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R</v>
      </c>
      <c r="AM84" s="3">
        <v>239</v>
      </c>
      <c r="AN84" s="3" t="str">
        <f>IFERROR(MID(VLOOKUP($B84,Seqs!$A:$B,2,0),AO84,1),"")</f>
        <v>R</v>
      </c>
      <c r="AO84" s="3">
        <v>279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K</v>
      </c>
      <c r="AY84" s="3">
        <v>354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140"/>
        <v>1</v>
      </c>
      <c r="BC84" s="23">
        <f t="shared" si="141"/>
        <v>254</v>
      </c>
      <c r="BD84" s="4" t="s">
        <v>23</v>
      </c>
      <c r="BE84" s="3" t="s">
        <v>1381</v>
      </c>
      <c r="BF84" s="119">
        <v>2.42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42"/>
        <v>37</v>
      </c>
      <c r="BW84" s="71">
        <f t="shared" si="143"/>
        <v>70</v>
      </c>
      <c r="BX84" s="72">
        <f t="shared" si="144"/>
        <v>74</v>
      </c>
      <c r="BY84" s="71">
        <f t="shared" si="145"/>
        <v>106</v>
      </c>
      <c r="BZ84" s="72">
        <f t="shared" si="146"/>
        <v>110</v>
      </c>
      <c r="CA84" s="71">
        <f t="shared" si="147"/>
        <v>146</v>
      </c>
      <c r="CB84" s="72">
        <f t="shared" si="148"/>
        <v>154</v>
      </c>
      <c r="CC84" s="71">
        <f t="shared" si="149"/>
        <v>199</v>
      </c>
      <c r="CD84" s="72">
        <f t="shared" si="150"/>
        <v>204</v>
      </c>
      <c r="CE84" s="71">
        <f t="shared" si="151"/>
        <v>279</v>
      </c>
      <c r="CF84" s="72">
        <f t="shared" si="152"/>
        <v>321</v>
      </c>
      <c r="CG84" s="71">
        <f t="shared" si="153"/>
        <v>346</v>
      </c>
      <c r="CH84" s="70">
        <f t="shared" si="154"/>
        <v>69</v>
      </c>
      <c r="CI84" s="71">
        <f t="shared" si="155"/>
        <v>73</v>
      </c>
      <c r="CJ84" s="72">
        <f t="shared" si="156"/>
        <v>104</v>
      </c>
      <c r="CK84" s="72">
        <f t="shared" si="157"/>
        <v>109</v>
      </c>
      <c r="CL84" s="72">
        <f t="shared" si="158"/>
        <v>145</v>
      </c>
      <c r="CM84" s="72">
        <f t="shared" si="159"/>
        <v>153</v>
      </c>
      <c r="CN84" s="72">
        <f t="shared" si="160"/>
        <v>180</v>
      </c>
      <c r="CO84" s="72">
        <f t="shared" si="161"/>
        <v>201</v>
      </c>
      <c r="CP84" s="72">
        <f t="shared" si="162"/>
        <v>239</v>
      </c>
      <c r="CQ84" s="72">
        <f t="shared" si="163"/>
        <v>316</v>
      </c>
      <c r="CR84" s="72">
        <f t="shared" si="164"/>
        <v>345</v>
      </c>
      <c r="CS84" s="72">
        <f t="shared" si="165"/>
        <v>354</v>
      </c>
      <c r="CT84" s="23">
        <f t="shared" si="166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139"/>
        <v>adrb1_melga_5F8U</v>
      </c>
      <c r="B85" s="3" t="s">
        <v>912</v>
      </c>
      <c r="C85" s="3" t="s">
        <v>1360</v>
      </c>
      <c r="D85" s="3" t="str">
        <f>IFERROR(MID(VLOOKUP($B85,Seqs!$A:$B,2,0),E85,1),"")</f>
        <v>W</v>
      </c>
      <c r="E85" s="3">
        <v>40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Q</v>
      </c>
      <c r="AM85" s="3">
        <v>237</v>
      </c>
      <c r="AN85" s="3" t="str">
        <f>IFERROR(MID(VLOOKUP($B85,Seqs!$A:$B,2,0),AO85,1),"")</f>
        <v>R</v>
      </c>
      <c r="AO85" s="3">
        <v>284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140"/>
        <v>1</v>
      </c>
      <c r="BC85" s="23">
        <f t="shared" si="141"/>
        <v>248</v>
      </c>
      <c r="BD85" s="5" t="s">
        <v>23</v>
      </c>
      <c r="BE85" s="3" t="s">
        <v>1381</v>
      </c>
      <c r="BF85" s="119">
        <v>3.35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42"/>
        <v>40</v>
      </c>
      <c r="BW85" s="71">
        <f t="shared" si="143"/>
        <v>70</v>
      </c>
      <c r="BX85" s="72">
        <f t="shared" si="144"/>
        <v>74</v>
      </c>
      <c r="BY85" s="71">
        <f t="shared" si="145"/>
        <v>106</v>
      </c>
      <c r="BZ85" s="72">
        <f t="shared" si="146"/>
        <v>110</v>
      </c>
      <c r="CA85" s="71">
        <f t="shared" si="147"/>
        <v>146</v>
      </c>
      <c r="CB85" s="72">
        <f t="shared" si="148"/>
        <v>154</v>
      </c>
      <c r="CC85" s="71">
        <f t="shared" si="149"/>
        <v>199</v>
      </c>
      <c r="CD85" s="72">
        <f t="shared" si="150"/>
        <v>204</v>
      </c>
      <c r="CE85" s="71">
        <f t="shared" si="151"/>
        <v>284</v>
      </c>
      <c r="CF85" s="72">
        <f t="shared" si="152"/>
        <v>321</v>
      </c>
      <c r="CG85" s="71">
        <f t="shared" si="153"/>
        <v>346</v>
      </c>
      <c r="CH85" s="70">
        <f t="shared" si="154"/>
        <v>69</v>
      </c>
      <c r="CI85" s="71">
        <f t="shared" si="155"/>
        <v>73</v>
      </c>
      <c r="CJ85" s="72">
        <f t="shared" si="156"/>
        <v>104</v>
      </c>
      <c r="CK85" s="72">
        <f t="shared" si="157"/>
        <v>109</v>
      </c>
      <c r="CL85" s="72">
        <f t="shared" si="158"/>
        <v>145</v>
      </c>
      <c r="CM85" s="72">
        <f t="shared" si="159"/>
        <v>153</v>
      </c>
      <c r="CN85" s="72">
        <f t="shared" si="160"/>
        <v>180</v>
      </c>
      <c r="CO85" s="72">
        <f t="shared" si="161"/>
        <v>201</v>
      </c>
      <c r="CP85" s="72">
        <f t="shared" si="162"/>
        <v>237</v>
      </c>
      <c r="CQ85" s="72">
        <f t="shared" si="163"/>
        <v>316</v>
      </c>
      <c r="CR85" s="72">
        <f t="shared" si="164"/>
        <v>345</v>
      </c>
      <c r="CS85" s="72">
        <f t="shared" si="165"/>
        <v>358</v>
      </c>
      <c r="CT85" s="23">
        <f t="shared" si="166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139"/>
        <v>adrb2_human__wt</v>
      </c>
      <c r="B86" s="3" t="s">
        <v>126</v>
      </c>
      <c r="C86" s="3" t="s">
        <v>100</v>
      </c>
      <c r="D86" s="3" t="str">
        <f>IFERROR(MID(VLOOKUP($B86,Seqs!$A:$B,2,0),E86,1),"")</f>
        <v>Q</v>
      </c>
      <c r="E86" s="3">
        <v>26</v>
      </c>
      <c r="F86" s="3" t="str">
        <f>IFERROR(MID(VLOOKUP($B86,Seqs!$A:$B,2,0),G86,1),"")</f>
        <v>F</v>
      </c>
      <c r="G86" s="3">
        <v>61</v>
      </c>
      <c r="H86" s="3" t="str">
        <f>IFERROR(MID(VLOOKUP($B86,Seqs!$A:$B,2,0),I86,1),"")</f>
        <v>E</v>
      </c>
      <c r="I86" s="23">
        <v>62</v>
      </c>
      <c r="J86" s="3" t="str">
        <f>IFERROR(MID(VLOOKUP($B86,Seqs!$A:$B,2,0),K86,1),"")</f>
        <v>Q</v>
      </c>
      <c r="K86" s="23">
        <v>65</v>
      </c>
      <c r="L86" s="3" t="str">
        <f>IFERROR(MID(VLOOKUP($B86,Seqs!$A:$B,2,0),M86,1),"")</f>
        <v>T</v>
      </c>
      <c r="M86" s="3">
        <v>66</v>
      </c>
      <c r="N86" s="3" t="str">
        <f>IFERROR(MID(VLOOKUP($B86,Seqs!$A:$B,2,0),O86,1),"")</f>
        <v>M</v>
      </c>
      <c r="O86" s="3">
        <v>96</v>
      </c>
      <c r="P86" s="3" t="str">
        <f>IFERROR(MID(VLOOKUP($B86,Seqs!$A:$B,2,0),Q86,1),"")</f>
        <v>M</v>
      </c>
      <c r="Q86" s="3">
        <v>98</v>
      </c>
      <c r="R86" s="3" t="str">
        <f>IFERROR(MID(VLOOKUP($B86,Seqs!$A:$B,2,0),S86,1),"")</f>
        <v>F</v>
      </c>
      <c r="S86" s="3">
        <v>101</v>
      </c>
      <c r="T86" s="3" t="str">
        <f>IFERROR(MID(VLOOKUP($B86,Seqs!$A:$B,2,0),U86,1),"")</f>
        <v>G</v>
      </c>
      <c r="U86" s="3">
        <v>102</v>
      </c>
      <c r="V86" s="3" t="str">
        <f>IFERROR(MID(VLOOKUP($B86,Seqs!$A:$B,2,0),W86,1),"")</f>
        <v>S</v>
      </c>
      <c r="W86" s="3">
        <v>137</v>
      </c>
      <c r="X86" s="3" t="str">
        <f>IFERROR(MID(VLOOKUP($B86,Seqs!$A:$B,2,0),Y86,1),"")</f>
        <v>P</v>
      </c>
      <c r="Y86" s="3">
        <v>138</v>
      </c>
      <c r="Z86" s="3" t="str">
        <f>IFERROR(MID(VLOOKUP($B86,Seqs!$A:$B,2,0),AA86,1),"")</f>
        <v>L</v>
      </c>
      <c r="AA86" s="3">
        <v>145</v>
      </c>
      <c r="AB86" s="3" t="str">
        <f>IFERROR(MID(VLOOKUP($B86,Seqs!$A:$B,2,0),AC86,1),"")</f>
        <v>T</v>
      </c>
      <c r="AC86" s="9">
        <v>146</v>
      </c>
      <c r="AD86" s="3" t="str">
        <f>IFERROR(MID(VLOOKUP($B86,Seqs!$A:$B,2,0),AE86,1),"")</f>
        <v>H</v>
      </c>
      <c r="AE86" s="3">
        <v>172</v>
      </c>
      <c r="AF86" s="3" t="str">
        <f>IFERROR(MID(VLOOKUP($B86,Seqs!$A:$B,2,0),AG86,1),"")</f>
        <v>C</v>
      </c>
      <c r="AG86" s="3">
        <v>191</v>
      </c>
      <c r="AH86" s="3" t="str">
        <f>IFERROR(MID(VLOOKUP($B86,Seqs!$A:$B,2,0),AI86,1),"")</f>
        <v>F</v>
      </c>
      <c r="AI86" s="3">
        <v>193</v>
      </c>
      <c r="AJ86" s="3" t="str">
        <f>IFERROR(MID(VLOOKUP($B86,Seqs!$A:$B,2,0),AK86,1),"")</f>
        <v>N</v>
      </c>
      <c r="AK86" s="3">
        <v>196</v>
      </c>
      <c r="AL86" s="3" t="str">
        <f>IFERROR(MID(VLOOKUP($B86,Seqs!$A:$B,2,0),AM86,1),"")</f>
        <v>E</v>
      </c>
      <c r="AM86" s="3">
        <v>237</v>
      </c>
      <c r="AN86" s="3" t="str">
        <f>IFERROR(MID(VLOOKUP($B86,Seqs!$A:$B,2,0),AO86,1),"")</f>
        <v>S</v>
      </c>
      <c r="AO86" s="3">
        <v>262</v>
      </c>
      <c r="AP86" s="3" t="str">
        <f>IFERROR(MID(VLOOKUP($B86,Seqs!$A:$B,2,0),AQ86,1),"")</f>
        <v>Q</v>
      </c>
      <c r="AQ86" s="3">
        <v>299</v>
      </c>
      <c r="AR86" s="3" t="str">
        <f>IFERROR(MID(VLOOKUP($B86,Seqs!$A:$B,2,0),AS86,1),"")</f>
        <v>R</v>
      </c>
      <c r="AS86" s="3">
        <v>304</v>
      </c>
      <c r="AT86" s="3" t="str">
        <f>IFERROR(MID(VLOOKUP($B86,Seqs!$A:$B,2,0),AU86,1),"")</f>
        <v>R</v>
      </c>
      <c r="AU86" s="3">
        <v>328</v>
      </c>
      <c r="AV86" s="3" t="str">
        <f>IFERROR(MID(VLOOKUP($B86,Seqs!$A:$B,2,0),AW86,1),"")</f>
        <v>S</v>
      </c>
      <c r="AW86" s="3">
        <v>329</v>
      </c>
      <c r="AX86" s="3" t="str">
        <f>IFERROR(MID(VLOOKUP($B86,Seqs!$A:$B,2,0),AY86,1),"")</f>
        <v>C</v>
      </c>
      <c r="AY86" s="3">
        <v>341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140"/>
        <v>1</v>
      </c>
      <c r="BC86" s="23">
        <f t="shared" si="141"/>
        <v>267</v>
      </c>
      <c r="BD86" s="56" t="s">
        <v>1379</v>
      </c>
      <c r="BE86" s="3" t="s">
        <v>23</v>
      </c>
      <c r="BF86" s="119" t="s">
        <v>23</v>
      </c>
      <c r="BG86" s="49" t="s">
        <v>1379</v>
      </c>
      <c r="BH86" s="49" t="s">
        <v>1384</v>
      </c>
      <c r="BI86" s="3" t="s">
        <v>1166</v>
      </c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42"/>
        <v>26</v>
      </c>
      <c r="BW86" s="71">
        <f t="shared" si="143"/>
        <v>62</v>
      </c>
      <c r="BX86" s="72">
        <f t="shared" si="144"/>
        <v>66</v>
      </c>
      <c r="BY86" s="71">
        <f t="shared" si="145"/>
        <v>98</v>
      </c>
      <c r="BZ86" s="72">
        <f t="shared" si="146"/>
        <v>102</v>
      </c>
      <c r="CA86" s="71">
        <f t="shared" si="147"/>
        <v>138</v>
      </c>
      <c r="CB86" s="72">
        <f t="shared" si="148"/>
        <v>146</v>
      </c>
      <c r="CC86" s="71">
        <f t="shared" si="149"/>
        <v>191</v>
      </c>
      <c r="CD86" s="72">
        <f t="shared" si="150"/>
        <v>196</v>
      </c>
      <c r="CE86" s="71">
        <f t="shared" si="151"/>
        <v>262</v>
      </c>
      <c r="CF86" s="72">
        <f t="shared" si="152"/>
        <v>304</v>
      </c>
      <c r="CG86" s="71">
        <f t="shared" si="153"/>
        <v>329</v>
      </c>
      <c r="CH86" s="70">
        <f t="shared" si="154"/>
        <v>61</v>
      </c>
      <c r="CI86" s="71">
        <f t="shared" si="155"/>
        <v>65</v>
      </c>
      <c r="CJ86" s="72">
        <f t="shared" si="156"/>
        <v>96</v>
      </c>
      <c r="CK86" s="72">
        <f t="shared" si="157"/>
        <v>101</v>
      </c>
      <c r="CL86" s="72">
        <f t="shared" si="158"/>
        <v>137</v>
      </c>
      <c r="CM86" s="72">
        <f t="shared" si="159"/>
        <v>145</v>
      </c>
      <c r="CN86" s="72">
        <f t="shared" si="160"/>
        <v>172</v>
      </c>
      <c r="CO86" s="72">
        <f t="shared" si="161"/>
        <v>193</v>
      </c>
      <c r="CP86" s="72">
        <f t="shared" si="162"/>
        <v>237</v>
      </c>
      <c r="CQ86" s="72">
        <f t="shared" si="163"/>
        <v>299</v>
      </c>
      <c r="CR86" s="72">
        <f t="shared" si="164"/>
        <v>328</v>
      </c>
      <c r="CS86" s="72">
        <f t="shared" si="165"/>
        <v>341</v>
      </c>
      <c r="CT86" s="23">
        <f t="shared" si="166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139"/>
        <v>adrb2_human_2RH1</v>
      </c>
      <c r="B87" s="3" t="s">
        <v>126</v>
      </c>
      <c r="C87" s="3" t="s">
        <v>75</v>
      </c>
      <c r="D87" s="3" t="str">
        <f>IFERROR(MID(VLOOKUP($B87,Seqs!$A:$B,2,0),E87,1),"")</f>
        <v>D</v>
      </c>
      <c r="E87" s="3">
        <v>29</v>
      </c>
      <c r="F87" s="3" t="str">
        <f>IFERROR(MID(VLOOKUP($B87,Seqs!$A:$B,2,0),G87,1),"")</f>
        <v>F</v>
      </c>
      <c r="G87" s="3">
        <v>61</v>
      </c>
      <c r="H87" s="3" t="str">
        <f>IFERROR(MID(VLOOKUP($B87,Seqs!$A:$B,2,0),I87,1),"")</f>
        <v>E</v>
      </c>
      <c r="I87" s="23">
        <v>62</v>
      </c>
      <c r="J87" s="3" t="str">
        <f>IFERROR(MID(VLOOKUP($B87,Seqs!$A:$B,2,0),K87,1),"")</f>
        <v>Q</v>
      </c>
      <c r="K87" s="23">
        <v>65</v>
      </c>
      <c r="L87" s="3" t="str">
        <f>IFERROR(MID(VLOOKUP($B87,Seqs!$A:$B,2,0),M87,1),"")</f>
        <v>T</v>
      </c>
      <c r="M87" s="3">
        <v>66</v>
      </c>
      <c r="N87" s="3" t="str">
        <f>IFERROR(MID(VLOOKUP($B87,Seqs!$A:$B,2,0),O87,1),"")</f>
        <v>M</v>
      </c>
      <c r="O87" s="3">
        <v>96</v>
      </c>
      <c r="P87" s="3" t="str">
        <f>IFERROR(MID(VLOOKUP($B87,Seqs!$A:$B,2,0),Q87,1),"")</f>
        <v>M</v>
      </c>
      <c r="Q87" s="3">
        <v>98</v>
      </c>
      <c r="R87" s="3" t="str">
        <f>IFERROR(MID(VLOOKUP($B87,Seqs!$A:$B,2,0),S87,1),"")</f>
        <v>F</v>
      </c>
      <c r="S87" s="3">
        <v>101</v>
      </c>
      <c r="T87" s="3" t="str">
        <f>IFERROR(MID(VLOOKUP($B87,Seqs!$A:$B,2,0),U87,1),"")</f>
        <v>G</v>
      </c>
      <c r="U87" s="3">
        <v>102</v>
      </c>
      <c r="V87" s="3" t="str">
        <f>IFERROR(MID(VLOOKUP($B87,Seqs!$A:$B,2,0),W87,1),"")</f>
        <v>S</v>
      </c>
      <c r="W87" s="3">
        <v>137</v>
      </c>
      <c r="X87" s="3" t="str">
        <f>IFERROR(MID(VLOOKUP($B87,Seqs!$A:$B,2,0),Y87,1),"")</f>
        <v/>
      </c>
      <c r="Y87" s="3" t="s">
        <v>23</v>
      </c>
      <c r="Z87" s="3" t="str">
        <f>IFERROR(MID(VLOOKUP($B87,Seqs!$A:$B,2,0),AA87,1),"")</f>
        <v/>
      </c>
      <c r="AA87" s="3" t="s">
        <v>23</v>
      </c>
      <c r="AB87" s="3" t="str">
        <f>IFERROR(MID(VLOOKUP($B87,Seqs!$A:$B,2,0),AC87,1),"")</f>
        <v>T</v>
      </c>
      <c r="AC87" s="9">
        <v>146</v>
      </c>
      <c r="AD87" s="3" t="str">
        <f>IFERROR(MID(VLOOKUP($B87,Seqs!$A:$B,2,0),AE87,1),"")</f>
        <v>H</v>
      </c>
      <c r="AE87" s="3">
        <v>172</v>
      </c>
      <c r="AF87" s="3" t="str">
        <f>IFERROR(MID(VLOOKUP($B87,Seqs!$A:$B,2,0),AG87,1),"")</f>
        <v>C</v>
      </c>
      <c r="AG87" s="3">
        <v>191</v>
      </c>
      <c r="AH87" s="3" t="str">
        <f>IFERROR(MID(VLOOKUP($B87,Seqs!$A:$B,2,0),AI87,1),"")</f>
        <v>F</v>
      </c>
      <c r="AI87" s="3">
        <v>193</v>
      </c>
      <c r="AJ87" s="3" t="str">
        <f>IFERROR(MID(VLOOKUP($B87,Seqs!$A:$B,2,0),AK87,1),"")</f>
        <v>N</v>
      </c>
      <c r="AK87" s="3">
        <v>196</v>
      </c>
      <c r="AL87" s="3" t="str">
        <f>IFERROR(MID(VLOOKUP($B87,Seqs!$A:$B,2,0),AM87,1),"")</f>
        <v>Q</v>
      </c>
      <c r="AM87" s="3">
        <v>229</v>
      </c>
      <c r="AN87" s="3" t="str">
        <f>IFERROR(MID(VLOOKUP($B87,Seqs!$A:$B,2,0),AO87,1),"")</f>
        <v>K</v>
      </c>
      <c r="AO87" s="3">
        <v>267</v>
      </c>
      <c r="AP87" s="3" t="str">
        <f>IFERROR(MID(VLOOKUP($B87,Seqs!$A:$B,2,0),AQ87,1),"")</f>
        <v>Q</v>
      </c>
      <c r="AQ87" s="3">
        <v>299</v>
      </c>
      <c r="AR87" s="3" t="str">
        <f>IFERROR(MID(VLOOKUP($B87,Seqs!$A:$B,2,0),AS87,1),"")</f>
        <v>R</v>
      </c>
      <c r="AS87" s="3">
        <v>304</v>
      </c>
      <c r="AT87" s="3" t="str">
        <f>IFERROR(MID(VLOOKUP($B87,Seqs!$A:$B,2,0),AU87,1),"")</f>
        <v>R</v>
      </c>
      <c r="AU87" s="3">
        <v>328</v>
      </c>
      <c r="AV87" s="3" t="str">
        <f>IFERROR(MID(VLOOKUP($B87,Seqs!$A:$B,2,0),AW87,1),"")</f>
        <v>S</v>
      </c>
      <c r="AW87" s="3">
        <v>329</v>
      </c>
      <c r="AX87" s="3" t="str">
        <f>IFERROR(MID(VLOOKUP($B87,Seqs!$A:$B,2,0),AY87,1),"")</f>
        <v>C</v>
      </c>
      <c r="AY87" s="3">
        <v>341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140"/>
        <v>1</v>
      </c>
      <c r="BC87" s="23">
        <f t="shared" si="141"/>
        <v>244</v>
      </c>
      <c r="BD87" s="4" t="s">
        <v>23</v>
      </c>
      <c r="BE87" s="3" t="s">
        <v>1381</v>
      </c>
      <c r="BF87" s="119">
        <v>2.4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42"/>
        <v>29</v>
      </c>
      <c r="BW87" s="71">
        <f t="shared" si="143"/>
        <v>62</v>
      </c>
      <c r="BX87" s="72">
        <f t="shared" si="144"/>
        <v>66</v>
      </c>
      <c r="BY87" s="71">
        <f t="shared" si="145"/>
        <v>98</v>
      </c>
      <c r="BZ87" s="72">
        <f t="shared" si="146"/>
        <v>102</v>
      </c>
      <c r="CA87" s="71" t="str">
        <f t="shared" si="147"/>
        <v>-</v>
      </c>
      <c r="CB87" s="72">
        <f t="shared" si="148"/>
        <v>146</v>
      </c>
      <c r="CC87" s="71">
        <f t="shared" si="149"/>
        <v>191</v>
      </c>
      <c r="CD87" s="72">
        <f t="shared" si="150"/>
        <v>196</v>
      </c>
      <c r="CE87" s="71">
        <f t="shared" si="151"/>
        <v>267</v>
      </c>
      <c r="CF87" s="72">
        <f t="shared" si="152"/>
        <v>304</v>
      </c>
      <c r="CG87" s="71">
        <f t="shared" si="153"/>
        <v>329</v>
      </c>
      <c r="CH87" s="70">
        <f t="shared" si="154"/>
        <v>61</v>
      </c>
      <c r="CI87" s="71">
        <f t="shared" si="155"/>
        <v>65</v>
      </c>
      <c r="CJ87" s="72">
        <f t="shared" si="156"/>
        <v>96</v>
      </c>
      <c r="CK87" s="72">
        <f t="shared" si="157"/>
        <v>101</v>
      </c>
      <c r="CL87" s="72">
        <f t="shared" si="158"/>
        <v>137</v>
      </c>
      <c r="CM87" s="72" t="str">
        <f t="shared" si="159"/>
        <v>-</v>
      </c>
      <c r="CN87" s="72">
        <f t="shared" si="160"/>
        <v>172</v>
      </c>
      <c r="CO87" s="72">
        <f t="shared" si="161"/>
        <v>193</v>
      </c>
      <c r="CP87" s="72">
        <f t="shared" si="162"/>
        <v>229</v>
      </c>
      <c r="CQ87" s="72">
        <f t="shared" si="163"/>
        <v>299</v>
      </c>
      <c r="CR87" s="72">
        <f t="shared" si="164"/>
        <v>328</v>
      </c>
      <c r="CS87" s="72">
        <f t="shared" si="165"/>
        <v>341</v>
      </c>
      <c r="CT87" s="23">
        <f t="shared" si="166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139"/>
        <v>adrb2_human_3D4S</v>
      </c>
      <c r="B88" s="3" t="s">
        <v>126</v>
      </c>
      <c r="C88" s="3" t="s">
        <v>76</v>
      </c>
      <c r="D88" s="3" t="str">
        <f>IFERROR(MID(VLOOKUP($B88,Seqs!$A:$B,2,0),E88,1),"")</f>
        <v>W</v>
      </c>
      <c r="E88" s="3">
        <v>32</v>
      </c>
      <c r="F88" s="3" t="str">
        <f>IFERROR(MID(VLOOKUP($B88,Seqs!$A:$B,2,0),G88,1),"")</f>
        <v>F</v>
      </c>
      <c r="G88" s="3">
        <v>61</v>
      </c>
      <c r="H88" s="3" t="str">
        <f>IFERROR(MID(VLOOKUP($B88,Seqs!$A:$B,2,0),I88,1),"")</f>
        <v>E</v>
      </c>
      <c r="I88" s="23">
        <v>62</v>
      </c>
      <c r="J88" s="3" t="str">
        <f>IFERROR(MID(VLOOKUP($B88,Seqs!$A:$B,2,0),K88,1),"")</f>
        <v>Q</v>
      </c>
      <c r="K88" s="23">
        <v>65</v>
      </c>
      <c r="L88" s="3" t="str">
        <f>IFERROR(MID(VLOOKUP($B88,Seqs!$A:$B,2,0),M88,1),"")</f>
        <v>T</v>
      </c>
      <c r="M88" s="3">
        <v>66</v>
      </c>
      <c r="N88" s="3" t="str">
        <f>IFERROR(MID(VLOOKUP($B88,Seqs!$A:$B,2,0),O88,1),"")</f>
        <v>M</v>
      </c>
      <c r="O88" s="3">
        <v>96</v>
      </c>
      <c r="P88" s="3" t="str">
        <f>IFERROR(MID(VLOOKUP($B88,Seqs!$A:$B,2,0),Q88,1),"")</f>
        <v>M</v>
      </c>
      <c r="Q88" s="3">
        <v>98</v>
      </c>
      <c r="R88" s="3" t="str">
        <f>IFERROR(MID(VLOOKUP($B88,Seqs!$A:$B,2,0),S88,1),"")</f>
        <v>F</v>
      </c>
      <c r="S88" s="3">
        <v>101</v>
      </c>
      <c r="T88" s="3" t="str">
        <f>IFERROR(MID(VLOOKUP($B88,Seqs!$A:$B,2,0),U88,1),"")</f>
        <v>G</v>
      </c>
      <c r="U88" s="3">
        <v>102</v>
      </c>
      <c r="V88" s="3" t="str">
        <f>IFERROR(MID(VLOOKUP($B88,Seqs!$A:$B,2,0),W88,1),"")</f>
        <v>S</v>
      </c>
      <c r="W88" s="3">
        <v>137</v>
      </c>
      <c r="X88" s="3" t="str">
        <f>IFERROR(MID(VLOOKUP($B88,Seqs!$A:$B,2,0),Y88,1),"")</f>
        <v/>
      </c>
      <c r="Y88" s="3" t="s">
        <v>23</v>
      </c>
      <c r="Z88" s="3" t="str">
        <f>IFERROR(MID(VLOOKUP($B88,Seqs!$A:$B,2,0),AA88,1),"")</f>
        <v/>
      </c>
      <c r="AA88" s="3" t="s">
        <v>23</v>
      </c>
      <c r="AB88" s="3" t="str">
        <f>IFERROR(MID(VLOOKUP($B88,Seqs!$A:$B,2,0),AC88,1),"")</f>
        <v>T</v>
      </c>
      <c r="AC88" s="9">
        <v>146</v>
      </c>
      <c r="AD88" s="3" t="str">
        <f>IFERROR(MID(VLOOKUP($B88,Seqs!$A:$B,2,0),AE88,1),"")</f>
        <v>H</v>
      </c>
      <c r="AE88" s="3">
        <v>172</v>
      </c>
      <c r="AF88" s="3" t="str">
        <f>IFERROR(MID(VLOOKUP($B88,Seqs!$A:$B,2,0),AG88,1),"")</f>
        <v>C</v>
      </c>
      <c r="AG88" s="3">
        <v>191</v>
      </c>
      <c r="AH88" s="3" t="str">
        <f>IFERROR(MID(VLOOKUP($B88,Seqs!$A:$B,2,0),AI88,1),"")</f>
        <v>F</v>
      </c>
      <c r="AI88" s="3">
        <v>193</v>
      </c>
      <c r="AJ88" s="3" t="str">
        <f>IFERROR(MID(VLOOKUP($B88,Seqs!$A:$B,2,0),AK88,1),"")</f>
        <v>N</v>
      </c>
      <c r="AK88" s="3">
        <v>196</v>
      </c>
      <c r="AL88" s="3" t="str">
        <f>IFERROR(MID(VLOOKUP($B88,Seqs!$A:$B,2,0),AM88,1),"")</f>
        <v>Q</v>
      </c>
      <c r="AM88" s="3">
        <v>229</v>
      </c>
      <c r="AN88" s="3" t="str">
        <f>IFERROR(MID(VLOOKUP($B88,Seqs!$A:$B,2,0),AO88,1),"")</f>
        <v>K</v>
      </c>
      <c r="AO88" s="3">
        <v>267</v>
      </c>
      <c r="AP88" s="3" t="str">
        <f>IFERROR(MID(VLOOKUP($B88,Seqs!$A:$B,2,0),AQ88,1),"")</f>
        <v>Q</v>
      </c>
      <c r="AQ88" s="3">
        <v>299</v>
      </c>
      <c r="AR88" s="3" t="str">
        <f>IFERROR(MID(VLOOKUP($B88,Seqs!$A:$B,2,0),AS88,1),"")</f>
        <v>R</v>
      </c>
      <c r="AS88" s="3">
        <v>304</v>
      </c>
      <c r="AT88" s="3" t="str">
        <f>IFERROR(MID(VLOOKUP($B88,Seqs!$A:$B,2,0),AU88,1),"")</f>
        <v>R</v>
      </c>
      <c r="AU88" s="3">
        <v>328</v>
      </c>
      <c r="AV88" s="3" t="str">
        <f>IFERROR(MID(VLOOKUP($B88,Seqs!$A:$B,2,0),AW88,1),"")</f>
        <v>S</v>
      </c>
      <c r="AW88" s="3">
        <v>329</v>
      </c>
      <c r="AX88" s="3" t="str">
        <f>IFERROR(MID(VLOOKUP($B88,Seqs!$A:$B,2,0),AY88,1),"")</f>
        <v>C</v>
      </c>
      <c r="AY88" s="3">
        <v>341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140"/>
        <v>1</v>
      </c>
      <c r="BC88" s="23">
        <f t="shared" si="141"/>
        <v>241</v>
      </c>
      <c r="BD88" s="4" t="s">
        <v>23</v>
      </c>
      <c r="BE88" s="3" t="s">
        <v>1381</v>
      </c>
      <c r="BF88" s="119">
        <v>2.8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42"/>
        <v>32</v>
      </c>
      <c r="BW88" s="71">
        <f t="shared" si="143"/>
        <v>62</v>
      </c>
      <c r="BX88" s="72">
        <f t="shared" si="144"/>
        <v>66</v>
      </c>
      <c r="BY88" s="71">
        <f t="shared" si="145"/>
        <v>98</v>
      </c>
      <c r="BZ88" s="72">
        <f t="shared" si="146"/>
        <v>102</v>
      </c>
      <c r="CA88" s="71" t="str">
        <f t="shared" si="147"/>
        <v>-</v>
      </c>
      <c r="CB88" s="72">
        <f t="shared" si="148"/>
        <v>146</v>
      </c>
      <c r="CC88" s="71">
        <f t="shared" si="149"/>
        <v>191</v>
      </c>
      <c r="CD88" s="72">
        <f t="shared" si="150"/>
        <v>196</v>
      </c>
      <c r="CE88" s="71">
        <f t="shared" si="151"/>
        <v>267</v>
      </c>
      <c r="CF88" s="72">
        <f t="shared" si="152"/>
        <v>304</v>
      </c>
      <c r="CG88" s="71">
        <f t="shared" si="153"/>
        <v>329</v>
      </c>
      <c r="CH88" s="70">
        <f t="shared" si="154"/>
        <v>61</v>
      </c>
      <c r="CI88" s="71">
        <f t="shared" si="155"/>
        <v>65</v>
      </c>
      <c r="CJ88" s="72">
        <f t="shared" si="156"/>
        <v>96</v>
      </c>
      <c r="CK88" s="72">
        <f t="shared" si="157"/>
        <v>101</v>
      </c>
      <c r="CL88" s="72">
        <f t="shared" si="158"/>
        <v>137</v>
      </c>
      <c r="CM88" s="72" t="str">
        <f t="shared" si="159"/>
        <v>-</v>
      </c>
      <c r="CN88" s="72">
        <f t="shared" si="160"/>
        <v>172</v>
      </c>
      <c r="CO88" s="72">
        <f t="shared" si="161"/>
        <v>193</v>
      </c>
      <c r="CP88" s="72">
        <f t="shared" si="162"/>
        <v>229</v>
      </c>
      <c r="CQ88" s="72">
        <f t="shared" si="163"/>
        <v>299</v>
      </c>
      <c r="CR88" s="72">
        <f t="shared" si="164"/>
        <v>328</v>
      </c>
      <c r="CS88" s="72">
        <f t="shared" si="165"/>
        <v>341</v>
      </c>
      <c r="CT88" s="23">
        <f t="shared" si="166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139"/>
        <v>adrb2_human_3NY8</v>
      </c>
      <c r="B89" s="3" t="s">
        <v>126</v>
      </c>
      <c r="C89" s="3" t="s">
        <v>1339</v>
      </c>
      <c r="D89" s="3" t="str">
        <f>IFERROR(MID(VLOOKUP($B89,Seqs!$A:$B,2,0),E89,1),"")</f>
        <v>W</v>
      </c>
      <c r="E89" s="3">
        <v>32</v>
      </c>
      <c r="F89" s="3" t="str">
        <f>IFERROR(MID(VLOOKUP($B89,Seqs!$A:$B,2,0),G89,1),"")</f>
        <v>F</v>
      </c>
      <c r="G89" s="3">
        <v>61</v>
      </c>
      <c r="H89" s="3" t="str">
        <f>IFERROR(MID(VLOOKUP($B89,Seqs!$A:$B,2,0),I89,1),"")</f>
        <v>E</v>
      </c>
      <c r="I89" s="23">
        <v>62</v>
      </c>
      <c r="J89" s="3" t="str">
        <f>IFERROR(MID(VLOOKUP($B89,Seqs!$A:$B,2,0),K89,1),"")</f>
        <v>Q</v>
      </c>
      <c r="K89" s="23">
        <v>65</v>
      </c>
      <c r="L89" s="3" t="str">
        <f>IFERROR(MID(VLOOKUP($B89,Seqs!$A:$B,2,0),M89,1),"")</f>
        <v>T</v>
      </c>
      <c r="M89" s="3">
        <v>66</v>
      </c>
      <c r="N89" s="3" t="str">
        <f>IFERROR(MID(VLOOKUP($B89,Seqs!$A:$B,2,0),O89,1),"")</f>
        <v>M</v>
      </c>
      <c r="O89" s="3">
        <v>96</v>
      </c>
      <c r="P89" s="3" t="str">
        <f>IFERROR(MID(VLOOKUP($B89,Seqs!$A:$B,2,0),Q89,1),"")</f>
        <v>M</v>
      </c>
      <c r="Q89" s="3">
        <v>98</v>
      </c>
      <c r="R89" s="3" t="str">
        <f>IFERROR(MID(VLOOKUP($B89,Seqs!$A:$B,2,0),S89,1),"")</f>
        <v>F</v>
      </c>
      <c r="S89" s="3">
        <v>101</v>
      </c>
      <c r="T89" s="3" t="str">
        <f>IFERROR(MID(VLOOKUP($B89,Seqs!$A:$B,2,0),U89,1),"")</f>
        <v>G</v>
      </c>
      <c r="U89" s="3">
        <v>102</v>
      </c>
      <c r="V89" s="3" t="str">
        <f>IFERROR(MID(VLOOKUP($B89,Seqs!$A:$B,2,0),W89,1),"")</f>
        <v>S</v>
      </c>
      <c r="W89" s="3">
        <v>137</v>
      </c>
      <c r="X89" s="3" t="str">
        <f>IFERROR(MID(VLOOKUP($B89,Seqs!$A:$B,2,0),Y89,1),"")</f>
        <v/>
      </c>
      <c r="Y89" s="3" t="s">
        <v>23</v>
      </c>
      <c r="Z89" s="3" t="str">
        <f>IFERROR(MID(VLOOKUP($B89,Seqs!$A:$B,2,0),AA89,1),"")</f>
        <v/>
      </c>
      <c r="AA89" s="3" t="s">
        <v>23</v>
      </c>
      <c r="AB89" s="3" t="str">
        <f>IFERROR(MID(VLOOKUP($B89,Seqs!$A:$B,2,0),AC89,1),"")</f>
        <v>T</v>
      </c>
      <c r="AC89" s="9">
        <v>146</v>
      </c>
      <c r="AD89" s="3" t="str">
        <f>IFERROR(MID(VLOOKUP($B89,Seqs!$A:$B,2,0),AE89,1),"")</f>
        <v>H</v>
      </c>
      <c r="AE89" s="3">
        <v>172</v>
      </c>
      <c r="AF89" s="3" t="str">
        <f>IFERROR(MID(VLOOKUP($B89,Seqs!$A:$B,2,0),AG89,1),"")</f>
        <v>C</v>
      </c>
      <c r="AG89" s="3">
        <v>191</v>
      </c>
      <c r="AH89" s="3" t="str">
        <f>IFERROR(MID(VLOOKUP($B89,Seqs!$A:$B,2,0),AI89,1),"")</f>
        <v>F</v>
      </c>
      <c r="AI89" s="3">
        <v>193</v>
      </c>
      <c r="AJ89" s="3" t="str">
        <f>IFERROR(MID(VLOOKUP($B89,Seqs!$A:$B,2,0),AK89,1),"")</f>
        <v>N</v>
      </c>
      <c r="AK89" s="3">
        <v>196</v>
      </c>
      <c r="AL89" s="3" t="str">
        <f>IFERROR(MID(VLOOKUP($B89,Seqs!$A:$B,2,0),AM89,1),"")</f>
        <v>Q</v>
      </c>
      <c r="AM89" s="3">
        <v>229</v>
      </c>
      <c r="AN89" s="3" t="str">
        <f>IFERROR(MID(VLOOKUP($B89,Seqs!$A:$B,2,0),AO89,1),"")</f>
        <v>K</v>
      </c>
      <c r="AO89" s="3">
        <v>267</v>
      </c>
      <c r="AP89" s="3" t="str">
        <f>IFERROR(MID(VLOOKUP($B89,Seqs!$A:$B,2,0),AQ89,1),"")</f>
        <v>Q</v>
      </c>
      <c r="AQ89" s="3">
        <v>299</v>
      </c>
      <c r="AR89" s="3" t="str">
        <f>IFERROR(MID(VLOOKUP($B89,Seqs!$A:$B,2,0),AS89,1),"")</f>
        <v>R</v>
      </c>
      <c r="AS89" s="3">
        <v>304</v>
      </c>
      <c r="AT89" s="3" t="str">
        <f>IFERROR(MID(VLOOKUP($B89,Seqs!$A:$B,2,0),AU89,1),"")</f>
        <v>R</v>
      </c>
      <c r="AU89" s="3">
        <v>328</v>
      </c>
      <c r="AV89" s="3" t="str">
        <f>IFERROR(MID(VLOOKUP($B89,Seqs!$A:$B,2,0),AW89,1),"")</f>
        <v>S</v>
      </c>
      <c r="AW89" s="3">
        <v>329</v>
      </c>
      <c r="AX89" s="3" t="str">
        <f>IFERROR(MID(VLOOKUP($B89,Seqs!$A:$B,2,0),AY89,1),"")</f>
        <v>C</v>
      </c>
      <c r="AY89" s="3">
        <v>341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140"/>
        <v>1</v>
      </c>
      <c r="BC89" s="23">
        <f t="shared" si="141"/>
        <v>241</v>
      </c>
      <c r="BD89" s="4" t="s">
        <v>23</v>
      </c>
      <c r="BE89" s="3" t="s">
        <v>1381</v>
      </c>
      <c r="BF89" s="119">
        <v>2.84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42"/>
        <v>32</v>
      </c>
      <c r="BW89" s="71">
        <f t="shared" si="143"/>
        <v>62</v>
      </c>
      <c r="BX89" s="72">
        <f t="shared" si="144"/>
        <v>66</v>
      </c>
      <c r="BY89" s="71">
        <f t="shared" si="145"/>
        <v>98</v>
      </c>
      <c r="BZ89" s="72">
        <f t="shared" si="146"/>
        <v>102</v>
      </c>
      <c r="CA89" s="71" t="str">
        <f t="shared" si="147"/>
        <v>-</v>
      </c>
      <c r="CB89" s="72">
        <f t="shared" si="148"/>
        <v>146</v>
      </c>
      <c r="CC89" s="71">
        <f t="shared" si="149"/>
        <v>191</v>
      </c>
      <c r="CD89" s="72">
        <f t="shared" si="150"/>
        <v>196</v>
      </c>
      <c r="CE89" s="71">
        <f t="shared" si="151"/>
        <v>267</v>
      </c>
      <c r="CF89" s="72">
        <f t="shared" si="152"/>
        <v>304</v>
      </c>
      <c r="CG89" s="71">
        <f t="shared" si="153"/>
        <v>329</v>
      </c>
      <c r="CH89" s="70">
        <f t="shared" si="154"/>
        <v>61</v>
      </c>
      <c r="CI89" s="71">
        <f t="shared" si="155"/>
        <v>65</v>
      </c>
      <c r="CJ89" s="72">
        <f t="shared" si="156"/>
        <v>96</v>
      </c>
      <c r="CK89" s="72">
        <f t="shared" si="157"/>
        <v>101</v>
      </c>
      <c r="CL89" s="72">
        <f t="shared" si="158"/>
        <v>137</v>
      </c>
      <c r="CM89" s="72" t="str">
        <f t="shared" si="159"/>
        <v>-</v>
      </c>
      <c r="CN89" s="72">
        <f t="shared" si="160"/>
        <v>172</v>
      </c>
      <c r="CO89" s="72">
        <f t="shared" si="161"/>
        <v>193</v>
      </c>
      <c r="CP89" s="72">
        <f t="shared" si="162"/>
        <v>229</v>
      </c>
      <c r="CQ89" s="72">
        <f t="shared" si="163"/>
        <v>299</v>
      </c>
      <c r="CR89" s="72">
        <f t="shared" si="164"/>
        <v>328</v>
      </c>
      <c r="CS89" s="72">
        <f t="shared" si="165"/>
        <v>341</v>
      </c>
      <c r="CT89" s="23">
        <f t="shared" si="166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139"/>
        <v>adrb2_human_3NY9</v>
      </c>
      <c r="B90" s="3" t="s">
        <v>126</v>
      </c>
      <c r="C90" s="3" t="s">
        <v>1030</v>
      </c>
      <c r="D90" s="3" t="str">
        <f>IFERROR(MID(VLOOKUP($B90,Seqs!$A:$B,2,0),E90,1),"")</f>
        <v>W</v>
      </c>
      <c r="E90" s="3">
        <v>32</v>
      </c>
      <c r="F90" s="3" t="str">
        <f>IFERROR(MID(VLOOKUP($B90,Seqs!$A:$B,2,0),G90,1),"")</f>
        <v>F</v>
      </c>
      <c r="G90" s="3">
        <v>61</v>
      </c>
      <c r="H90" s="3" t="str">
        <f>IFERROR(MID(VLOOKUP($B90,Seqs!$A:$B,2,0),I90,1),"")</f>
        <v>E</v>
      </c>
      <c r="I90" s="23">
        <v>62</v>
      </c>
      <c r="J90" s="3" t="str">
        <f>IFERROR(MID(VLOOKUP($B90,Seqs!$A:$B,2,0),K90,1),"")</f>
        <v>Q</v>
      </c>
      <c r="K90" s="23">
        <v>65</v>
      </c>
      <c r="L90" s="3" t="str">
        <f>IFERROR(MID(VLOOKUP($B90,Seqs!$A:$B,2,0),M90,1),"")</f>
        <v>T</v>
      </c>
      <c r="M90" s="3">
        <v>66</v>
      </c>
      <c r="N90" s="3" t="str">
        <f>IFERROR(MID(VLOOKUP($B90,Seqs!$A:$B,2,0),O90,1),"")</f>
        <v>M</v>
      </c>
      <c r="O90" s="3">
        <v>96</v>
      </c>
      <c r="P90" s="3" t="str">
        <f>IFERROR(MID(VLOOKUP($B90,Seqs!$A:$B,2,0),Q90,1),"")</f>
        <v>M</v>
      </c>
      <c r="Q90" s="3">
        <v>98</v>
      </c>
      <c r="R90" s="3" t="str">
        <f>IFERROR(MID(VLOOKUP($B90,Seqs!$A:$B,2,0),S90,1),"")</f>
        <v>F</v>
      </c>
      <c r="S90" s="3">
        <v>101</v>
      </c>
      <c r="T90" s="3" t="str">
        <f>IFERROR(MID(VLOOKUP($B90,Seqs!$A:$B,2,0),U90,1),"")</f>
        <v>G</v>
      </c>
      <c r="U90" s="3">
        <v>102</v>
      </c>
      <c r="V90" s="3" t="str">
        <f>IFERROR(MID(VLOOKUP($B90,Seqs!$A:$B,2,0),W90,1),"")</f>
        <v>S</v>
      </c>
      <c r="W90" s="3">
        <v>137</v>
      </c>
      <c r="X90" s="3" t="str">
        <f>IFERROR(MID(VLOOKUP($B90,Seqs!$A:$B,2,0),Y90,1),"")</f>
        <v/>
      </c>
      <c r="Y90" s="3" t="s">
        <v>23</v>
      </c>
      <c r="Z90" s="3" t="str">
        <f>IFERROR(MID(VLOOKUP($B90,Seqs!$A:$B,2,0),AA90,1),"")</f>
        <v/>
      </c>
      <c r="AA90" s="3" t="s">
        <v>23</v>
      </c>
      <c r="AB90" s="3" t="str">
        <f>IFERROR(MID(VLOOKUP($B90,Seqs!$A:$B,2,0),AC90,1),"")</f>
        <v>T</v>
      </c>
      <c r="AC90" s="9">
        <v>146</v>
      </c>
      <c r="AD90" s="3" t="str">
        <f>IFERROR(MID(VLOOKUP($B90,Seqs!$A:$B,2,0),AE90,1),"")</f>
        <v>H</v>
      </c>
      <c r="AE90" s="3">
        <v>172</v>
      </c>
      <c r="AF90" s="3" t="str">
        <f>IFERROR(MID(VLOOKUP($B90,Seqs!$A:$B,2,0),AG90,1),"")</f>
        <v>C</v>
      </c>
      <c r="AG90" s="3">
        <v>191</v>
      </c>
      <c r="AH90" s="3" t="str">
        <f>IFERROR(MID(VLOOKUP($B90,Seqs!$A:$B,2,0),AI90,1),"")</f>
        <v>F</v>
      </c>
      <c r="AI90" s="3">
        <v>193</v>
      </c>
      <c r="AJ90" s="3" t="str">
        <f>IFERROR(MID(VLOOKUP($B90,Seqs!$A:$B,2,0),AK90,1),"")</f>
        <v>N</v>
      </c>
      <c r="AK90" s="3">
        <v>196</v>
      </c>
      <c r="AL90" s="3" t="str">
        <f>IFERROR(MID(VLOOKUP($B90,Seqs!$A:$B,2,0),AM90,1),"")</f>
        <v>Q</v>
      </c>
      <c r="AM90" s="3">
        <v>229</v>
      </c>
      <c r="AN90" s="3" t="str">
        <f>IFERROR(MID(VLOOKUP($B90,Seqs!$A:$B,2,0),AO90,1),"")</f>
        <v>K</v>
      </c>
      <c r="AO90" s="3">
        <v>267</v>
      </c>
      <c r="AP90" s="3" t="str">
        <f>IFERROR(MID(VLOOKUP($B90,Seqs!$A:$B,2,0),AQ90,1),"")</f>
        <v>Q</v>
      </c>
      <c r="AQ90" s="3">
        <v>299</v>
      </c>
      <c r="AR90" s="3" t="str">
        <f>IFERROR(MID(VLOOKUP($B90,Seqs!$A:$B,2,0),AS90,1),"")</f>
        <v>R</v>
      </c>
      <c r="AS90" s="3">
        <v>304</v>
      </c>
      <c r="AT90" s="3" t="str">
        <f>IFERROR(MID(VLOOKUP($B90,Seqs!$A:$B,2,0),AU90,1),"")</f>
        <v>R</v>
      </c>
      <c r="AU90" s="3">
        <v>328</v>
      </c>
      <c r="AV90" s="3" t="str">
        <f>IFERROR(MID(VLOOKUP($B90,Seqs!$A:$B,2,0),AW90,1),"")</f>
        <v>S</v>
      </c>
      <c r="AW90" s="3">
        <v>329</v>
      </c>
      <c r="AX90" s="3" t="str">
        <f>IFERROR(MID(VLOOKUP($B90,Seqs!$A:$B,2,0),AY90,1),"")</f>
        <v>C</v>
      </c>
      <c r="AY90" s="3">
        <v>341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140"/>
        <v>1</v>
      </c>
      <c r="BC90" s="23">
        <f t="shared" si="141"/>
        <v>241</v>
      </c>
      <c r="BD90" s="4" t="s">
        <v>23</v>
      </c>
      <c r="BE90" s="3" t="s">
        <v>1381</v>
      </c>
      <c r="BF90" s="119">
        <v>2.84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42"/>
        <v>32</v>
      </c>
      <c r="BW90" s="71">
        <f t="shared" si="143"/>
        <v>62</v>
      </c>
      <c r="BX90" s="72">
        <f t="shared" si="144"/>
        <v>66</v>
      </c>
      <c r="BY90" s="71">
        <f t="shared" si="145"/>
        <v>98</v>
      </c>
      <c r="BZ90" s="72">
        <f t="shared" si="146"/>
        <v>102</v>
      </c>
      <c r="CA90" s="71" t="str">
        <f t="shared" si="147"/>
        <v>-</v>
      </c>
      <c r="CB90" s="72">
        <f t="shared" si="148"/>
        <v>146</v>
      </c>
      <c r="CC90" s="71">
        <f t="shared" si="149"/>
        <v>191</v>
      </c>
      <c r="CD90" s="72">
        <f t="shared" si="150"/>
        <v>196</v>
      </c>
      <c r="CE90" s="71">
        <f t="shared" si="151"/>
        <v>267</v>
      </c>
      <c r="CF90" s="72">
        <f t="shared" si="152"/>
        <v>304</v>
      </c>
      <c r="CG90" s="71">
        <f t="shared" si="153"/>
        <v>329</v>
      </c>
      <c r="CH90" s="70">
        <f t="shared" si="154"/>
        <v>61</v>
      </c>
      <c r="CI90" s="71">
        <f t="shared" si="155"/>
        <v>65</v>
      </c>
      <c r="CJ90" s="72">
        <f t="shared" si="156"/>
        <v>96</v>
      </c>
      <c r="CK90" s="72">
        <f t="shared" si="157"/>
        <v>101</v>
      </c>
      <c r="CL90" s="72">
        <f t="shared" si="158"/>
        <v>137</v>
      </c>
      <c r="CM90" s="72" t="str">
        <f t="shared" si="159"/>
        <v>-</v>
      </c>
      <c r="CN90" s="72">
        <f t="shared" si="160"/>
        <v>172</v>
      </c>
      <c r="CO90" s="72">
        <f t="shared" si="161"/>
        <v>193</v>
      </c>
      <c r="CP90" s="72">
        <f t="shared" si="162"/>
        <v>229</v>
      </c>
      <c r="CQ90" s="72">
        <f t="shared" si="163"/>
        <v>299</v>
      </c>
      <c r="CR90" s="72">
        <f t="shared" si="164"/>
        <v>328</v>
      </c>
      <c r="CS90" s="72">
        <f t="shared" si="165"/>
        <v>341</v>
      </c>
      <c r="CT90" s="23">
        <f t="shared" si="166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139"/>
        <v>adrb2_human_3NYA</v>
      </c>
      <c r="B91" s="3" t="s">
        <v>126</v>
      </c>
      <c r="C91" s="3" t="s">
        <v>1340</v>
      </c>
      <c r="D91" s="3" t="str">
        <f>IFERROR(MID(VLOOKUP($B91,Seqs!$A:$B,2,0),E91,1),"")</f>
        <v>W</v>
      </c>
      <c r="E91" s="3">
        <v>32</v>
      </c>
      <c r="F91" s="3" t="str">
        <f>IFERROR(MID(VLOOKUP($B91,Seqs!$A:$B,2,0),G91,1),"")</f>
        <v>F</v>
      </c>
      <c r="G91" s="3">
        <v>61</v>
      </c>
      <c r="H91" s="3" t="str">
        <f>IFERROR(MID(VLOOKUP($B91,Seqs!$A:$B,2,0),I91,1),"")</f>
        <v>E</v>
      </c>
      <c r="I91" s="23">
        <v>62</v>
      </c>
      <c r="J91" s="3" t="str">
        <f>IFERROR(MID(VLOOKUP($B91,Seqs!$A:$B,2,0),K91,1),"")</f>
        <v>Q</v>
      </c>
      <c r="K91" s="23">
        <v>65</v>
      </c>
      <c r="L91" s="3" t="str">
        <f>IFERROR(MID(VLOOKUP($B91,Seqs!$A:$B,2,0),M91,1),"")</f>
        <v>T</v>
      </c>
      <c r="M91" s="3">
        <v>66</v>
      </c>
      <c r="N91" s="3" t="str">
        <f>IFERROR(MID(VLOOKUP($B91,Seqs!$A:$B,2,0),O91,1),"")</f>
        <v>M</v>
      </c>
      <c r="O91" s="3">
        <v>96</v>
      </c>
      <c r="P91" s="3" t="str">
        <f>IFERROR(MID(VLOOKUP($B91,Seqs!$A:$B,2,0),Q91,1),"")</f>
        <v>M</v>
      </c>
      <c r="Q91" s="3">
        <v>98</v>
      </c>
      <c r="R91" s="3" t="str">
        <f>IFERROR(MID(VLOOKUP($B91,Seqs!$A:$B,2,0),S91,1),"")</f>
        <v>F</v>
      </c>
      <c r="S91" s="3">
        <v>101</v>
      </c>
      <c r="T91" s="3" t="str">
        <f>IFERROR(MID(VLOOKUP($B91,Seqs!$A:$B,2,0),U91,1),"")</f>
        <v>G</v>
      </c>
      <c r="U91" s="3">
        <v>102</v>
      </c>
      <c r="V91" s="3" t="str">
        <f>IFERROR(MID(VLOOKUP($B91,Seqs!$A:$B,2,0),W91,1),"")</f>
        <v>S</v>
      </c>
      <c r="W91" s="3">
        <v>137</v>
      </c>
      <c r="X91" s="3" t="str">
        <f>IFERROR(MID(VLOOKUP($B91,Seqs!$A:$B,2,0),Y91,1),"")</f>
        <v/>
      </c>
      <c r="Y91" s="3" t="s">
        <v>23</v>
      </c>
      <c r="Z91" s="3" t="str">
        <f>IFERROR(MID(VLOOKUP($B91,Seqs!$A:$B,2,0),AA91,1),"")</f>
        <v/>
      </c>
      <c r="AA91" s="3" t="s">
        <v>23</v>
      </c>
      <c r="AB91" s="3" t="str">
        <f>IFERROR(MID(VLOOKUP($B91,Seqs!$A:$B,2,0),AC91,1),"")</f>
        <v>T</v>
      </c>
      <c r="AC91" s="9">
        <v>146</v>
      </c>
      <c r="AD91" s="3" t="str">
        <f>IFERROR(MID(VLOOKUP($B91,Seqs!$A:$B,2,0),AE91,1),"")</f>
        <v>H</v>
      </c>
      <c r="AE91" s="3">
        <v>172</v>
      </c>
      <c r="AF91" s="3" t="str">
        <f>IFERROR(MID(VLOOKUP($B91,Seqs!$A:$B,2,0),AG91,1),"")</f>
        <v>C</v>
      </c>
      <c r="AG91" s="3">
        <v>191</v>
      </c>
      <c r="AH91" s="3" t="str">
        <f>IFERROR(MID(VLOOKUP($B91,Seqs!$A:$B,2,0),AI91,1),"")</f>
        <v>F</v>
      </c>
      <c r="AI91" s="3">
        <v>193</v>
      </c>
      <c r="AJ91" s="3" t="str">
        <f>IFERROR(MID(VLOOKUP($B91,Seqs!$A:$B,2,0),AK91,1),"")</f>
        <v>N</v>
      </c>
      <c r="AK91" s="3">
        <v>196</v>
      </c>
      <c r="AL91" s="3" t="str">
        <f>IFERROR(MID(VLOOKUP($B91,Seqs!$A:$B,2,0),AM91,1),"")</f>
        <v>Q</v>
      </c>
      <c r="AM91" s="3">
        <v>229</v>
      </c>
      <c r="AN91" s="3" t="str">
        <f>IFERROR(MID(VLOOKUP($B91,Seqs!$A:$B,2,0),AO91,1),"")</f>
        <v>K</v>
      </c>
      <c r="AO91" s="3">
        <v>267</v>
      </c>
      <c r="AP91" s="3" t="str">
        <f>IFERROR(MID(VLOOKUP($B91,Seqs!$A:$B,2,0),AQ91,1),"")</f>
        <v>Q</v>
      </c>
      <c r="AQ91" s="3">
        <v>299</v>
      </c>
      <c r="AR91" s="3" t="str">
        <f>IFERROR(MID(VLOOKUP($B91,Seqs!$A:$B,2,0),AS91,1),"")</f>
        <v>R</v>
      </c>
      <c r="AS91" s="3">
        <v>304</v>
      </c>
      <c r="AT91" s="3" t="str">
        <f>IFERROR(MID(VLOOKUP($B91,Seqs!$A:$B,2,0),AU91,1),"")</f>
        <v>R</v>
      </c>
      <c r="AU91" s="3">
        <v>328</v>
      </c>
      <c r="AV91" s="3" t="str">
        <f>IFERROR(MID(VLOOKUP($B91,Seqs!$A:$B,2,0),AW91,1),"")</f>
        <v>S</v>
      </c>
      <c r="AW91" s="3">
        <v>329</v>
      </c>
      <c r="AX91" s="3" t="str">
        <f>IFERROR(MID(VLOOKUP($B91,Seqs!$A:$B,2,0),AY91,1),"")</f>
        <v>C</v>
      </c>
      <c r="AY91" s="3">
        <v>341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140"/>
        <v>1</v>
      </c>
      <c r="BC91" s="23">
        <f t="shared" si="141"/>
        <v>241</v>
      </c>
      <c r="BD91" s="4" t="s">
        <v>23</v>
      </c>
      <c r="BE91" s="3" t="s">
        <v>1381</v>
      </c>
      <c r="BF91" s="119">
        <v>3.16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142"/>
        <v>32</v>
      </c>
      <c r="BW91" s="71">
        <f t="shared" si="143"/>
        <v>62</v>
      </c>
      <c r="BX91" s="72">
        <f t="shared" si="144"/>
        <v>66</v>
      </c>
      <c r="BY91" s="71">
        <f t="shared" si="145"/>
        <v>98</v>
      </c>
      <c r="BZ91" s="72">
        <f t="shared" si="146"/>
        <v>102</v>
      </c>
      <c r="CA91" s="71" t="str">
        <f t="shared" si="147"/>
        <v>-</v>
      </c>
      <c r="CB91" s="72">
        <f t="shared" si="148"/>
        <v>146</v>
      </c>
      <c r="CC91" s="71">
        <f t="shared" si="149"/>
        <v>191</v>
      </c>
      <c r="CD91" s="72">
        <f t="shared" si="150"/>
        <v>196</v>
      </c>
      <c r="CE91" s="71">
        <f t="shared" si="151"/>
        <v>267</v>
      </c>
      <c r="CF91" s="72">
        <f t="shared" si="152"/>
        <v>304</v>
      </c>
      <c r="CG91" s="71">
        <f t="shared" si="153"/>
        <v>329</v>
      </c>
      <c r="CH91" s="70">
        <f t="shared" si="154"/>
        <v>61</v>
      </c>
      <c r="CI91" s="71">
        <f t="shared" si="155"/>
        <v>65</v>
      </c>
      <c r="CJ91" s="72">
        <f t="shared" si="156"/>
        <v>96</v>
      </c>
      <c r="CK91" s="72">
        <f t="shared" si="157"/>
        <v>101</v>
      </c>
      <c r="CL91" s="72">
        <f t="shared" si="158"/>
        <v>137</v>
      </c>
      <c r="CM91" s="72" t="str">
        <f t="shared" si="159"/>
        <v>-</v>
      </c>
      <c r="CN91" s="72">
        <f t="shared" si="160"/>
        <v>172</v>
      </c>
      <c r="CO91" s="72">
        <f t="shared" si="161"/>
        <v>193</v>
      </c>
      <c r="CP91" s="72">
        <f t="shared" si="162"/>
        <v>229</v>
      </c>
      <c r="CQ91" s="72">
        <f t="shared" si="163"/>
        <v>299</v>
      </c>
      <c r="CR91" s="72">
        <f t="shared" si="164"/>
        <v>328</v>
      </c>
      <c r="CS91" s="72">
        <f t="shared" si="165"/>
        <v>341</v>
      </c>
      <c r="CT91" s="23">
        <f t="shared" si="166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139"/>
        <v>adrb2_human_3P0G</v>
      </c>
      <c r="B92" s="3" t="s">
        <v>126</v>
      </c>
      <c r="C92" s="3" t="s">
        <v>66</v>
      </c>
      <c r="D92" s="3" t="str">
        <f>IFERROR(MID(VLOOKUP($B92,Seqs!$A:$B,2,0),E92,1),"")</f>
        <v>Q</v>
      </c>
      <c r="E92" s="3">
        <v>26</v>
      </c>
      <c r="F92" s="3" t="str">
        <f>IFERROR(MID(VLOOKUP($B92,Seqs!$A:$B,2,0),G92,1),"")</f>
        <v>F</v>
      </c>
      <c r="G92" s="3">
        <v>61</v>
      </c>
      <c r="H92" s="3" t="str">
        <f>IFERROR(MID(VLOOKUP($B92,Seqs!$A:$B,2,0),I92,1),"")</f>
        <v>E</v>
      </c>
      <c r="I92" s="23">
        <v>62</v>
      </c>
      <c r="J92" s="3" t="str">
        <f>IFERROR(MID(VLOOKUP($B92,Seqs!$A:$B,2,0),K92,1),"")</f>
        <v>Q</v>
      </c>
      <c r="K92" s="23">
        <v>65</v>
      </c>
      <c r="L92" s="3" t="str">
        <f>IFERROR(MID(VLOOKUP($B92,Seqs!$A:$B,2,0),M92,1),"")</f>
        <v>T</v>
      </c>
      <c r="M92" s="3">
        <v>66</v>
      </c>
      <c r="N92" s="3" t="str">
        <f>IFERROR(MID(VLOOKUP($B92,Seqs!$A:$B,2,0),O92,1),"")</f>
        <v>M</v>
      </c>
      <c r="O92" s="3">
        <v>96</v>
      </c>
      <c r="P92" s="3" t="str">
        <f>IFERROR(MID(VLOOKUP($B92,Seqs!$A:$B,2,0),Q92,1),"")</f>
        <v>M</v>
      </c>
      <c r="Q92" s="3">
        <v>98</v>
      </c>
      <c r="R92" s="3" t="str">
        <f>IFERROR(MID(VLOOKUP($B92,Seqs!$A:$B,2,0),S92,1),"")</f>
        <v>F</v>
      </c>
      <c r="S92" s="3">
        <v>101</v>
      </c>
      <c r="T92" s="3" t="str">
        <f>IFERROR(MID(VLOOKUP($B92,Seqs!$A:$B,2,0),U92,1),"")</f>
        <v>G</v>
      </c>
      <c r="U92" s="3">
        <v>102</v>
      </c>
      <c r="V92" s="3" t="str">
        <f>IFERROR(MID(VLOOKUP($B92,Seqs!$A:$B,2,0),W92,1),"")</f>
        <v>S</v>
      </c>
      <c r="W92" s="3">
        <v>137</v>
      </c>
      <c r="X92" s="3" t="str">
        <f>IFERROR(MID(VLOOKUP($B92,Seqs!$A:$B,2,0),Y92,1),"")</f>
        <v>P</v>
      </c>
      <c r="Y92" s="3">
        <v>138</v>
      </c>
      <c r="Z92" s="3" t="str">
        <f>IFERROR(MID(VLOOKUP($B92,Seqs!$A:$B,2,0),AA92,1),"")</f>
        <v>L</v>
      </c>
      <c r="AA92" s="3">
        <v>145</v>
      </c>
      <c r="AB92" s="3" t="str">
        <f>IFERROR(MID(VLOOKUP($B92,Seqs!$A:$B,2,0),AC92,1),"")</f>
        <v>T</v>
      </c>
      <c r="AC92" s="9">
        <v>146</v>
      </c>
      <c r="AD92" s="3" t="str">
        <f>IFERROR(MID(VLOOKUP($B92,Seqs!$A:$B,2,0),AE92,1),"")</f>
        <v>H</v>
      </c>
      <c r="AE92" s="3">
        <v>172</v>
      </c>
      <c r="AF92" s="3" t="str">
        <f>IFERROR(MID(VLOOKUP($B92,Seqs!$A:$B,2,0),AG92,1),"")</f>
        <v>C</v>
      </c>
      <c r="AG92" s="3">
        <v>191</v>
      </c>
      <c r="AH92" s="3" t="str">
        <f>IFERROR(MID(VLOOKUP($B92,Seqs!$A:$B,2,0),AI92,1),"")</f>
        <v>F</v>
      </c>
      <c r="AI92" s="3">
        <v>193</v>
      </c>
      <c r="AJ92" s="3" t="str">
        <f>IFERROR(MID(VLOOKUP($B92,Seqs!$A:$B,2,0),AK92,1),"")</f>
        <v>N</v>
      </c>
      <c r="AK92" s="3">
        <v>196</v>
      </c>
      <c r="AL92" s="3" t="str">
        <f>IFERROR(MID(VLOOKUP($B92,Seqs!$A:$B,2,0),AM92,1),"")</f>
        <v>A</v>
      </c>
      <c r="AM92" s="3">
        <v>226</v>
      </c>
      <c r="AN92" s="3" t="str">
        <f>IFERROR(MID(VLOOKUP($B92,Seqs!$A:$B,2,0),AO92,1),"")</f>
        <v>H</v>
      </c>
      <c r="AO92" s="3">
        <v>269</v>
      </c>
      <c r="AP92" s="3" t="str">
        <f>IFERROR(MID(VLOOKUP($B92,Seqs!$A:$B,2,0),AQ92,1),"")</f>
        <v>Q</v>
      </c>
      <c r="AQ92" s="3">
        <v>299</v>
      </c>
      <c r="AR92" s="3" t="str">
        <f>IFERROR(MID(VLOOKUP($B92,Seqs!$A:$B,2,0),AS92,1),"")</f>
        <v>R</v>
      </c>
      <c r="AS92" s="3">
        <v>304</v>
      </c>
      <c r="AT92" s="3" t="str">
        <f>IFERROR(MID(VLOOKUP($B92,Seqs!$A:$B,2,0),AU92,1),"")</f>
        <v>R</v>
      </c>
      <c r="AU92" s="3">
        <v>328</v>
      </c>
      <c r="AV92" s="3" t="str">
        <f>IFERROR(MID(VLOOKUP($B92,Seqs!$A:$B,2,0),AW92,1),"")</f>
        <v>S</v>
      </c>
      <c r="AW92" s="3">
        <v>329</v>
      </c>
      <c r="AX92" s="3" t="str">
        <f>IFERROR(MID(VLOOKUP($B92,Seqs!$A:$B,2,0),AY92,1),"")</f>
        <v>C</v>
      </c>
      <c r="AY92" s="3">
        <v>341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140"/>
        <v>1</v>
      </c>
      <c r="BC92" s="23">
        <f t="shared" si="141"/>
        <v>249</v>
      </c>
      <c r="BD92" s="16" t="s">
        <v>23</v>
      </c>
      <c r="BE92" s="3" t="s">
        <v>1297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142"/>
        <v>26</v>
      </c>
      <c r="BW92" s="71">
        <f t="shared" si="143"/>
        <v>62</v>
      </c>
      <c r="BX92" s="72">
        <f t="shared" si="144"/>
        <v>66</v>
      </c>
      <c r="BY92" s="71">
        <f t="shared" si="145"/>
        <v>98</v>
      </c>
      <c r="BZ92" s="72">
        <f t="shared" si="146"/>
        <v>102</v>
      </c>
      <c r="CA92" s="71">
        <f t="shared" si="147"/>
        <v>138</v>
      </c>
      <c r="CB92" s="72">
        <f t="shared" si="148"/>
        <v>146</v>
      </c>
      <c r="CC92" s="71">
        <f t="shared" si="149"/>
        <v>191</v>
      </c>
      <c r="CD92" s="72">
        <f t="shared" si="150"/>
        <v>196</v>
      </c>
      <c r="CE92" s="71">
        <f t="shared" si="151"/>
        <v>269</v>
      </c>
      <c r="CF92" s="72">
        <f t="shared" si="152"/>
        <v>304</v>
      </c>
      <c r="CG92" s="71">
        <f t="shared" si="153"/>
        <v>329</v>
      </c>
      <c r="CH92" s="70">
        <f t="shared" si="154"/>
        <v>61</v>
      </c>
      <c r="CI92" s="71">
        <f t="shared" si="155"/>
        <v>65</v>
      </c>
      <c r="CJ92" s="72">
        <f t="shared" si="156"/>
        <v>96</v>
      </c>
      <c r="CK92" s="72">
        <f t="shared" si="157"/>
        <v>101</v>
      </c>
      <c r="CL92" s="72">
        <f t="shared" si="158"/>
        <v>137</v>
      </c>
      <c r="CM92" s="72">
        <f t="shared" si="159"/>
        <v>145</v>
      </c>
      <c r="CN92" s="72">
        <f t="shared" si="160"/>
        <v>172</v>
      </c>
      <c r="CO92" s="72">
        <f t="shared" si="161"/>
        <v>193</v>
      </c>
      <c r="CP92" s="72">
        <f t="shared" si="162"/>
        <v>226</v>
      </c>
      <c r="CQ92" s="72">
        <f t="shared" si="163"/>
        <v>299</v>
      </c>
      <c r="CR92" s="72">
        <f t="shared" si="164"/>
        <v>328</v>
      </c>
      <c r="CS92" s="72">
        <f t="shared" si="165"/>
        <v>341</v>
      </c>
      <c r="CT92" s="23">
        <f t="shared" si="166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139"/>
        <v>adrb2_human_3PDS</v>
      </c>
      <c r="B93" s="3" t="s">
        <v>126</v>
      </c>
      <c r="C93" s="3" t="s">
        <v>1341</v>
      </c>
      <c r="D93" s="3" t="str">
        <f>IFERROR(MID(VLOOKUP($B93,Seqs!$A:$B,2,0),E93,1),"")</f>
        <v>D</v>
      </c>
      <c r="E93" s="3">
        <v>29</v>
      </c>
      <c r="F93" s="3" t="str">
        <f>IFERROR(MID(VLOOKUP($B93,Seqs!$A:$B,2,0),G93,1),"")</f>
        <v>F</v>
      </c>
      <c r="G93" s="3">
        <v>61</v>
      </c>
      <c r="H93" s="3" t="str">
        <f>IFERROR(MID(VLOOKUP($B93,Seqs!$A:$B,2,0),I93,1),"")</f>
        <v>E</v>
      </c>
      <c r="I93" s="23">
        <v>62</v>
      </c>
      <c r="J93" s="3" t="str">
        <f>IFERROR(MID(VLOOKUP($B93,Seqs!$A:$B,2,0),K93,1),"")</f>
        <v>Q</v>
      </c>
      <c r="K93" s="23">
        <v>65</v>
      </c>
      <c r="L93" s="3" t="str">
        <f>IFERROR(MID(VLOOKUP($B93,Seqs!$A:$B,2,0),M93,1),"")</f>
        <v>T</v>
      </c>
      <c r="M93" s="3">
        <v>66</v>
      </c>
      <c r="N93" s="3" t="str">
        <f>IFERROR(MID(VLOOKUP($B93,Seqs!$A:$B,2,0),O93,1),"")</f>
        <v>M</v>
      </c>
      <c r="O93" s="3">
        <v>96</v>
      </c>
      <c r="P93" s="3" t="str">
        <f>IFERROR(MID(VLOOKUP($B93,Seqs!$A:$B,2,0),Q93,1),"")</f>
        <v>M</v>
      </c>
      <c r="Q93" s="3">
        <v>98</v>
      </c>
      <c r="R93" s="3" t="str">
        <f>IFERROR(MID(VLOOKUP($B93,Seqs!$A:$B,2,0),S93,1),"")</f>
        <v>F</v>
      </c>
      <c r="S93" s="3">
        <v>101</v>
      </c>
      <c r="T93" s="3" t="str">
        <f>IFERROR(MID(VLOOKUP($B93,Seqs!$A:$B,2,0),U93,1),"")</f>
        <v>G</v>
      </c>
      <c r="U93" s="3">
        <v>102</v>
      </c>
      <c r="V93" s="3" t="str">
        <f>IFERROR(MID(VLOOKUP($B93,Seqs!$A:$B,2,0),W93,1),"")</f>
        <v>S</v>
      </c>
      <c r="W93" s="3">
        <v>137</v>
      </c>
      <c r="X93" s="3" t="str">
        <f>IFERROR(MID(VLOOKUP($B93,Seqs!$A:$B,2,0),Y93,1),"")</f>
        <v/>
      </c>
      <c r="Y93" s="3" t="s">
        <v>23</v>
      </c>
      <c r="Z93" s="3" t="str">
        <f>IFERROR(MID(VLOOKUP($B93,Seqs!$A:$B,2,0),AA93,1),"")</f>
        <v/>
      </c>
      <c r="AA93" s="3" t="s">
        <v>23</v>
      </c>
      <c r="AB93" s="3" t="str">
        <f>IFERROR(MID(VLOOKUP($B93,Seqs!$A:$B,2,0),AC93,1),"")</f>
        <v>T</v>
      </c>
      <c r="AC93" s="9">
        <v>146</v>
      </c>
      <c r="AD93" s="3" t="str">
        <f>IFERROR(MID(VLOOKUP($B93,Seqs!$A:$B,2,0),AE93,1),"")</f>
        <v>H</v>
      </c>
      <c r="AE93" s="3">
        <v>172</v>
      </c>
      <c r="AF93" s="3" t="str">
        <f>IFERROR(MID(VLOOKUP($B93,Seqs!$A:$B,2,0),AG93,1),"")</f>
        <v>C</v>
      </c>
      <c r="AG93" s="3">
        <v>191</v>
      </c>
      <c r="AH93" s="3" t="str">
        <f>IFERROR(MID(VLOOKUP($B93,Seqs!$A:$B,2,0),AI93,1),"")</f>
        <v>F</v>
      </c>
      <c r="AI93" s="3">
        <v>193</v>
      </c>
      <c r="AJ93" s="3" t="str">
        <f>IFERROR(MID(VLOOKUP($B93,Seqs!$A:$B,2,0),AK93,1),"")</f>
        <v>N</v>
      </c>
      <c r="AK93" s="3">
        <v>196</v>
      </c>
      <c r="AL93" s="3" t="str">
        <f>IFERROR(MID(VLOOKUP($B93,Seqs!$A:$B,2,0),AM93,1),"")</f>
        <v>Q</v>
      </c>
      <c r="AM93" s="3">
        <v>229</v>
      </c>
      <c r="AN93" s="3" t="str">
        <f>IFERROR(MID(VLOOKUP($B93,Seqs!$A:$B,2,0),AO93,1),"")</f>
        <v>L</v>
      </c>
      <c r="AO93" s="3">
        <v>266</v>
      </c>
      <c r="AP93" s="3" t="str">
        <f>IFERROR(MID(VLOOKUP($B93,Seqs!$A:$B,2,0),AQ93,1),"")</f>
        <v>Q</v>
      </c>
      <c r="AQ93" s="3">
        <v>299</v>
      </c>
      <c r="AR93" s="3" t="str">
        <f>IFERROR(MID(VLOOKUP($B93,Seqs!$A:$B,2,0),AS93,1),"")</f>
        <v>R</v>
      </c>
      <c r="AS93" s="3">
        <v>304</v>
      </c>
      <c r="AT93" s="3" t="str">
        <f>IFERROR(MID(VLOOKUP($B93,Seqs!$A:$B,2,0),AU93,1),"")</f>
        <v>R</v>
      </c>
      <c r="AU93" s="3">
        <v>328</v>
      </c>
      <c r="AV93" s="3" t="str">
        <f>IFERROR(MID(VLOOKUP($B93,Seqs!$A:$B,2,0),AW93,1),"")</f>
        <v>S</v>
      </c>
      <c r="AW93" s="3">
        <v>329</v>
      </c>
      <c r="AX93" s="3" t="str">
        <f>IFERROR(MID(VLOOKUP($B93,Seqs!$A:$B,2,0),AY93,1),"")</f>
        <v>C</v>
      </c>
      <c r="AY93" s="3">
        <v>341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140"/>
        <v>1</v>
      </c>
      <c r="BC93" s="23">
        <f t="shared" si="141"/>
        <v>245</v>
      </c>
      <c r="BD93" s="5" t="s">
        <v>23</v>
      </c>
      <c r="BE93" s="3" t="s">
        <v>1381</v>
      </c>
      <c r="BF93" s="119">
        <v>3.5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142"/>
        <v>29</v>
      </c>
      <c r="BW93" s="71">
        <f t="shared" si="143"/>
        <v>62</v>
      </c>
      <c r="BX93" s="72">
        <f t="shared" si="144"/>
        <v>66</v>
      </c>
      <c r="BY93" s="71">
        <f t="shared" si="145"/>
        <v>98</v>
      </c>
      <c r="BZ93" s="72">
        <f t="shared" si="146"/>
        <v>102</v>
      </c>
      <c r="CA93" s="71" t="str">
        <f t="shared" si="147"/>
        <v>-</v>
      </c>
      <c r="CB93" s="72">
        <f t="shared" si="148"/>
        <v>146</v>
      </c>
      <c r="CC93" s="71">
        <f t="shared" si="149"/>
        <v>191</v>
      </c>
      <c r="CD93" s="72">
        <f t="shared" si="150"/>
        <v>196</v>
      </c>
      <c r="CE93" s="71">
        <f t="shared" si="151"/>
        <v>266</v>
      </c>
      <c r="CF93" s="72">
        <f t="shared" si="152"/>
        <v>304</v>
      </c>
      <c r="CG93" s="71">
        <f t="shared" si="153"/>
        <v>329</v>
      </c>
      <c r="CH93" s="70">
        <f t="shared" si="154"/>
        <v>61</v>
      </c>
      <c r="CI93" s="71">
        <f t="shared" si="155"/>
        <v>65</v>
      </c>
      <c r="CJ93" s="72">
        <f t="shared" si="156"/>
        <v>96</v>
      </c>
      <c r="CK93" s="72">
        <f t="shared" si="157"/>
        <v>101</v>
      </c>
      <c r="CL93" s="72">
        <f t="shared" si="158"/>
        <v>137</v>
      </c>
      <c r="CM93" s="72" t="str">
        <f t="shared" si="159"/>
        <v>-</v>
      </c>
      <c r="CN93" s="72">
        <f t="shared" si="160"/>
        <v>172</v>
      </c>
      <c r="CO93" s="72">
        <f t="shared" si="161"/>
        <v>193</v>
      </c>
      <c r="CP93" s="72">
        <f t="shared" si="162"/>
        <v>229</v>
      </c>
      <c r="CQ93" s="72">
        <f t="shared" si="163"/>
        <v>299</v>
      </c>
      <c r="CR93" s="72">
        <f t="shared" si="164"/>
        <v>328</v>
      </c>
      <c r="CS93" s="72">
        <f t="shared" si="165"/>
        <v>341</v>
      </c>
      <c r="CT93" s="23">
        <f t="shared" si="166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ht="17" customHeight="1" x14ac:dyDescent="0.2">
      <c r="A94" s="3" t="str">
        <f t="shared" si="139"/>
        <v>adrb2_human_3SN6</v>
      </c>
      <c r="B94" s="3" t="s">
        <v>126</v>
      </c>
      <c r="C94" s="3" t="s">
        <v>85</v>
      </c>
      <c r="D94" s="3" t="str">
        <f>IFERROR(MID(VLOOKUP($B94,Seqs!$A:$B,2,0),E94,1),"")</f>
        <v>D</v>
      </c>
      <c r="E94" s="3">
        <v>29</v>
      </c>
      <c r="F94" s="3" t="str">
        <f>IFERROR(MID(VLOOKUP($B94,Seqs!$A:$B,2,0),G94,1),"")</f>
        <v>F</v>
      </c>
      <c r="G94" s="3">
        <v>61</v>
      </c>
      <c r="H94" s="3" t="str">
        <f>IFERROR(MID(VLOOKUP($B94,Seqs!$A:$B,2,0),I94,1),"")</f>
        <v>E</v>
      </c>
      <c r="I94" s="23">
        <v>62</v>
      </c>
      <c r="J94" s="3" t="str">
        <f>IFERROR(MID(VLOOKUP($B94,Seqs!$A:$B,2,0),K94,1),"")</f>
        <v>Q</v>
      </c>
      <c r="K94" s="23">
        <v>65</v>
      </c>
      <c r="L94" s="3" t="str">
        <f>IFERROR(MID(VLOOKUP($B94,Seqs!$A:$B,2,0),M94,1),"")</f>
        <v>T</v>
      </c>
      <c r="M94" s="3">
        <v>66</v>
      </c>
      <c r="N94" s="3" t="str">
        <f>IFERROR(MID(VLOOKUP($B94,Seqs!$A:$B,2,0),O94,1),"")</f>
        <v>M</v>
      </c>
      <c r="O94" s="3">
        <v>96</v>
      </c>
      <c r="P94" s="3" t="str">
        <f>IFERROR(MID(VLOOKUP($B94,Seqs!$A:$B,2,0),Q94,1),"")</f>
        <v>M</v>
      </c>
      <c r="Q94" s="3">
        <v>98</v>
      </c>
      <c r="R94" s="3" t="str">
        <f>IFERROR(MID(VLOOKUP($B94,Seqs!$A:$B,2,0),S94,1),"")</f>
        <v>F</v>
      </c>
      <c r="S94" s="3">
        <v>101</v>
      </c>
      <c r="T94" s="3" t="str">
        <f>IFERROR(MID(VLOOKUP($B94,Seqs!$A:$B,2,0),U94,1),"")</f>
        <v>G</v>
      </c>
      <c r="U94" s="3">
        <v>102</v>
      </c>
      <c r="V94" s="3" t="str">
        <f>IFERROR(MID(VLOOKUP($B94,Seqs!$A:$B,2,0),W94,1),"")</f>
        <v>S</v>
      </c>
      <c r="W94" s="3">
        <v>137</v>
      </c>
      <c r="X94" s="3" t="str">
        <f>IFERROR(MID(VLOOKUP($B94,Seqs!$A:$B,2,0),Y94,1),"")</f>
        <v>P</v>
      </c>
      <c r="Y94" s="3">
        <v>138</v>
      </c>
      <c r="Z94" s="3" t="str">
        <f>IFERROR(MID(VLOOKUP($B94,Seqs!$A:$B,2,0),AA94,1),"")</f>
        <v>L</v>
      </c>
      <c r="AA94" s="3">
        <v>145</v>
      </c>
      <c r="AB94" s="3" t="str">
        <f>IFERROR(MID(VLOOKUP($B94,Seqs!$A:$B,2,0),AC94,1),"")</f>
        <v>T</v>
      </c>
      <c r="AC94" s="9">
        <v>146</v>
      </c>
      <c r="AD94" s="3" t="str">
        <f>IFERROR(MID(VLOOKUP($B94,Seqs!$A:$B,2,0),AE94,1),"")</f>
        <v>H</v>
      </c>
      <c r="AE94" s="3">
        <v>172</v>
      </c>
      <c r="AF94" s="3" t="str">
        <f>IFERROR(MID(VLOOKUP($B94,Seqs!$A:$B,2,0),AG94,1),"")</f>
        <v>C</v>
      </c>
      <c r="AG94" s="3">
        <v>191</v>
      </c>
      <c r="AH94" s="3" t="str">
        <f>IFERROR(MID(VLOOKUP($B94,Seqs!$A:$B,2,0),AI94,1),"")</f>
        <v>F</v>
      </c>
      <c r="AI94" s="3">
        <v>193</v>
      </c>
      <c r="AJ94" s="3" t="str">
        <f>IFERROR(MID(VLOOKUP($B94,Seqs!$A:$B,2,0),AK94,1),"")</f>
        <v>N</v>
      </c>
      <c r="AK94" s="3">
        <v>196</v>
      </c>
      <c r="AL94" s="3" t="str">
        <f>IFERROR(MID(VLOOKUP($B94,Seqs!$A:$B,2,0),AM94,1),"")</f>
        <v>E</v>
      </c>
      <c r="AM94" s="3">
        <v>237</v>
      </c>
      <c r="AN94" s="3" t="str">
        <f>IFERROR(MID(VLOOKUP($B94,Seqs!$A:$B,2,0),AO94,1),"")</f>
        <v>C</v>
      </c>
      <c r="AO94" s="3">
        <v>265</v>
      </c>
      <c r="AP94" s="3" t="str">
        <f>IFERROR(MID(VLOOKUP($B94,Seqs!$A:$B,2,0),AQ94,1),"")</f>
        <v>Q</v>
      </c>
      <c r="AQ94" s="3">
        <v>299</v>
      </c>
      <c r="AR94" s="3" t="str">
        <f>IFERROR(MID(VLOOKUP($B94,Seqs!$A:$B,2,0),AS94,1),"")</f>
        <v>R</v>
      </c>
      <c r="AS94" s="3">
        <v>304</v>
      </c>
      <c r="AT94" s="3" t="str">
        <f>IFERROR(MID(VLOOKUP($B94,Seqs!$A:$B,2,0),AU94,1),"")</f>
        <v>R</v>
      </c>
      <c r="AU94" s="3">
        <v>328</v>
      </c>
      <c r="AV94" s="3" t="str">
        <f>IFERROR(MID(VLOOKUP($B94,Seqs!$A:$B,2,0),AW94,1),"")</f>
        <v>S</v>
      </c>
      <c r="AW94" s="3">
        <v>329</v>
      </c>
      <c r="AX94" s="3" t="str">
        <f>IFERROR(MID(VLOOKUP($B94,Seqs!$A:$B,2,0),AY94,1),"")</f>
        <v>C</v>
      </c>
      <c r="AY94" s="3">
        <v>341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140"/>
        <v>1</v>
      </c>
      <c r="BC94" s="23">
        <f t="shared" si="141"/>
        <v>261</v>
      </c>
      <c r="BD94" s="4" t="s">
        <v>1382</v>
      </c>
      <c r="BE94" s="3" t="s">
        <v>1297</v>
      </c>
      <c r="BF94" s="119">
        <v>3.2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142"/>
        <v>29</v>
      </c>
      <c r="BW94" s="71">
        <f t="shared" si="143"/>
        <v>62</v>
      </c>
      <c r="BX94" s="72">
        <f t="shared" si="144"/>
        <v>66</v>
      </c>
      <c r="BY94" s="71">
        <f t="shared" si="145"/>
        <v>98</v>
      </c>
      <c r="BZ94" s="72">
        <f t="shared" si="146"/>
        <v>102</v>
      </c>
      <c r="CA94" s="71">
        <f t="shared" si="147"/>
        <v>138</v>
      </c>
      <c r="CB94" s="72">
        <f t="shared" si="148"/>
        <v>146</v>
      </c>
      <c r="CC94" s="71">
        <f t="shared" si="149"/>
        <v>191</v>
      </c>
      <c r="CD94" s="72">
        <f t="shared" si="150"/>
        <v>196</v>
      </c>
      <c r="CE94" s="71">
        <f t="shared" si="151"/>
        <v>265</v>
      </c>
      <c r="CF94" s="72">
        <f t="shared" si="152"/>
        <v>304</v>
      </c>
      <c r="CG94" s="71">
        <f t="shared" si="153"/>
        <v>329</v>
      </c>
      <c r="CH94" s="70">
        <f t="shared" si="154"/>
        <v>61</v>
      </c>
      <c r="CI94" s="71">
        <f t="shared" si="155"/>
        <v>65</v>
      </c>
      <c r="CJ94" s="72">
        <f t="shared" si="156"/>
        <v>96</v>
      </c>
      <c r="CK94" s="72">
        <f t="shared" si="157"/>
        <v>101</v>
      </c>
      <c r="CL94" s="72">
        <f t="shared" si="158"/>
        <v>137</v>
      </c>
      <c r="CM94" s="72">
        <f t="shared" si="159"/>
        <v>145</v>
      </c>
      <c r="CN94" s="72">
        <f t="shared" si="160"/>
        <v>172</v>
      </c>
      <c r="CO94" s="72">
        <f t="shared" si="161"/>
        <v>193</v>
      </c>
      <c r="CP94" s="72">
        <f t="shared" si="162"/>
        <v>237</v>
      </c>
      <c r="CQ94" s="72">
        <f t="shared" si="163"/>
        <v>299</v>
      </c>
      <c r="CR94" s="72">
        <f t="shared" si="164"/>
        <v>328</v>
      </c>
      <c r="CS94" s="72">
        <f t="shared" si="165"/>
        <v>341</v>
      </c>
      <c r="CT94" s="23">
        <f t="shared" si="166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ref="A95:A151" si="167">CONCATENATE(B95,"_",C95)</f>
        <v>adrb2_human_4LDE</v>
      </c>
      <c r="B95" s="3" t="s">
        <v>126</v>
      </c>
      <c r="C95" s="3" t="s">
        <v>77</v>
      </c>
      <c r="D95" s="3" t="str">
        <f>IFERROR(MID(VLOOKUP($B95,Seqs!$A:$B,2,0),E95,1),"")</f>
        <v>D</v>
      </c>
      <c r="E95" s="3">
        <v>29</v>
      </c>
      <c r="F95" s="3" t="str">
        <f>IFERROR(MID(VLOOKUP($B95,Seqs!$A:$B,2,0),G95,1),"")</f>
        <v>F</v>
      </c>
      <c r="G95" s="3">
        <v>61</v>
      </c>
      <c r="H95" s="3" t="str">
        <f>IFERROR(MID(VLOOKUP($B95,Seqs!$A:$B,2,0),I95,1),"")</f>
        <v>E</v>
      </c>
      <c r="I95" s="23">
        <v>62</v>
      </c>
      <c r="J95" s="3" t="str">
        <f>IFERROR(MID(VLOOKUP($B95,Seqs!$A:$B,2,0),K95,1),"")</f>
        <v>Q</v>
      </c>
      <c r="K95" s="23">
        <v>65</v>
      </c>
      <c r="L95" s="3" t="str">
        <f>IFERROR(MID(VLOOKUP($B95,Seqs!$A:$B,2,0),M95,1),"")</f>
        <v>T</v>
      </c>
      <c r="M95" s="3">
        <v>66</v>
      </c>
      <c r="N95" s="3" t="str">
        <f>IFERROR(MID(VLOOKUP($B95,Seqs!$A:$B,2,0),O95,1),"")</f>
        <v>M</v>
      </c>
      <c r="O95" s="3">
        <v>96</v>
      </c>
      <c r="P95" s="3" t="str">
        <f>IFERROR(MID(VLOOKUP($B95,Seqs!$A:$B,2,0),Q95,1),"")</f>
        <v>M</v>
      </c>
      <c r="Q95" s="3">
        <v>98</v>
      </c>
      <c r="R95" s="3" t="str">
        <f>IFERROR(MID(VLOOKUP($B95,Seqs!$A:$B,2,0),S95,1),"")</f>
        <v>F</v>
      </c>
      <c r="S95" s="3">
        <v>101</v>
      </c>
      <c r="T95" s="3" t="str">
        <f>IFERROR(MID(VLOOKUP($B95,Seqs!$A:$B,2,0),U95,1),"")</f>
        <v>G</v>
      </c>
      <c r="U95" s="3">
        <v>102</v>
      </c>
      <c r="V95" s="3" t="str">
        <f>IFERROR(MID(VLOOKUP($B95,Seqs!$A:$B,2,0),W95,1),"")</f>
        <v>S</v>
      </c>
      <c r="W95" s="3">
        <v>137</v>
      </c>
      <c r="X95" s="3" t="str">
        <f>IFERROR(MID(VLOOKUP($B95,Seqs!$A:$B,2,0),Y95,1),"")</f>
        <v>P</v>
      </c>
      <c r="Y95" s="3">
        <v>138</v>
      </c>
      <c r="Z95" s="3" t="str">
        <f>IFERROR(MID(VLOOKUP($B95,Seqs!$A:$B,2,0),AA95,1),"")</f>
        <v>L</v>
      </c>
      <c r="AA95" s="3">
        <v>145</v>
      </c>
      <c r="AB95" s="3" t="str">
        <f>IFERROR(MID(VLOOKUP($B95,Seqs!$A:$B,2,0),AC95,1),"")</f>
        <v>T</v>
      </c>
      <c r="AC95" s="9">
        <v>146</v>
      </c>
      <c r="AD95" s="3" t="str">
        <f>IFERROR(MID(VLOOKUP($B95,Seqs!$A:$B,2,0),AE95,1),"")</f>
        <v>H</v>
      </c>
      <c r="AE95" s="3">
        <v>172</v>
      </c>
      <c r="AF95" s="3" t="str">
        <f>IFERROR(MID(VLOOKUP($B95,Seqs!$A:$B,2,0),AG95,1),"")</f>
        <v>C</v>
      </c>
      <c r="AG95" s="3">
        <v>191</v>
      </c>
      <c r="AH95" s="3" t="str">
        <f>IFERROR(MID(VLOOKUP($B95,Seqs!$A:$B,2,0),AI95,1),"")</f>
        <v>F</v>
      </c>
      <c r="AI95" s="3">
        <v>193</v>
      </c>
      <c r="AJ95" s="3" t="str">
        <f>IFERROR(MID(VLOOKUP($B95,Seqs!$A:$B,2,0),AK95,1),"")</f>
        <v>N</v>
      </c>
      <c r="AK95" s="3">
        <v>196</v>
      </c>
      <c r="AL95" s="3" t="str">
        <f>IFERROR(MID(VLOOKUP($B95,Seqs!$A:$B,2,0),AM95,1),"")</f>
        <v>E</v>
      </c>
      <c r="AM95" s="3">
        <v>225</v>
      </c>
      <c r="AN95" s="3" t="str">
        <f>IFERROR(MID(VLOOKUP($B95,Seqs!$A:$B,2,0),AO95,1),"")</f>
        <v>L</v>
      </c>
      <c r="AO95" s="3">
        <v>266</v>
      </c>
      <c r="AP95" s="3" t="str">
        <f>IFERROR(MID(VLOOKUP($B95,Seqs!$A:$B,2,0),AQ95,1),"")</f>
        <v>Q</v>
      </c>
      <c r="AQ95" s="3">
        <v>299</v>
      </c>
      <c r="AR95" s="3" t="str">
        <f>IFERROR(MID(VLOOKUP($B95,Seqs!$A:$B,2,0),AS95,1),"")</f>
        <v>R</v>
      </c>
      <c r="AS95" s="3">
        <v>304</v>
      </c>
      <c r="AT95" s="3" t="str">
        <f>IFERROR(MID(VLOOKUP($B95,Seqs!$A:$B,2,0),AU95,1),"")</f>
        <v>R</v>
      </c>
      <c r="AU95" s="3">
        <v>328</v>
      </c>
      <c r="AV95" s="3" t="str">
        <f>IFERROR(MID(VLOOKUP($B95,Seqs!$A:$B,2,0),AW95,1),"")</f>
        <v>S</v>
      </c>
      <c r="AW95" s="3">
        <v>329</v>
      </c>
      <c r="AX95" s="3" t="str">
        <f>IFERROR(MID(VLOOKUP($B95,Seqs!$A:$B,2,0),AY95,1),"")</f>
        <v>C</v>
      </c>
      <c r="AY95" s="3">
        <v>341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ref="BB95:BB151" si="168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23">
        <f t="shared" si="141"/>
        <v>248</v>
      </c>
      <c r="BD95" s="4" t="s">
        <v>23</v>
      </c>
      <c r="BE95" s="3" t="s">
        <v>1297</v>
      </c>
      <c r="BF95" s="119">
        <v>2.79</v>
      </c>
      <c r="BG95" s="49" t="s">
        <v>1384</v>
      </c>
      <c r="BH95" s="49" t="s">
        <v>1384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142"/>
        <v>29</v>
      </c>
      <c r="BW95" s="71">
        <f t="shared" si="143"/>
        <v>62</v>
      </c>
      <c r="BX95" s="72">
        <f t="shared" si="144"/>
        <v>66</v>
      </c>
      <c r="BY95" s="71">
        <f t="shared" si="145"/>
        <v>98</v>
      </c>
      <c r="BZ95" s="72">
        <f t="shared" si="146"/>
        <v>102</v>
      </c>
      <c r="CA95" s="71">
        <f t="shared" si="147"/>
        <v>138</v>
      </c>
      <c r="CB95" s="72">
        <f t="shared" si="148"/>
        <v>146</v>
      </c>
      <c r="CC95" s="71">
        <f t="shared" si="149"/>
        <v>191</v>
      </c>
      <c r="CD95" s="72">
        <f t="shared" si="150"/>
        <v>196</v>
      </c>
      <c r="CE95" s="71">
        <f t="shared" si="151"/>
        <v>266</v>
      </c>
      <c r="CF95" s="72">
        <f t="shared" si="152"/>
        <v>304</v>
      </c>
      <c r="CG95" s="71">
        <f t="shared" si="153"/>
        <v>329</v>
      </c>
      <c r="CH95" s="70">
        <f t="shared" si="154"/>
        <v>61</v>
      </c>
      <c r="CI95" s="71">
        <f t="shared" si="155"/>
        <v>65</v>
      </c>
      <c r="CJ95" s="72">
        <f t="shared" si="156"/>
        <v>96</v>
      </c>
      <c r="CK95" s="72">
        <f t="shared" si="157"/>
        <v>101</v>
      </c>
      <c r="CL95" s="72">
        <f t="shared" si="158"/>
        <v>137</v>
      </c>
      <c r="CM95" s="72">
        <f t="shared" si="159"/>
        <v>145</v>
      </c>
      <c r="CN95" s="72">
        <f t="shared" si="160"/>
        <v>172</v>
      </c>
      <c r="CO95" s="72">
        <f t="shared" si="161"/>
        <v>193</v>
      </c>
      <c r="CP95" s="72">
        <f t="shared" si="162"/>
        <v>225</v>
      </c>
      <c r="CQ95" s="72">
        <f t="shared" si="163"/>
        <v>299</v>
      </c>
      <c r="CR95" s="72">
        <f t="shared" si="164"/>
        <v>328</v>
      </c>
      <c r="CS95" s="72">
        <f t="shared" si="165"/>
        <v>341</v>
      </c>
      <c r="CT95" s="23">
        <f t="shared" si="166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167"/>
        <v>adrb2_human_4LDL</v>
      </c>
      <c r="B96" s="3" t="s">
        <v>126</v>
      </c>
      <c r="C96" s="3" t="s">
        <v>1045</v>
      </c>
      <c r="D96" s="3" t="str">
        <f>IFERROR(MID(VLOOKUP($B96,Seqs!$A:$B,2,0),E96,1),"")</f>
        <v>D</v>
      </c>
      <c r="E96" s="3">
        <v>29</v>
      </c>
      <c r="F96" s="3" t="str">
        <f>IFERROR(MID(VLOOKUP($B96,Seqs!$A:$B,2,0),G96,1),"")</f>
        <v>F</v>
      </c>
      <c r="G96" s="3">
        <v>61</v>
      </c>
      <c r="H96" s="3" t="str">
        <f>IFERROR(MID(VLOOKUP($B96,Seqs!$A:$B,2,0),I96,1),"")</f>
        <v>E</v>
      </c>
      <c r="I96" s="23">
        <v>62</v>
      </c>
      <c r="J96" s="3" t="str">
        <f>IFERROR(MID(VLOOKUP($B96,Seqs!$A:$B,2,0),K96,1),"")</f>
        <v>Q</v>
      </c>
      <c r="K96" s="23">
        <v>65</v>
      </c>
      <c r="L96" s="3" t="str">
        <f>IFERROR(MID(VLOOKUP($B96,Seqs!$A:$B,2,0),M96,1),"")</f>
        <v>T</v>
      </c>
      <c r="M96" s="3">
        <v>66</v>
      </c>
      <c r="N96" s="3" t="str">
        <f>IFERROR(MID(VLOOKUP($B96,Seqs!$A:$B,2,0),O96,1),"")</f>
        <v>M</v>
      </c>
      <c r="O96" s="3">
        <v>96</v>
      </c>
      <c r="P96" s="3" t="str">
        <f>IFERROR(MID(VLOOKUP($B96,Seqs!$A:$B,2,0),Q96,1),"")</f>
        <v>M</v>
      </c>
      <c r="Q96" s="3">
        <v>98</v>
      </c>
      <c r="R96" s="3" t="str">
        <f>IFERROR(MID(VLOOKUP($B96,Seqs!$A:$B,2,0),S96,1),"")</f>
        <v>F</v>
      </c>
      <c r="S96" s="3">
        <v>101</v>
      </c>
      <c r="T96" s="3" t="str">
        <f>IFERROR(MID(VLOOKUP($B96,Seqs!$A:$B,2,0),U96,1),"")</f>
        <v>G</v>
      </c>
      <c r="U96" s="3">
        <v>102</v>
      </c>
      <c r="V96" s="3" t="str">
        <f>IFERROR(MID(VLOOKUP($B96,Seqs!$A:$B,2,0),W96,1),"")</f>
        <v>S</v>
      </c>
      <c r="W96" s="3">
        <v>137</v>
      </c>
      <c r="X96" s="3" t="str">
        <f>IFERROR(MID(VLOOKUP($B96,Seqs!$A:$B,2,0),Y96,1),"")</f>
        <v>P</v>
      </c>
      <c r="Y96" s="3">
        <v>138</v>
      </c>
      <c r="Z96" s="3" t="str">
        <f>IFERROR(MID(VLOOKUP($B96,Seqs!$A:$B,2,0),AA96,1),"")</f>
        <v>L</v>
      </c>
      <c r="AA96" s="3">
        <v>145</v>
      </c>
      <c r="AB96" s="3" t="str">
        <f>IFERROR(MID(VLOOKUP($B96,Seqs!$A:$B,2,0),AC96,1),"")</f>
        <v>T</v>
      </c>
      <c r="AC96" s="9">
        <v>146</v>
      </c>
      <c r="AD96" s="3" t="str">
        <f>IFERROR(MID(VLOOKUP($B96,Seqs!$A:$B,2,0),AE96,1),"")</f>
        <v>H</v>
      </c>
      <c r="AE96" s="3">
        <v>172</v>
      </c>
      <c r="AF96" s="3" t="str">
        <f>IFERROR(MID(VLOOKUP($B96,Seqs!$A:$B,2,0),AG96,1),"")</f>
        <v>C</v>
      </c>
      <c r="AG96" s="3">
        <v>191</v>
      </c>
      <c r="AH96" s="3" t="str">
        <f>IFERROR(MID(VLOOKUP($B96,Seqs!$A:$B,2,0),AI96,1),"")</f>
        <v>F</v>
      </c>
      <c r="AI96" s="3">
        <v>193</v>
      </c>
      <c r="AJ96" s="3" t="str">
        <f>IFERROR(MID(VLOOKUP($B96,Seqs!$A:$B,2,0),AK96,1),"")</f>
        <v>N</v>
      </c>
      <c r="AK96" s="3">
        <v>196</v>
      </c>
      <c r="AL96" s="3" t="str">
        <f>IFERROR(MID(VLOOKUP($B96,Seqs!$A:$B,2,0),AM96,1),"")</f>
        <v>E</v>
      </c>
      <c r="AM96" s="3">
        <v>225</v>
      </c>
      <c r="AN96" s="3" t="str">
        <f>IFERROR(MID(VLOOKUP($B96,Seqs!$A:$B,2,0),AO96,1),"")</f>
        <v>L</v>
      </c>
      <c r="AO96" s="3">
        <v>266</v>
      </c>
      <c r="AP96" s="3" t="str">
        <f>IFERROR(MID(VLOOKUP($B96,Seqs!$A:$B,2,0),AQ96,1),"")</f>
        <v>Q</v>
      </c>
      <c r="AQ96" s="3">
        <v>299</v>
      </c>
      <c r="AR96" s="3" t="str">
        <f>IFERROR(MID(VLOOKUP($B96,Seqs!$A:$B,2,0),AS96,1),"")</f>
        <v>R</v>
      </c>
      <c r="AS96" s="3">
        <v>304</v>
      </c>
      <c r="AT96" s="3" t="str">
        <f>IFERROR(MID(VLOOKUP($B96,Seqs!$A:$B,2,0),AU96,1),"")</f>
        <v>R</v>
      </c>
      <c r="AU96" s="3">
        <v>328</v>
      </c>
      <c r="AV96" s="3" t="str">
        <f>IFERROR(MID(VLOOKUP($B96,Seqs!$A:$B,2,0),AW96,1),"")</f>
        <v>S</v>
      </c>
      <c r="AW96" s="3">
        <v>329</v>
      </c>
      <c r="AX96" s="3" t="str">
        <f>IFERROR(MID(VLOOKUP($B96,Seqs!$A:$B,2,0),AY96,1),"")</f>
        <v>C</v>
      </c>
      <c r="AY96" s="3">
        <v>341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168"/>
        <v>1</v>
      </c>
      <c r="BC96" s="23">
        <f t="shared" si="141"/>
        <v>248</v>
      </c>
      <c r="BD96" s="4" t="s">
        <v>23</v>
      </c>
      <c r="BE96" s="3" t="s">
        <v>1297</v>
      </c>
      <c r="BF96" s="119">
        <v>3.1</v>
      </c>
      <c r="BG96" s="49" t="s">
        <v>1384</v>
      </c>
      <c r="BH96" s="49" t="s">
        <v>1384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si="142"/>
        <v>29</v>
      </c>
      <c r="BW96" s="71">
        <f t="shared" si="143"/>
        <v>62</v>
      </c>
      <c r="BX96" s="72">
        <f t="shared" si="144"/>
        <v>66</v>
      </c>
      <c r="BY96" s="71">
        <f t="shared" si="145"/>
        <v>98</v>
      </c>
      <c r="BZ96" s="72">
        <f t="shared" si="146"/>
        <v>102</v>
      </c>
      <c r="CA96" s="71">
        <f t="shared" si="147"/>
        <v>138</v>
      </c>
      <c r="CB96" s="72">
        <f t="shared" si="148"/>
        <v>146</v>
      </c>
      <c r="CC96" s="71">
        <f t="shared" si="149"/>
        <v>191</v>
      </c>
      <c r="CD96" s="72">
        <f t="shared" si="150"/>
        <v>196</v>
      </c>
      <c r="CE96" s="71">
        <f t="shared" si="151"/>
        <v>266</v>
      </c>
      <c r="CF96" s="72">
        <f t="shared" si="152"/>
        <v>304</v>
      </c>
      <c r="CG96" s="71">
        <f t="shared" si="153"/>
        <v>329</v>
      </c>
      <c r="CH96" s="70">
        <f t="shared" si="154"/>
        <v>61</v>
      </c>
      <c r="CI96" s="71">
        <f t="shared" si="155"/>
        <v>65</v>
      </c>
      <c r="CJ96" s="72">
        <f t="shared" si="156"/>
        <v>96</v>
      </c>
      <c r="CK96" s="72">
        <f t="shared" si="157"/>
        <v>101</v>
      </c>
      <c r="CL96" s="72">
        <f t="shared" si="158"/>
        <v>137</v>
      </c>
      <c r="CM96" s="72">
        <f t="shared" si="159"/>
        <v>145</v>
      </c>
      <c r="CN96" s="72">
        <f t="shared" si="160"/>
        <v>172</v>
      </c>
      <c r="CO96" s="72">
        <f t="shared" si="161"/>
        <v>193</v>
      </c>
      <c r="CP96" s="72">
        <f t="shared" si="162"/>
        <v>225</v>
      </c>
      <c r="CQ96" s="72">
        <f t="shared" si="163"/>
        <v>299</v>
      </c>
      <c r="CR96" s="72">
        <f t="shared" si="164"/>
        <v>328</v>
      </c>
      <c r="CS96" s="72">
        <f t="shared" si="165"/>
        <v>341</v>
      </c>
      <c r="CT96" s="23">
        <f t="shared" si="166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ht="17" customHeight="1" x14ac:dyDescent="0.2">
      <c r="A97" s="3" t="str">
        <f t="shared" si="167"/>
        <v>adrb2_human_4LDO</v>
      </c>
      <c r="B97" s="3" t="s">
        <v>126</v>
      </c>
      <c r="C97" s="3" t="s">
        <v>1046</v>
      </c>
      <c r="D97" s="3" t="str">
        <f>IFERROR(MID(VLOOKUP($B97,Seqs!$A:$B,2,0),E97,1),"")</f>
        <v>D</v>
      </c>
      <c r="E97" s="3">
        <v>29</v>
      </c>
      <c r="F97" s="3" t="str">
        <f>IFERROR(MID(VLOOKUP($B97,Seqs!$A:$B,2,0),G97,1),"")</f>
        <v>F</v>
      </c>
      <c r="G97" s="3">
        <v>61</v>
      </c>
      <c r="H97" s="3" t="str">
        <f>IFERROR(MID(VLOOKUP($B97,Seqs!$A:$B,2,0),I97,1),"")</f>
        <v>E</v>
      </c>
      <c r="I97" s="23">
        <v>62</v>
      </c>
      <c r="J97" s="3" t="str">
        <f>IFERROR(MID(VLOOKUP($B97,Seqs!$A:$B,2,0),K97,1),"")</f>
        <v>Q</v>
      </c>
      <c r="K97" s="23">
        <v>65</v>
      </c>
      <c r="L97" s="3" t="str">
        <f>IFERROR(MID(VLOOKUP($B97,Seqs!$A:$B,2,0),M97,1),"")</f>
        <v>T</v>
      </c>
      <c r="M97" s="3">
        <v>66</v>
      </c>
      <c r="N97" s="3" t="str">
        <f>IFERROR(MID(VLOOKUP($B97,Seqs!$A:$B,2,0),O97,1),"")</f>
        <v>M</v>
      </c>
      <c r="O97" s="3">
        <v>96</v>
      </c>
      <c r="P97" s="3" t="str">
        <f>IFERROR(MID(VLOOKUP($B97,Seqs!$A:$B,2,0),Q97,1),"")</f>
        <v>M</v>
      </c>
      <c r="Q97" s="3">
        <v>98</v>
      </c>
      <c r="R97" s="3" t="str">
        <f>IFERROR(MID(VLOOKUP($B97,Seqs!$A:$B,2,0),S97,1),"")</f>
        <v>F</v>
      </c>
      <c r="S97" s="3">
        <v>101</v>
      </c>
      <c r="T97" s="3" t="str">
        <f>IFERROR(MID(VLOOKUP($B97,Seqs!$A:$B,2,0),U97,1),"")</f>
        <v>G</v>
      </c>
      <c r="U97" s="3">
        <v>102</v>
      </c>
      <c r="V97" s="3" t="str">
        <f>IFERROR(MID(VLOOKUP($B97,Seqs!$A:$B,2,0),W97,1),"")</f>
        <v>S</v>
      </c>
      <c r="W97" s="3">
        <v>137</v>
      </c>
      <c r="X97" s="3" t="str">
        <f>IFERROR(MID(VLOOKUP($B97,Seqs!$A:$B,2,0),Y97,1),"")</f>
        <v>P</v>
      </c>
      <c r="Y97" s="3">
        <v>138</v>
      </c>
      <c r="Z97" s="3" t="str">
        <f>IFERROR(MID(VLOOKUP($B97,Seqs!$A:$B,2,0),AA97,1),"")</f>
        <v>L</v>
      </c>
      <c r="AA97" s="3">
        <v>145</v>
      </c>
      <c r="AB97" s="3" t="str">
        <f>IFERROR(MID(VLOOKUP($B97,Seqs!$A:$B,2,0),AC97,1),"")</f>
        <v>T</v>
      </c>
      <c r="AC97" s="9">
        <v>146</v>
      </c>
      <c r="AD97" s="3" t="str">
        <f>IFERROR(MID(VLOOKUP($B97,Seqs!$A:$B,2,0),AE97,1),"")</f>
        <v>H</v>
      </c>
      <c r="AE97" s="3">
        <v>172</v>
      </c>
      <c r="AF97" s="3" t="str">
        <f>IFERROR(MID(VLOOKUP($B97,Seqs!$A:$B,2,0),AG97,1),"")</f>
        <v>C</v>
      </c>
      <c r="AG97" s="3">
        <v>191</v>
      </c>
      <c r="AH97" s="3" t="str">
        <f>IFERROR(MID(VLOOKUP($B97,Seqs!$A:$B,2,0),AI97,1),"")</f>
        <v>F</v>
      </c>
      <c r="AI97" s="3">
        <v>193</v>
      </c>
      <c r="AJ97" s="3" t="str">
        <f>IFERROR(MID(VLOOKUP($B97,Seqs!$A:$B,2,0),AK97,1),"")</f>
        <v>N</v>
      </c>
      <c r="AK97" s="3">
        <v>196</v>
      </c>
      <c r="AL97" s="3" t="str">
        <f>IFERROR(MID(VLOOKUP($B97,Seqs!$A:$B,2,0),AM97,1),"")</f>
        <v>E</v>
      </c>
      <c r="AM97" s="3">
        <v>225</v>
      </c>
      <c r="AN97" s="3" t="str">
        <f>IFERROR(MID(VLOOKUP($B97,Seqs!$A:$B,2,0),AO97,1),"")</f>
        <v>L</v>
      </c>
      <c r="AO97" s="3">
        <v>266</v>
      </c>
      <c r="AP97" s="3" t="str">
        <f>IFERROR(MID(VLOOKUP($B97,Seqs!$A:$B,2,0),AQ97,1),"")</f>
        <v>Q</v>
      </c>
      <c r="AQ97" s="3">
        <v>299</v>
      </c>
      <c r="AR97" s="3" t="str">
        <f>IFERROR(MID(VLOOKUP($B97,Seqs!$A:$B,2,0),AS97,1),"")</f>
        <v>R</v>
      </c>
      <c r="AS97" s="3">
        <v>304</v>
      </c>
      <c r="AT97" s="3" t="str">
        <f>IFERROR(MID(VLOOKUP($B97,Seqs!$A:$B,2,0),AU97,1),"")</f>
        <v>R</v>
      </c>
      <c r="AU97" s="3">
        <v>328</v>
      </c>
      <c r="AV97" s="3" t="str">
        <f>IFERROR(MID(VLOOKUP($B97,Seqs!$A:$B,2,0),AW97,1),"")</f>
        <v>S</v>
      </c>
      <c r="AW97" s="3">
        <v>329</v>
      </c>
      <c r="AX97" s="3" t="str">
        <f>IFERROR(MID(VLOOKUP($B97,Seqs!$A:$B,2,0),AY97,1),"")</f>
        <v>C</v>
      </c>
      <c r="AY97" s="3">
        <v>341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168"/>
        <v>1</v>
      </c>
      <c r="BC97" s="23">
        <f t="shared" si="141"/>
        <v>248</v>
      </c>
      <c r="BD97" s="4" t="s">
        <v>23</v>
      </c>
      <c r="BE97" s="3" t="s">
        <v>1297</v>
      </c>
      <c r="BF97" s="119">
        <v>3.2</v>
      </c>
      <c r="BG97" s="49" t="s">
        <v>1384</v>
      </c>
      <c r="BH97" s="49" t="s">
        <v>1384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142"/>
        <v>29</v>
      </c>
      <c r="BW97" s="71">
        <f t="shared" si="143"/>
        <v>62</v>
      </c>
      <c r="BX97" s="72">
        <f t="shared" si="144"/>
        <v>66</v>
      </c>
      <c r="BY97" s="71">
        <f t="shared" si="145"/>
        <v>98</v>
      </c>
      <c r="BZ97" s="72">
        <f t="shared" si="146"/>
        <v>102</v>
      </c>
      <c r="CA97" s="71">
        <f t="shared" si="147"/>
        <v>138</v>
      </c>
      <c r="CB97" s="72">
        <f t="shared" si="148"/>
        <v>146</v>
      </c>
      <c r="CC97" s="71">
        <f t="shared" si="149"/>
        <v>191</v>
      </c>
      <c r="CD97" s="72">
        <f t="shared" si="150"/>
        <v>196</v>
      </c>
      <c r="CE97" s="71">
        <f t="shared" si="151"/>
        <v>266</v>
      </c>
      <c r="CF97" s="72">
        <f t="shared" si="152"/>
        <v>304</v>
      </c>
      <c r="CG97" s="71">
        <f t="shared" si="153"/>
        <v>329</v>
      </c>
      <c r="CH97" s="70">
        <f t="shared" si="154"/>
        <v>61</v>
      </c>
      <c r="CI97" s="71">
        <f t="shared" si="155"/>
        <v>65</v>
      </c>
      <c r="CJ97" s="72">
        <f t="shared" si="156"/>
        <v>96</v>
      </c>
      <c r="CK97" s="72">
        <f t="shared" si="157"/>
        <v>101</v>
      </c>
      <c r="CL97" s="72">
        <f t="shared" si="158"/>
        <v>137</v>
      </c>
      <c r="CM97" s="72">
        <f t="shared" si="159"/>
        <v>145</v>
      </c>
      <c r="CN97" s="72">
        <f t="shared" si="160"/>
        <v>172</v>
      </c>
      <c r="CO97" s="72">
        <f t="shared" si="161"/>
        <v>193</v>
      </c>
      <c r="CP97" s="72">
        <f t="shared" si="162"/>
        <v>225</v>
      </c>
      <c r="CQ97" s="72">
        <f t="shared" si="163"/>
        <v>299</v>
      </c>
      <c r="CR97" s="72">
        <f t="shared" si="164"/>
        <v>328</v>
      </c>
      <c r="CS97" s="72">
        <f t="shared" si="165"/>
        <v>341</v>
      </c>
      <c r="CT97" s="23">
        <f t="shared" si="166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167"/>
        <v>adrb2_human_4QKX</v>
      </c>
      <c r="B98" s="3" t="s">
        <v>126</v>
      </c>
      <c r="C98" s="3" t="s">
        <v>78</v>
      </c>
      <c r="D98" s="3" t="str">
        <f>IFERROR(MID(VLOOKUP($B98,Seqs!$A:$B,2,0),E98,1),"")</f>
        <v>D</v>
      </c>
      <c r="E98" s="3">
        <v>29</v>
      </c>
      <c r="F98" s="3" t="str">
        <f>IFERROR(MID(VLOOKUP($B98,Seqs!$A:$B,2,0),G98,1),"")</f>
        <v>F</v>
      </c>
      <c r="G98" s="3">
        <v>61</v>
      </c>
      <c r="H98" s="3" t="str">
        <f>IFERROR(MID(VLOOKUP($B98,Seqs!$A:$B,2,0),I98,1),"")</f>
        <v>E</v>
      </c>
      <c r="I98" s="23">
        <v>62</v>
      </c>
      <c r="J98" s="3" t="str">
        <f>IFERROR(MID(VLOOKUP($B98,Seqs!$A:$B,2,0),K98,1),"")</f>
        <v>Q</v>
      </c>
      <c r="K98" s="23">
        <v>65</v>
      </c>
      <c r="L98" s="3" t="str">
        <f>IFERROR(MID(VLOOKUP($B98,Seqs!$A:$B,2,0),M98,1),"")</f>
        <v>T</v>
      </c>
      <c r="M98" s="3">
        <v>66</v>
      </c>
      <c r="N98" s="3" t="str">
        <f>IFERROR(MID(VLOOKUP($B98,Seqs!$A:$B,2,0),O98,1),"")</f>
        <v>M</v>
      </c>
      <c r="O98" s="3">
        <v>96</v>
      </c>
      <c r="P98" s="3" t="str">
        <f>IFERROR(MID(VLOOKUP($B98,Seqs!$A:$B,2,0),Q98,1),"")</f>
        <v>M</v>
      </c>
      <c r="Q98" s="3">
        <v>98</v>
      </c>
      <c r="R98" s="3" t="str">
        <f>IFERROR(MID(VLOOKUP($B98,Seqs!$A:$B,2,0),S98,1),"")</f>
        <v>F</v>
      </c>
      <c r="S98" s="3">
        <v>101</v>
      </c>
      <c r="T98" s="3" t="str">
        <f>IFERROR(MID(VLOOKUP($B98,Seqs!$A:$B,2,0),U98,1),"")</f>
        <v>G</v>
      </c>
      <c r="U98" s="3">
        <v>102</v>
      </c>
      <c r="V98" s="3" t="str">
        <f>IFERROR(MID(VLOOKUP($B98,Seqs!$A:$B,2,0),W98,1),"")</f>
        <v>S</v>
      </c>
      <c r="W98" s="3">
        <v>137</v>
      </c>
      <c r="X98" s="3" t="str">
        <f>IFERROR(MID(VLOOKUP($B98,Seqs!$A:$B,2,0),Y98,1),"")</f>
        <v>P</v>
      </c>
      <c r="Y98" s="3">
        <v>138</v>
      </c>
      <c r="Z98" s="3" t="str">
        <f>IFERROR(MID(VLOOKUP($B98,Seqs!$A:$B,2,0),AA98,1),"")</f>
        <v>L</v>
      </c>
      <c r="AA98" s="3">
        <v>145</v>
      </c>
      <c r="AB98" s="3" t="str">
        <f>IFERROR(MID(VLOOKUP($B98,Seqs!$A:$B,2,0),AC98,1),"")</f>
        <v>T</v>
      </c>
      <c r="AC98" s="9">
        <v>146</v>
      </c>
      <c r="AD98" s="3" t="str">
        <f>IFERROR(MID(VLOOKUP($B98,Seqs!$A:$B,2,0),AE98,1),"")</f>
        <v>H</v>
      </c>
      <c r="AE98" s="3">
        <v>172</v>
      </c>
      <c r="AF98" s="3" t="str">
        <f>IFERROR(MID(VLOOKUP($B98,Seqs!$A:$B,2,0),AG98,1),"")</f>
        <v>C</v>
      </c>
      <c r="AG98" s="3">
        <v>191</v>
      </c>
      <c r="AH98" s="3" t="str">
        <f>IFERROR(MID(VLOOKUP($B98,Seqs!$A:$B,2,0),AI98,1),"")</f>
        <v>F</v>
      </c>
      <c r="AI98" s="3">
        <v>193</v>
      </c>
      <c r="AJ98" s="3" t="str">
        <f>IFERROR(MID(VLOOKUP($B98,Seqs!$A:$B,2,0),AK98,1),"")</f>
        <v>N</v>
      </c>
      <c r="AK98" s="3">
        <v>196</v>
      </c>
      <c r="AL98" s="3" t="str">
        <f>IFERROR(MID(VLOOKUP($B98,Seqs!$A:$B,2,0),AM98,1),"")</f>
        <v>E</v>
      </c>
      <c r="AM98" s="3">
        <v>225</v>
      </c>
      <c r="AN98" s="3" t="str">
        <f>IFERROR(MID(VLOOKUP($B98,Seqs!$A:$B,2,0),AO98,1),"")</f>
        <v>L</v>
      </c>
      <c r="AO98" s="3">
        <v>266</v>
      </c>
      <c r="AP98" s="3" t="str">
        <f>IFERROR(MID(VLOOKUP($B98,Seqs!$A:$B,2,0),AQ98,1),"")</f>
        <v>Q</v>
      </c>
      <c r="AQ98" s="3">
        <v>299</v>
      </c>
      <c r="AR98" s="3" t="str">
        <f>IFERROR(MID(VLOOKUP($B98,Seqs!$A:$B,2,0),AS98,1),"")</f>
        <v>R</v>
      </c>
      <c r="AS98" s="3">
        <v>304</v>
      </c>
      <c r="AT98" s="3" t="str">
        <f>IFERROR(MID(VLOOKUP($B98,Seqs!$A:$B,2,0),AU98,1),"")</f>
        <v>R</v>
      </c>
      <c r="AU98" s="3">
        <v>328</v>
      </c>
      <c r="AV98" s="3" t="str">
        <f>IFERROR(MID(VLOOKUP($B98,Seqs!$A:$B,2,0),AW98,1),"")</f>
        <v>S</v>
      </c>
      <c r="AW98" s="3">
        <v>329</v>
      </c>
      <c r="AX98" s="3" t="str">
        <f>IFERROR(MID(VLOOKUP($B98,Seqs!$A:$B,2,0),AY98,1),"")</f>
        <v>C</v>
      </c>
      <c r="AY98" s="3">
        <v>341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168"/>
        <v>1</v>
      </c>
      <c r="BC98" s="23">
        <f t="shared" si="141"/>
        <v>248</v>
      </c>
      <c r="BD98" s="4" t="s">
        <v>23</v>
      </c>
      <c r="BE98" s="3" t="s">
        <v>1297</v>
      </c>
      <c r="BF98" s="119">
        <v>3.3</v>
      </c>
      <c r="BG98" s="49" t="s">
        <v>1384</v>
      </c>
      <c r="BH98" s="49" t="s">
        <v>1384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142"/>
        <v>29</v>
      </c>
      <c r="BW98" s="71">
        <f t="shared" si="143"/>
        <v>62</v>
      </c>
      <c r="BX98" s="72">
        <f t="shared" si="144"/>
        <v>66</v>
      </c>
      <c r="BY98" s="71">
        <f t="shared" si="145"/>
        <v>98</v>
      </c>
      <c r="BZ98" s="72">
        <f t="shared" si="146"/>
        <v>102</v>
      </c>
      <c r="CA98" s="71">
        <f t="shared" si="147"/>
        <v>138</v>
      </c>
      <c r="CB98" s="72">
        <f t="shared" si="148"/>
        <v>146</v>
      </c>
      <c r="CC98" s="71">
        <f t="shared" si="149"/>
        <v>191</v>
      </c>
      <c r="CD98" s="72">
        <f t="shared" si="150"/>
        <v>196</v>
      </c>
      <c r="CE98" s="71">
        <f t="shared" si="151"/>
        <v>266</v>
      </c>
      <c r="CF98" s="72">
        <f t="shared" si="152"/>
        <v>304</v>
      </c>
      <c r="CG98" s="71">
        <f t="shared" si="153"/>
        <v>329</v>
      </c>
      <c r="CH98" s="70">
        <f t="shared" si="154"/>
        <v>61</v>
      </c>
      <c r="CI98" s="71">
        <f t="shared" si="155"/>
        <v>65</v>
      </c>
      <c r="CJ98" s="72">
        <f t="shared" si="156"/>
        <v>96</v>
      </c>
      <c r="CK98" s="72">
        <f t="shared" si="157"/>
        <v>101</v>
      </c>
      <c r="CL98" s="72">
        <f t="shared" si="158"/>
        <v>137</v>
      </c>
      <c r="CM98" s="72">
        <f t="shared" si="159"/>
        <v>145</v>
      </c>
      <c r="CN98" s="72">
        <f t="shared" si="160"/>
        <v>172</v>
      </c>
      <c r="CO98" s="72">
        <f t="shared" si="161"/>
        <v>193</v>
      </c>
      <c r="CP98" s="72">
        <f t="shared" si="162"/>
        <v>225</v>
      </c>
      <c r="CQ98" s="72">
        <f t="shared" si="163"/>
        <v>299</v>
      </c>
      <c r="CR98" s="72">
        <f t="shared" si="164"/>
        <v>328</v>
      </c>
      <c r="CS98" s="72">
        <f t="shared" si="165"/>
        <v>341</v>
      </c>
      <c r="CT98" s="23">
        <f t="shared" si="166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167"/>
        <v>adrb2_human_5D6L</v>
      </c>
      <c r="B99" s="3" t="s">
        <v>126</v>
      </c>
      <c r="C99" s="3" t="s">
        <v>1349</v>
      </c>
      <c r="D99" s="3" t="str">
        <f>IFERROR(MID(VLOOKUP($B99,Seqs!$A:$B,2,0),E99,1),"")</f>
        <v>D</v>
      </c>
      <c r="E99" s="3">
        <v>29</v>
      </c>
      <c r="F99" s="3" t="str">
        <f>IFERROR(MID(VLOOKUP($B99,Seqs!$A:$B,2,0),G99,1),"")</f>
        <v>F</v>
      </c>
      <c r="G99" s="3">
        <v>61</v>
      </c>
      <c r="H99" s="3" t="str">
        <f>IFERROR(MID(VLOOKUP($B99,Seqs!$A:$B,2,0),I99,1),"")</f>
        <v>E</v>
      </c>
      <c r="I99" s="23">
        <v>62</v>
      </c>
      <c r="J99" s="3" t="str">
        <f>IFERROR(MID(VLOOKUP($B99,Seqs!$A:$B,2,0),K99,1),"")</f>
        <v>Q</v>
      </c>
      <c r="K99" s="23">
        <v>65</v>
      </c>
      <c r="L99" s="3" t="str">
        <f>IFERROR(MID(VLOOKUP($B99,Seqs!$A:$B,2,0),M99,1),"")</f>
        <v>T</v>
      </c>
      <c r="M99" s="3">
        <v>66</v>
      </c>
      <c r="N99" s="3" t="str">
        <f>IFERROR(MID(VLOOKUP($B99,Seqs!$A:$B,2,0),O99,1),"")</f>
        <v>M</v>
      </c>
      <c r="O99" s="3">
        <v>96</v>
      </c>
      <c r="P99" s="3" t="str">
        <f>IFERROR(MID(VLOOKUP($B99,Seqs!$A:$B,2,0),Q99,1),"")</f>
        <v>M</v>
      </c>
      <c r="Q99" s="3">
        <v>98</v>
      </c>
      <c r="R99" s="3" t="str">
        <f>IFERROR(MID(VLOOKUP($B99,Seqs!$A:$B,2,0),S99,1),"")</f>
        <v>F</v>
      </c>
      <c r="S99" s="3">
        <v>101</v>
      </c>
      <c r="T99" s="3" t="str">
        <f>IFERROR(MID(VLOOKUP($B99,Seqs!$A:$B,2,0),U99,1),"")</f>
        <v>G</v>
      </c>
      <c r="U99" s="3">
        <v>102</v>
      </c>
      <c r="V99" s="3" t="str">
        <f>IFERROR(MID(VLOOKUP($B99,Seqs!$A:$B,2,0),W99,1),"")</f>
        <v>S</v>
      </c>
      <c r="W99" s="3">
        <v>137</v>
      </c>
      <c r="X99" s="3" t="str">
        <f>IFERROR(MID(VLOOKUP($B99,Seqs!$A:$B,2,0),Y99,1),"")</f>
        <v/>
      </c>
      <c r="Y99" s="3" t="s">
        <v>23</v>
      </c>
      <c r="Z99" s="3" t="str">
        <f>IFERROR(MID(VLOOKUP($B99,Seqs!$A:$B,2,0),AA99,1),"")</f>
        <v/>
      </c>
      <c r="AA99" s="3" t="s">
        <v>23</v>
      </c>
      <c r="AB99" s="3" t="str">
        <f>IFERROR(MID(VLOOKUP($B99,Seqs!$A:$B,2,0),AC99,1),"")</f>
        <v>T</v>
      </c>
      <c r="AC99" s="9">
        <v>146</v>
      </c>
      <c r="AD99" s="3" t="str">
        <f>IFERROR(MID(VLOOKUP($B99,Seqs!$A:$B,2,0),AE99,1),"")</f>
        <v>H</v>
      </c>
      <c r="AE99" s="3">
        <v>172</v>
      </c>
      <c r="AF99" s="3" t="str">
        <f>IFERROR(MID(VLOOKUP($B99,Seqs!$A:$B,2,0),AG99,1),"")</f>
        <v>C</v>
      </c>
      <c r="AG99" s="3">
        <v>191</v>
      </c>
      <c r="AH99" s="3" t="str">
        <f>IFERROR(MID(VLOOKUP($B99,Seqs!$A:$B,2,0),AI99,1),"")</f>
        <v>F</v>
      </c>
      <c r="AI99" s="3">
        <v>193</v>
      </c>
      <c r="AJ99" s="3" t="str">
        <f>IFERROR(MID(VLOOKUP($B99,Seqs!$A:$B,2,0),AK99,1),"")</f>
        <v>N</v>
      </c>
      <c r="AK99" s="3">
        <v>196</v>
      </c>
      <c r="AL99" s="3" t="str">
        <f>IFERROR(MID(VLOOKUP($B99,Seqs!$A:$B,2,0),AM99,1),"")</f>
        <v>Q</v>
      </c>
      <c r="AM99" s="3">
        <v>229</v>
      </c>
      <c r="AN99" s="3" t="str">
        <f>IFERROR(MID(VLOOKUP($B99,Seqs!$A:$B,2,0),AO99,1),"")</f>
        <v>K</v>
      </c>
      <c r="AO99" s="3">
        <v>267</v>
      </c>
      <c r="AP99" s="3" t="str">
        <f>IFERROR(MID(VLOOKUP($B99,Seqs!$A:$B,2,0),AQ99,1),"")</f>
        <v>Q</v>
      </c>
      <c r="AQ99" s="3">
        <v>299</v>
      </c>
      <c r="AR99" s="3" t="str">
        <f>IFERROR(MID(VLOOKUP($B99,Seqs!$A:$B,2,0),AS99,1),"")</f>
        <v>R</v>
      </c>
      <c r="AS99" s="3">
        <v>304</v>
      </c>
      <c r="AT99" s="3" t="str">
        <f>IFERROR(MID(VLOOKUP($B99,Seqs!$A:$B,2,0),AU99,1),"")</f>
        <v>R</v>
      </c>
      <c r="AU99" s="3">
        <v>328</v>
      </c>
      <c r="AV99" s="3" t="str">
        <f>IFERROR(MID(VLOOKUP($B99,Seqs!$A:$B,2,0),AW99,1),"")</f>
        <v>S</v>
      </c>
      <c r="AW99" s="3">
        <v>329</v>
      </c>
      <c r="AX99" s="3" t="str">
        <f>IFERROR(MID(VLOOKUP($B99,Seqs!$A:$B,2,0),AY99,1),"")</f>
        <v>C</v>
      </c>
      <c r="AY99" s="3">
        <v>341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168"/>
        <v>1</v>
      </c>
      <c r="BC99" s="23">
        <f t="shared" si="141"/>
        <v>244</v>
      </c>
      <c r="BD99" s="4" t="s">
        <v>23</v>
      </c>
      <c r="BE99" s="3" t="s">
        <v>1381</v>
      </c>
      <c r="BF99" s="119">
        <v>3.2</v>
      </c>
      <c r="BG99" s="49" t="s">
        <v>1</v>
      </c>
      <c r="BH99" s="49" t="s">
        <v>1384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142"/>
        <v>29</v>
      </c>
      <c r="BW99" s="71">
        <f t="shared" si="143"/>
        <v>62</v>
      </c>
      <c r="BX99" s="72">
        <f t="shared" si="144"/>
        <v>66</v>
      </c>
      <c r="BY99" s="71">
        <f t="shared" si="145"/>
        <v>98</v>
      </c>
      <c r="BZ99" s="72">
        <f t="shared" si="146"/>
        <v>102</v>
      </c>
      <c r="CA99" s="71" t="str">
        <f t="shared" si="147"/>
        <v>-</v>
      </c>
      <c r="CB99" s="72">
        <f t="shared" si="148"/>
        <v>146</v>
      </c>
      <c r="CC99" s="71">
        <f t="shared" si="149"/>
        <v>191</v>
      </c>
      <c r="CD99" s="72">
        <f t="shared" si="150"/>
        <v>196</v>
      </c>
      <c r="CE99" s="71">
        <f t="shared" si="151"/>
        <v>267</v>
      </c>
      <c r="CF99" s="72">
        <f t="shared" si="152"/>
        <v>304</v>
      </c>
      <c r="CG99" s="71">
        <f t="shared" si="153"/>
        <v>329</v>
      </c>
      <c r="CH99" s="70">
        <f t="shared" si="154"/>
        <v>61</v>
      </c>
      <c r="CI99" s="71">
        <f t="shared" si="155"/>
        <v>65</v>
      </c>
      <c r="CJ99" s="72">
        <f t="shared" si="156"/>
        <v>96</v>
      </c>
      <c r="CK99" s="72">
        <f t="shared" si="157"/>
        <v>101</v>
      </c>
      <c r="CL99" s="72">
        <f t="shared" si="158"/>
        <v>137</v>
      </c>
      <c r="CM99" s="72" t="str">
        <f t="shared" si="159"/>
        <v>-</v>
      </c>
      <c r="CN99" s="72">
        <f t="shared" si="160"/>
        <v>172</v>
      </c>
      <c r="CO99" s="72">
        <f t="shared" si="161"/>
        <v>193</v>
      </c>
      <c r="CP99" s="72">
        <f t="shared" si="162"/>
        <v>229</v>
      </c>
      <c r="CQ99" s="72">
        <f t="shared" si="163"/>
        <v>299</v>
      </c>
      <c r="CR99" s="72">
        <f t="shared" si="164"/>
        <v>328</v>
      </c>
      <c r="CS99" s="72">
        <f t="shared" si="165"/>
        <v>341</v>
      </c>
      <c r="CT99" s="23">
        <f t="shared" si="166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167"/>
        <v>adrb2_human_5JQH</v>
      </c>
      <c r="B100" s="3" t="s">
        <v>126</v>
      </c>
      <c r="C100" s="3" t="s">
        <v>1350</v>
      </c>
      <c r="D100" s="3" t="str">
        <f>IFERROR(MID(VLOOKUP($B100,Seqs!$A:$B,2,0),E100,1),"")</f>
        <v>D</v>
      </c>
      <c r="E100" s="3">
        <v>23</v>
      </c>
      <c r="F100" s="3" t="str">
        <f>IFERROR(MID(VLOOKUP($B100,Seqs!$A:$B,2,0),G100,1),"")</f>
        <v>F</v>
      </c>
      <c r="G100" s="3">
        <v>61</v>
      </c>
      <c r="H100" s="3" t="str">
        <f>IFERROR(MID(VLOOKUP($B100,Seqs!$A:$B,2,0),I100,1),"")</f>
        <v>E</v>
      </c>
      <c r="I100" s="23">
        <v>62</v>
      </c>
      <c r="J100" s="3" t="str">
        <f>IFERROR(MID(VLOOKUP($B100,Seqs!$A:$B,2,0),K100,1),"")</f>
        <v>Q</v>
      </c>
      <c r="K100" s="23">
        <v>65</v>
      </c>
      <c r="L100" s="3" t="str">
        <f>IFERROR(MID(VLOOKUP($B100,Seqs!$A:$B,2,0),M100,1),"")</f>
        <v>T</v>
      </c>
      <c r="M100" s="3">
        <v>66</v>
      </c>
      <c r="N100" s="3" t="str">
        <f>IFERROR(MID(VLOOKUP($B100,Seqs!$A:$B,2,0),O100,1),"")</f>
        <v>M</v>
      </c>
      <c r="O100" s="3">
        <v>96</v>
      </c>
      <c r="P100" s="3" t="str">
        <f>IFERROR(MID(VLOOKUP($B100,Seqs!$A:$B,2,0),Q100,1),"")</f>
        <v>M</v>
      </c>
      <c r="Q100" s="3">
        <v>98</v>
      </c>
      <c r="R100" s="3" t="str">
        <f>IFERROR(MID(VLOOKUP($B100,Seqs!$A:$B,2,0),S100,1),"")</f>
        <v>F</v>
      </c>
      <c r="S100" s="3">
        <v>101</v>
      </c>
      <c r="T100" s="3" t="str">
        <f>IFERROR(MID(VLOOKUP($B100,Seqs!$A:$B,2,0),U100,1),"")</f>
        <v>G</v>
      </c>
      <c r="U100" s="3">
        <v>102</v>
      </c>
      <c r="V100" s="3" t="str">
        <f>IFERROR(MID(VLOOKUP($B100,Seqs!$A:$B,2,0),W100,1),"")</f>
        <v>S</v>
      </c>
      <c r="W100" s="3">
        <v>137</v>
      </c>
      <c r="X100" s="3" t="str">
        <f>IFERROR(MID(VLOOKUP($B100,Seqs!$A:$B,2,0),Y100,1),"")</f>
        <v/>
      </c>
      <c r="Y100" s="3" t="s">
        <v>23</v>
      </c>
      <c r="Z100" s="3" t="str">
        <f>IFERROR(MID(VLOOKUP($B100,Seqs!$A:$B,2,0),AA100,1),"")</f>
        <v/>
      </c>
      <c r="AA100" s="3" t="s">
        <v>23</v>
      </c>
      <c r="AB100" s="3" t="str">
        <f>IFERROR(MID(VLOOKUP($B100,Seqs!$A:$B,2,0),AC100,1),"")</f>
        <v>T</v>
      </c>
      <c r="AC100" s="9">
        <v>146</v>
      </c>
      <c r="AD100" s="3" t="str">
        <f>IFERROR(MID(VLOOKUP($B100,Seqs!$A:$B,2,0),AE100,1),"")</f>
        <v>H</v>
      </c>
      <c r="AE100" s="3">
        <v>172</v>
      </c>
      <c r="AF100" s="3" t="str">
        <f>IFERROR(MID(VLOOKUP($B100,Seqs!$A:$B,2,0),AG100,1),"")</f>
        <v>C</v>
      </c>
      <c r="AG100" s="3">
        <v>191</v>
      </c>
      <c r="AH100" s="3" t="str">
        <f>IFERROR(MID(VLOOKUP($B100,Seqs!$A:$B,2,0),AI100,1),"")</f>
        <v>F</v>
      </c>
      <c r="AI100" s="3">
        <v>193</v>
      </c>
      <c r="AJ100" s="3" t="str">
        <f>IFERROR(MID(VLOOKUP($B100,Seqs!$A:$B,2,0),AK100,1),"")</f>
        <v>N</v>
      </c>
      <c r="AK100" s="3">
        <v>196</v>
      </c>
      <c r="AL100" s="3" t="str">
        <f>IFERROR(MID(VLOOKUP($B100,Seqs!$A:$B,2,0),AM100,1),"")</f>
        <v>L</v>
      </c>
      <c r="AM100" s="3">
        <v>230</v>
      </c>
      <c r="AN100" s="3" t="str">
        <f>IFERROR(MID(VLOOKUP($B100,Seqs!$A:$B,2,0),AO100,1),"")</f>
        <v>A</v>
      </c>
      <c r="AO100" s="3">
        <v>271</v>
      </c>
      <c r="AP100" s="3" t="str">
        <f>IFERROR(MID(VLOOKUP($B100,Seqs!$A:$B,2,0),AQ100,1),"")</f>
        <v>Q</v>
      </c>
      <c r="AQ100" s="3">
        <v>299</v>
      </c>
      <c r="AR100" s="3" t="str">
        <f>IFERROR(MID(VLOOKUP($B100,Seqs!$A:$B,2,0),AS100,1),"")</f>
        <v>R</v>
      </c>
      <c r="AS100" s="3">
        <v>304</v>
      </c>
      <c r="AT100" s="3" t="str">
        <f>IFERROR(MID(VLOOKUP($B100,Seqs!$A:$B,2,0),AU100,1),"")</f>
        <v>R</v>
      </c>
      <c r="AU100" s="3">
        <v>328</v>
      </c>
      <c r="AV100" s="3" t="str">
        <f>IFERROR(MID(VLOOKUP($B100,Seqs!$A:$B,2,0),AW100,1),"")</f>
        <v>S</v>
      </c>
      <c r="AW100" s="3">
        <v>329</v>
      </c>
      <c r="AX100" s="3" t="str">
        <f>IFERROR(MID(VLOOKUP($B100,Seqs!$A:$B,2,0),AY100,1),"")</f>
        <v>C</v>
      </c>
      <c r="AY100" s="3">
        <v>341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168"/>
        <v>1</v>
      </c>
      <c r="BC100" s="23">
        <f t="shared" si="141"/>
        <v>247</v>
      </c>
      <c r="BD100" s="74" t="s">
        <v>1383</v>
      </c>
      <c r="BE100" s="3" t="s">
        <v>1381</v>
      </c>
      <c r="BF100" s="119">
        <v>3.2</v>
      </c>
      <c r="BG100" s="49" t="s">
        <v>1287</v>
      </c>
      <c r="BH100" s="49" t="s">
        <v>1384</v>
      </c>
      <c r="BI100" s="1"/>
      <c r="BJ100" s="70" t="s">
        <v>1293</v>
      </c>
      <c r="BK100" s="57" t="s">
        <v>1293</v>
      </c>
      <c r="BL100" s="57" t="s">
        <v>1293</v>
      </c>
      <c r="BM100" s="57" t="s">
        <v>1293</v>
      </c>
      <c r="BN100" s="57" t="s">
        <v>1293</v>
      </c>
      <c r="BO100" s="57" t="s">
        <v>1293</v>
      </c>
      <c r="BP100" s="57" t="s">
        <v>1293</v>
      </c>
      <c r="BQ100" s="57" t="s">
        <v>1293</v>
      </c>
      <c r="BR100" s="57" t="s">
        <v>1293</v>
      </c>
      <c r="BS100" s="57" t="s">
        <v>1293</v>
      </c>
      <c r="BT100" s="57" t="s">
        <v>1293</v>
      </c>
      <c r="BU100" s="57" t="s">
        <v>1293</v>
      </c>
      <c r="BV100" s="70">
        <f t="shared" si="142"/>
        <v>23</v>
      </c>
      <c r="BW100" s="71">
        <f t="shared" si="143"/>
        <v>62</v>
      </c>
      <c r="BX100" s="72">
        <f t="shared" si="144"/>
        <v>66</v>
      </c>
      <c r="BY100" s="71">
        <f t="shared" si="145"/>
        <v>98</v>
      </c>
      <c r="BZ100" s="72">
        <f t="shared" si="146"/>
        <v>102</v>
      </c>
      <c r="CA100" s="71" t="str">
        <f t="shared" si="147"/>
        <v>-</v>
      </c>
      <c r="CB100" s="72">
        <f t="shared" si="148"/>
        <v>146</v>
      </c>
      <c r="CC100" s="71">
        <f t="shared" si="149"/>
        <v>191</v>
      </c>
      <c r="CD100" s="72">
        <f t="shared" si="150"/>
        <v>196</v>
      </c>
      <c r="CE100" s="71">
        <f t="shared" si="151"/>
        <v>271</v>
      </c>
      <c r="CF100" s="72">
        <f t="shared" si="152"/>
        <v>304</v>
      </c>
      <c r="CG100" s="71">
        <f t="shared" si="153"/>
        <v>329</v>
      </c>
      <c r="CH100" s="70">
        <f t="shared" si="154"/>
        <v>61</v>
      </c>
      <c r="CI100" s="71">
        <f t="shared" si="155"/>
        <v>65</v>
      </c>
      <c r="CJ100" s="72">
        <f t="shared" si="156"/>
        <v>96</v>
      </c>
      <c r="CK100" s="72">
        <f t="shared" si="157"/>
        <v>101</v>
      </c>
      <c r="CL100" s="72">
        <f t="shared" si="158"/>
        <v>137</v>
      </c>
      <c r="CM100" s="72" t="str">
        <f t="shared" si="159"/>
        <v>-</v>
      </c>
      <c r="CN100" s="72">
        <f t="shared" si="160"/>
        <v>172</v>
      </c>
      <c r="CO100" s="72">
        <f t="shared" si="161"/>
        <v>193</v>
      </c>
      <c r="CP100" s="72">
        <f t="shared" si="162"/>
        <v>230</v>
      </c>
      <c r="CQ100" s="72">
        <f t="shared" si="163"/>
        <v>299</v>
      </c>
      <c r="CR100" s="72">
        <f t="shared" si="164"/>
        <v>328</v>
      </c>
      <c r="CS100" s="72">
        <f t="shared" si="165"/>
        <v>341</v>
      </c>
      <c r="CT100" s="23">
        <f t="shared" si="166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>CONCATENATE(B101,"_",C101)</f>
        <v>adrb2_human_5X7D</v>
      </c>
      <c r="B101" s="3" t="s">
        <v>126</v>
      </c>
      <c r="C101" s="3" t="s">
        <v>1448</v>
      </c>
      <c r="D101" s="3" t="str">
        <f>IFERROR(MID(VLOOKUP($B101,Seqs!$A:$B,2,0),E101,1),"")</f>
        <v>V</v>
      </c>
      <c r="E101" s="3">
        <v>33</v>
      </c>
      <c r="F101" s="3" t="str">
        <f>IFERROR(MID(VLOOKUP($B101,Seqs!$A:$B,2,0),G101,1),"")</f>
        <v>F</v>
      </c>
      <c r="G101" s="3">
        <v>61</v>
      </c>
      <c r="H101" s="3" t="str">
        <f>IFERROR(MID(VLOOKUP($B101,Seqs!$A:$B,2,0),I101,1),"")</f>
        <v>E</v>
      </c>
      <c r="I101" s="23">
        <v>62</v>
      </c>
      <c r="J101" s="3" t="str">
        <f>IFERROR(MID(VLOOKUP($B101,Seqs!$A:$B,2,0),K101,1),"")</f>
        <v>Q</v>
      </c>
      <c r="K101" s="23">
        <v>65</v>
      </c>
      <c r="L101" s="3" t="str">
        <f>IFERROR(MID(VLOOKUP($B101,Seqs!$A:$B,2,0),M101,1),"")</f>
        <v>T</v>
      </c>
      <c r="M101" s="3">
        <v>66</v>
      </c>
      <c r="N101" s="3" t="str">
        <f>IFERROR(MID(VLOOKUP($B101,Seqs!$A:$B,2,0),O101,1),"")</f>
        <v>M</v>
      </c>
      <c r="O101" s="3">
        <v>96</v>
      </c>
      <c r="P101" s="3" t="str">
        <f>IFERROR(MID(VLOOKUP($B101,Seqs!$A:$B,2,0),Q101,1),"")</f>
        <v>M</v>
      </c>
      <c r="Q101" s="3">
        <v>98</v>
      </c>
      <c r="R101" s="3" t="str">
        <f>IFERROR(MID(VLOOKUP($B101,Seqs!$A:$B,2,0),S101,1),"")</f>
        <v>F</v>
      </c>
      <c r="S101" s="3">
        <v>101</v>
      </c>
      <c r="T101" s="3" t="str">
        <f>IFERROR(MID(VLOOKUP($B101,Seqs!$A:$B,2,0),U101,1),"")</f>
        <v>G</v>
      </c>
      <c r="U101" s="3">
        <v>102</v>
      </c>
      <c r="V101" s="3" t="str">
        <f>IFERROR(MID(VLOOKUP($B101,Seqs!$A:$B,2,0),W101,1),"")</f>
        <v>T</v>
      </c>
      <c r="W101" s="3">
        <v>136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T</v>
      </c>
      <c r="AC101" s="3">
        <v>146</v>
      </c>
      <c r="AD101" s="3" t="str">
        <f>IFERROR(MID(VLOOKUP($B101,Seqs!$A:$B,2,0),AE101,1),"")</f>
        <v>H</v>
      </c>
      <c r="AE101" s="3">
        <v>172</v>
      </c>
      <c r="AF101" s="3" t="str">
        <f>IFERROR(MID(VLOOKUP($B101,Seqs!$A:$B,2,0),AG101,1),"")</f>
        <v>C</v>
      </c>
      <c r="AG101" s="3">
        <v>191</v>
      </c>
      <c r="AH101" s="3" t="str">
        <f>IFERROR(MID(VLOOKUP($B101,Seqs!$A:$B,2,0),AI101,1),"")</f>
        <v>F</v>
      </c>
      <c r="AI101" s="3">
        <v>193</v>
      </c>
      <c r="AJ101" s="3" t="str">
        <f>IFERROR(MID(VLOOKUP($B101,Seqs!$A:$B,2,0),AK101,1),"")</f>
        <v>N</v>
      </c>
      <c r="AK101" s="3">
        <v>196</v>
      </c>
      <c r="AL101" s="3" t="str">
        <f>IFERROR(MID(VLOOKUP($B101,Seqs!$A:$B,2,0),AM101,1),"")</f>
        <v>L</v>
      </c>
      <c r="AM101" s="3">
        <v>230</v>
      </c>
      <c r="AN101" s="3" t="str">
        <f>IFERROR(MID(VLOOKUP($B101,Seqs!$A:$B,2,0),AO101,1),"")</f>
        <v>A</v>
      </c>
      <c r="AO101" s="3">
        <v>271</v>
      </c>
      <c r="AP101" s="3" t="str">
        <f>IFERROR(MID(VLOOKUP($B101,Seqs!$A:$B,2,0),AQ101,1),"")</f>
        <v>Q</v>
      </c>
      <c r="AQ101" s="3">
        <v>299</v>
      </c>
      <c r="AR101" s="3" t="str">
        <f>IFERROR(MID(VLOOKUP($B101,Seqs!$A:$B,2,0),AS101,1),"")</f>
        <v>R</v>
      </c>
      <c r="AS101" s="3">
        <v>304</v>
      </c>
      <c r="AT101" s="3" t="str">
        <f>IFERROR(MID(VLOOKUP($B101,Seqs!$A:$B,2,0),AU101,1),"")</f>
        <v>R</v>
      </c>
      <c r="AU101" s="3">
        <v>328</v>
      </c>
      <c r="AV101" s="3" t="str">
        <f>IFERROR(MID(VLOOKUP($B101,Seqs!$A:$B,2,0),AW101,1),"")</f>
        <v>S</v>
      </c>
      <c r="AW101" s="3">
        <v>329</v>
      </c>
      <c r="AX101" s="3" t="str">
        <f>IFERROR(MID(VLOOKUP($B101,Seqs!$A:$B,2,0),AY101,1),"")</f>
        <v>C</v>
      </c>
      <c r="AY101" s="3">
        <v>341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23">
        <f>_xlfn.AGGREGATE(9,6,CH101:CS101)-_xlfn.AGGREGATE(9,6,BV101:CG101)+12</f>
        <v>236</v>
      </c>
      <c r="BD101" s="74" t="s">
        <v>23</v>
      </c>
      <c r="BE101" s="3" t="s">
        <v>1381</v>
      </c>
      <c r="BF101" s="119">
        <v>4.2</v>
      </c>
      <c r="BG101" s="49" t="s">
        <v>1287</v>
      </c>
      <c r="BH101" s="49" t="s">
        <v>1384</v>
      </c>
      <c r="BI101" s="1"/>
      <c r="BJ101" s="70" t="s">
        <v>1293</v>
      </c>
      <c r="BK101" s="57" t="s">
        <v>1293</v>
      </c>
      <c r="BL101" s="57" t="s">
        <v>1293</v>
      </c>
      <c r="BM101" s="57" t="s">
        <v>1293</v>
      </c>
      <c r="BN101" s="57" t="s">
        <v>1293</v>
      </c>
      <c r="BO101" s="57" t="s">
        <v>1293</v>
      </c>
      <c r="BP101" s="57" t="s">
        <v>1293</v>
      </c>
      <c r="BQ101" s="57" t="s">
        <v>1293</v>
      </c>
      <c r="BR101" s="57" t="s">
        <v>1293</v>
      </c>
      <c r="BS101" s="57" t="s">
        <v>1293</v>
      </c>
      <c r="BT101" s="57" t="s">
        <v>1293</v>
      </c>
      <c r="BU101" s="57" t="s">
        <v>1293</v>
      </c>
      <c r="BV101" s="70">
        <f>E101</f>
        <v>33</v>
      </c>
      <c r="BW101" s="71">
        <f>I101</f>
        <v>62</v>
      </c>
      <c r="BX101" s="72">
        <f>M101</f>
        <v>66</v>
      </c>
      <c r="BY101" s="71">
        <f>Q101</f>
        <v>98</v>
      </c>
      <c r="BZ101" s="72">
        <f>U101</f>
        <v>102</v>
      </c>
      <c r="CA101" s="71" t="str">
        <f>Y101</f>
        <v>-</v>
      </c>
      <c r="CB101" s="72">
        <f>AC101</f>
        <v>146</v>
      </c>
      <c r="CC101" s="71">
        <f>AG101</f>
        <v>191</v>
      </c>
      <c r="CD101" s="72">
        <f>AK101</f>
        <v>196</v>
      </c>
      <c r="CE101" s="71">
        <f>AO101</f>
        <v>271</v>
      </c>
      <c r="CF101" s="72">
        <f>AS101</f>
        <v>304</v>
      </c>
      <c r="CG101" s="71">
        <f>AW101</f>
        <v>329</v>
      </c>
      <c r="CH101" s="70">
        <f>G101</f>
        <v>61</v>
      </c>
      <c r="CI101" s="71">
        <f>K101</f>
        <v>65</v>
      </c>
      <c r="CJ101" s="72">
        <f>O101</f>
        <v>96</v>
      </c>
      <c r="CK101" s="72">
        <f>S101</f>
        <v>101</v>
      </c>
      <c r="CL101" s="72">
        <f>W101</f>
        <v>136</v>
      </c>
      <c r="CM101" s="72" t="str">
        <f>AA101</f>
        <v>-</v>
      </c>
      <c r="CN101" s="72">
        <f>AE101</f>
        <v>172</v>
      </c>
      <c r="CO101" s="72">
        <f>AI101</f>
        <v>193</v>
      </c>
      <c r="CP101" s="72">
        <f>AM101</f>
        <v>230</v>
      </c>
      <c r="CQ101" s="72">
        <f>AQ101</f>
        <v>299</v>
      </c>
      <c r="CR101" s="72">
        <f>AU101</f>
        <v>328</v>
      </c>
      <c r="CS101" s="72">
        <f>AY101</f>
        <v>341</v>
      </c>
      <c r="CT101" s="23">
        <f>M101-K101</f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167"/>
        <v>agtr1_human__wt</v>
      </c>
      <c r="B102" s="3" t="s">
        <v>158</v>
      </c>
      <c r="C102" s="3" t="s">
        <v>100</v>
      </c>
      <c r="D102" s="3" t="str">
        <f>IFERROR(MID(VLOOKUP($B102,Seqs!$A:$B,2,0),E102,1),"")</f>
        <v>Y</v>
      </c>
      <c r="E102" s="3">
        <v>26</v>
      </c>
      <c r="F102" s="3" t="str">
        <f>IFERROR(MID(VLOOKUP($B102,Seqs!$A:$B,2,0),G102,1),"")</f>
        <v>Y</v>
      </c>
      <c r="G102" s="3">
        <v>56</v>
      </c>
      <c r="H102" s="3" t="str">
        <f>IFERROR(MID(VLOOKUP($B102,Seqs!$A:$B,2,0),I102,1),"")</f>
        <v>M</v>
      </c>
      <c r="I102" s="23">
        <v>57</v>
      </c>
      <c r="J102" s="3" t="str">
        <f>IFERROR(MID(VLOOKUP($B102,Seqs!$A:$B,2,0),K102,1),"")</f>
        <v>K</v>
      </c>
      <c r="K102" s="23">
        <v>60</v>
      </c>
      <c r="L102" s="3" t="str">
        <f>IFERROR(MID(VLOOKUP($B102,Seqs!$A:$B,2,0),M102,1),"")</f>
        <v>T</v>
      </c>
      <c r="M102" s="3">
        <v>61</v>
      </c>
      <c r="N102" s="3" t="str">
        <f>IFERROR(MID(VLOOKUP($B102,Seqs!$A:$B,2,0),O102,1),"")</f>
        <v>M</v>
      </c>
      <c r="O102" s="3">
        <v>90</v>
      </c>
      <c r="P102" s="3" t="str">
        <f>IFERROR(MID(VLOOKUP($B102,Seqs!$A:$B,2,0),Q102,1),"")</f>
        <v>R</v>
      </c>
      <c r="Q102" s="3">
        <v>93</v>
      </c>
      <c r="R102" s="3" t="str">
        <f>IFERROR(MID(VLOOKUP($B102,Seqs!$A:$B,2,0),S102,1),"")</f>
        <v>F</v>
      </c>
      <c r="S102" s="3">
        <v>96</v>
      </c>
      <c r="T102" s="3" t="str">
        <f>IFERROR(MID(VLOOKUP($B102,Seqs!$A:$B,2,0),U102,1),"")</f>
        <v>G</v>
      </c>
      <c r="U102" s="3">
        <v>97</v>
      </c>
      <c r="V102" s="3" t="str">
        <f>IFERROR(MID(VLOOKUP($B102,Seqs!$A:$B,2,0),W102,1),"")</f>
        <v>H</v>
      </c>
      <c r="W102" s="3">
        <v>132</v>
      </c>
      <c r="X102" s="3" t="str">
        <f>IFERROR(MID(VLOOKUP($B102,Seqs!$A:$B,2,0),Y102,1),"")</f>
        <v>P</v>
      </c>
      <c r="Y102" s="3">
        <v>133</v>
      </c>
      <c r="Z102" s="3" t="str">
        <f>IFERROR(MID(VLOOKUP($B102,Seqs!$A:$B,2,0),AA102,1),"")</f>
        <v>R</v>
      </c>
      <c r="AA102" s="3">
        <v>140</v>
      </c>
      <c r="AB102" s="3" t="str">
        <f>IFERROR(MID(VLOOKUP($B102,Seqs!$A:$B,2,0),AC102,1),"")</f>
        <v>T</v>
      </c>
      <c r="AC102" s="9">
        <v>141</v>
      </c>
      <c r="AD102" s="3" t="str">
        <f>IFERROR(MID(VLOOKUP($B102,Seqs!$A:$B,2,0),AE102,1),"")</f>
        <v>R</v>
      </c>
      <c r="AE102" s="3">
        <v>167</v>
      </c>
      <c r="AF102" s="3" t="str">
        <f>IFERROR(MID(VLOOKUP($B102,Seqs!$A:$B,2,0),AG102,1),"")</f>
        <v>C</v>
      </c>
      <c r="AG102" s="3">
        <v>180</v>
      </c>
      <c r="AH102" s="3" t="str">
        <f>IFERROR(MID(VLOOKUP($B102,Seqs!$A:$B,2,0),AI102,1),"")</f>
        <v>F</v>
      </c>
      <c r="AI102" s="3">
        <v>182</v>
      </c>
      <c r="AJ102" s="3" t="str">
        <f>IFERROR(MID(VLOOKUP($B102,Seqs!$A:$B,2,0),AK102,1),"")</f>
        <v>L</v>
      </c>
      <c r="AK102" s="3">
        <v>191</v>
      </c>
      <c r="AL102" s="3" t="str">
        <f>IFERROR(MID(VLOOKUP($B102,Seqs!$A:$B,2,0),AM102,1),"")</f>
        <v>A</v>
      </c>
      <c r="AM102" s="3">
        <v>225</v>
      </c>
      <c r="AN102" s="3" t="str">
        <f>IFERROR(MID(VLOOKUP($B102,Seqs!$A:$B,2,0),AO102,1),"")</f>
        <v>P</v>
      </c>
      <c r="AO102" s="3">
        <v>233</v>
      </c>
      <c r="AP102" s="3" t="str">
        <f>IFERROR(MID(VLOOKUP($B102,Seqs!$A:$B,2,0),AQ102,1),"")</f>
        <v>G</v>
      </c>
      <c r="AQ102" s="3">
        <v>269</v>
      </c>
      <c r="AR102" s="3" t="str">
        <f>IFERROR(MID(VLOOKUP($B102,Seqs!$A:$B,2,0),AS102,1),"")</f>
        <v>D</v>
      </c>
      <c r="AS102" s="3">
        <v>273</v>
      </c>
      <c r="AT102" s="3" t="str">
        <f>IFERROR(MID(VLOOKUP($B102,Seqs!$A:$B,2,0),AU102,1),"")</f>
        <v>L</v>
      </c>
      <c r="AU102" s="3">
        <v>305</v>
      </c>
      <c r="AV102" s="3" t="str">
        <f>IFERROR(MID(VLOOKUP($B102,Seqs!$A:$B,2,0),AW102,1),"")</f>
        <v>G</v>
      </c>
      <c r="AW102" s="3">
        <v>306</v>
      </c>
      <c r="AX102" s="3" t="str">
        <f>IFERROR(MID(VLOOKUP($B102,Seqs!$A:$B,2,0),AY102,1),"")</f>
        <v>I</v>
      </c>
      <c r="AY102" s="3">
        <v>320</v>
      </c>
      <c r="AZ102" s="77" t="str">
        <f>VLOOKUP(B102,Classification!A:D,2,0)</f>
        <v>A</v>
      </c>
      <c r="BA102" s="94" t="str">
        <f>VLOOKUP(B102,Classification!A:D,4,0)</f>
        <v>Angiotensin</v>
      </c>
      <c r="BB102" s="27" t="b">
        <f t="shared" si="168"/>
        <v>1</v>
      </c>
      <c r="BC102" s="23">
        <f t="shared" si="141"/>
        <v>263</v>
      </c>
      <c r="BD102" s="56" t="s">
        <v>1379</v>
      </c>
      <c r="BE102" s="3" t="s">
        <v>23</v>
      </c>
      <c r="BF102" s="119" t="s">
        <v>23</v>
      </c>
      <c r="BG102" s="49" t="s">
        <v>1379</v>
      </c>
      <c r="BH102" s="49" t="s">
        <v>1384</v>
      </c>
      <c r="BI102" s="1"/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142"/>
        <v>26</v>
      </c>
      <c r="BW102" s="71">
        <f t="shared" si="143"/>
        <v>57</v>
      </c>
      <c r="BX102" s="72">
        <f t="shared" si="144"/>
        <v>61</v>
      </c>
      <c r="BY102" s="71">
        <f t="shared" si="145"/>
        <v>93</v>
      </c>
      <c r="BZ102" s="72">
        <f t="shared" si="146"/>
        <v>97</v>
      </c>
      <c r="CA102" s="71">
        <f t="shared" si="147"/>
        <v>133</v>
      </c>
      <c r="CB102" s="72">
        <f t="shared" si="148"/>
        <v>141</v>
      </c>
      <c r="CC102" s="71">
        <f t="shared" si="149"/>
        <v>180</v>
      </c>
      <c r="CD102" s="72">
        <f t="shared" si="150"/>
        <v>191</v>
      </c>
      <c r="CE102" s="71">
        <f t="shared" si="151"/>
        <v>233</v>
      </c>
      <c r="CF102" s="72">
        <f t="shared" si="152"/>
        <v>273</v>
      </c>
      <c r="CG102" s="71">
        <f t="shared" si="153"/>
        <v>306</v>
      </c>
      <c r="CH102" s="70">
        <f t="shared" si="154"/>
        <v>56</v>
      </c>
      <c r="CI102" s="71">
        <f t="shared" si="155"/>
        <v>60</v>
      </c>
      <c r="CJ102" s="72">
        <f t="shared" si="156"/>
        <v>90</v>
      </c>
      <c r="CK102" s="72">
        <f t="shared" si="157"/>
        <v>96</v>
      </c>
      <c r="CL102" s="72">
        <f t="shared" si="158"/>
        <v>132</v>
      </c>
      <c r="CM102" s="72">
        <f t="shared" si="159"/>
        <v>140</v>
      </c>
      <c r="CN102" s="72">
        <f t="shared" si="160"/>
        <v>167</v>
      </c>
      <c r="CO102" s="72">
        <f t="shared" si="161"/>
        <v>182</v>
      </c>
      <c r="CP102" s="72">
        <f t="shared" si="162"/>
        <v>225</v>
      </c>
      <c r="CQ102" s="72">
        <f t="shared" si="163"/>
        <v>269</v>
      </c>
      <c r="CR102" s="72">
        <f t="shared" si="164"/>
        <v>305</v>
      </c>
      <c r="CS102" s="72">
        <f t="shared" si="165"/>
        <v>320</v>
      </c>
      <c r="CT102" s="23">
        <f t="shared" si="166"/>
        <v>1</v>
      </c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2"/>
      <c r="AHA102" s="2"/>
      <c r="AHB102" s="2"/>
      <c r="AHC102" s="2"/>
      <c r="AHD102" s="2"/>
      <c r="AHE102" s="2"/>
      <c r="AHF102" s="2"/>
      <c r="AHG102" s="2"/>
      <c r="AHH102" s="2"/>
      <c r="AHI102" s="2"/>
      <c r="AHJ102" s="2"/>
      <c r="AHK102" s="2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  <c r="AJP102" s="2"/>
      <c r="AJQ102" s="2"/>
      <c r="AJR102" s="2"/>
      <c r="AJS102" s="2"/>
      <c r="AJT102" s="2"/>
      <c r="AJU102" s="2"/>
      <c r="AJV102" s="2"/>
      <c r="AJW102" s="2"/>
      <c r="AJX102" s="2"/>
      <c r="AJY102" s="2"/>
      <c r="AJZ102" s="2"/>
      <c r="AKA102" s="2"/>
      <c r="AKB102" s="2"/>
      <c r="AKC102" s="2"/>
      <c r="AKD102" s="2"/>
      <c r="AKE102" s="2"/>
      <c r="AKF102" s="2"/>
      <c r="AKG102" s="2"/>
      <c r="AKH102" s="2"/>
      <c r="AKI102" s="2"/>
      <c r="AKJ102" s="2"/>
      <c r="AKK102" s="2"/>
      <c r="AKL102" s="2"/>
      <c r="AKM102" s="2"/>
      <c r="AKN102" s="2"/>
      <c r="AKO102" s="2"/>
      <c r="AKP102" s="2"/>
      <c r="AKQ102" s="2"/>
      <c r="AKR102" s="2"/>
      <c r="AKS102" s="2"/>
      <c r="AKT102" s="2"/>
      <c r="AKU102" s="2"/>
      <c r="AKV102" s="2"/>
      <c r="AKW102" s="2"/>
      <c r="AKX102" s="2"/>
      <c r="AKY102" s="2"/>
      <c r="AKZ102" s="2"/>
      <c r="ALA102" s="2"/>
      <c r="ALB102" s="2"/>
      <c r="ALC102" s="2"/>
      <c r="ALD102" s="2"/>
      <c r="ALE102" s="2"/>
      <c r="ALF102" s="2"/>
      <c r="ALG102" s="2"/>
      <c r="ALH102" s="2"/>
      <c r="ALI102" s="2"/>
      <c r="ALJ102" s="2"/>
      <c r="ALK102" s="2"/>
      <c r="ALL102" s="2"/>
      <c r="ALM102" s="2"/>
      <c r="ALN102" s="2"/>
      <c r="ALO102" s="2"/>
      <c r="ALP102" s="2"/>
      <c r="ALQ102" s="2"/>
      <c r="ALR102" s="2"/>
      <c r="ALS102" s="2"/>
      <c r="ALT102" s="2"/>
      <c r="ALU102" s="2"/>
      <c r="ALV102" s="2"/>
      <c r="ALW102" s="2"/>
      <c r="ALX102" s="2"/>
      <c r="ALY102" s="2"/>
      <c r="ALZ102" s="2"/>
      <c r="AMA102" s="2"/>
      <c r="AMB102" s="2"/>
      <c r="AMC102" s="2"/>
      <c r="AMD102" s="2"/>
      <c r="AME102" s="2"/>
      <c r="AMF102" s="2"/>
      <c r="AMG102" s="2"/>
      <c r="AMH102" s="2"/>
      <c r="AMI102" s="2"/>
      <c r="AMJ102" s="2"/>
      <c r="AMK102" s="2"/>
      <c r="AML102" s="2"/>
      <c r="AMM102" s="2"/>
      <c r="AMN102" s="2"/>
      <c r="AMO102" s="2"/>
    </row>
    <row r="103" spans="1:1029" x14ac:dyDescent="0.2">
      <c r="A103" s="3" t="str">
        <f t="shared" si="167"/>
        <v>agtr1_human_4YAY</v>
      </c>
      <c r="B103" s="3" t="s">
        <v>158</v>
      </c>
      <c r="C103" s="3" t="s">
        <v>69</v>
      </c>
      <c r="D103" s="3" t="str">
        <f>IFERROR(MID(VLOOKUP($B103,Seqs!$A:$B,2,0),E103,1),"")</f>
        <v>Y</v>
      </c>
      <c r="E103" s="3">
        <v>26</v>
      </c>
      <c r="F103" s="3" t="str">
        <f>IFERROR(MID(VLOOKUP($B103,Seqs!$A:$B,2,0),G103,1),"")</f>
        <v>Y</v>
      </c>
      <c r="G103" s="3">
        <v>56</v>
      </c>
      <c r="H103" s="3" t="str">
        <f>IFERROR(MID(VLOOKUP($B103,Seqs!$A:$B,2,0),I103,1),"")</f>
        <v>M</v>
      </c>
      <c r="I103" s="23">
        <v>57</v>
      </c>
      <c r="J103" s="3" t="str">
        <f>IFERROR(MID(VLOOKUP($B103,Seqs!$A:$B,2,0),K103,1),"")</f>
        <v>K</v>
      </c>
      <c r="K103" s="23">
        <v>60</v>
      </c>
      <c r="L103" s="3" t="str">
        <f>IFERROR(MID(VLOOKUP($B103,Seqs!$A:$B,2,0),M103,1),"")</f>
        <v>T</v>
      </c>
      <c r="M103" s="3">
        <v>61</v>
      </c>
      <c r="N103" s="3" t="str">
        <f>IFERROR(MID(VLOOKUP($B103,Seqs!$A:$B,2,0),O103,1),"")</f>
        <v>M</v>
      </c>
      <c r="O103" s="3">
        <v>90</v>
      </c>
      <c r="P103" s="3" t="str">
        <f>IFERROR(MID(VLOOKUP($B103,Seqs!$A:$B,2,0),Q103,1),"")</f>
        <v>R</v>
      </c>
      <c r="Q103" s="3">
        <v>93</v>
      </c>
      <c r="R103" s="3" t="str">
        <f>IFERROR(MID(VLOOKUP($B103,Seqs!$A:$B,2,0),S103,1),"")</f>
        <v>F</v>
      </c>
      <c r="S103" s="3">
        <v>96</v>
      </c>
      <c r="T103" s="3" t="str">
        <f>IFERROR(MID(VLOOKUP($B103,Seqs!$A:$B,2,0),U103,1),"")</f>
        <v>G</v>
      </c>
      <c r="U103" s="3">
        <v>97</v>
      </c>
      <c r="V103" s="3" t="str">
        <f>IFERROR(MID(VLOOKUP($B103,Seqs!$A:$B,2,0),W103,1),"")</f>
        <v>H</v>
      </c>
      <c r="W103" s="3">
        <v>132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R</v>
      </c>
      <c r="AC103" s="9">
        <v>137</v>
      </c>
      <c r="AD103" s="3" t="str">
        <f>IFERROR(MID(VLOOKUP($B103,Seqs!$A:$B,2,0),AE103,1),"")</f>
        <v>R</v>
      </c>
      <c r="AE103" s="3">
        <v>167</v>
      </c>
      <c r="AF103" s="3" t="str">
        <f>IFERROR(MID(VLOOKUP($B103,Seqs!$A:$B,2,0),AG103,1),"")</f>
        <v>C</v>
      </c>
      <c r="AG103" s="3">
        <v>180</v>
      </c>
      <c r="AH103" s="3" t="str">
        <f>IFERROR(MID(VLOOKUP($B103,Seqs!$A:$B,2,0),AI103,1),"")</f>
        <v>F</v>
      </c>
      <c r="AI103" s="3">
        <v>182</v>
      </c>
      <c r="AJ103" s="3" t="str">
        <f>IFERROR(MID(VLOOKUP($B103,Seqs!$A:$B,2,0),AK103,1),"")</f>
        <v>L</v>
      </c>
      <c r="AK103" s="3">
        <v>191</v>
      </c>
      <c r="AL103" s="3" t="str">
        <f>IFERROR(MID(VLOOKUP($B103,Seqs!$A:$B,2,0),AM103,1),"")</f>
        <v>L</v>
      </c>
      <c r="AM103" s="3">
        <v>222</v>
      </c>
      <c r="AN103" s="3" t="str">
        <f>IFERROR(MID(VLOOKUP($B103,Seqs!$A:$B,2,0),AO103,1),"")</f>
        <v>N</v>
      </c>
      <c r="AO103" s="3">
        <v>235</v>
      </c>
      <c r="AP103" s="3" t="str">
        <f>IFERROR(MID(VLOOKUP($B103,Seqs!$A:$B,2,0),AQ103,1),"")</f>
        <v>G</v>
      </c>
      <c r="AQ103" s="3">
        <v>269</v>
      </c>
      <c r="AR103" s="3" t="str">
        <f>IFERROR(MID(VLOOKUP($B103,Seqs!$A:$B,2,0),AS103,1),"")</f>
        <v>D</v>
      </c>
      <c r="AS103" s="3">
        <v>273</v>
      </c>
      <c r="AT103" s="3" t="str">
        <f>IFERROR(MID(VLOOKUP($B103,Seqs!$A:$B,2,0),AU103,1),"")</f>
        <v>N</v>
      </c>
      <c r="AU103" s="3">
        <v>298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7" t="str">
        <f>VLOOKUP(B103,Classification!A:D,2,0)</f>
        <v>A</v>
      </c>
      <c r="BA103" s="94" t="str">
        <f>VLOOKUP(B103,Classification!A:D,4,0)</f>
        <v>Angiotensin</v>
      </c>
      <c r="BB103" s="27" t="b">
        <f t="shared" si="168"/>
        <v>1</v>
      </c>
      <c r="BC103" s="23">
        <f t="shared" si="141"/>
        <v>234</v>
      </c>
      <c r="BD103" s="4" t="s">
        <v>23</v>
      </c>
      <c r="BE103" s="3" t="s">
        <v>1381</v>
      </c>
      <c r="BF103" s="119">
        <v>2.9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142"/>
        <v>26</v>
      </c>
      <c r="BW103" s="71">
        <f t="shared" si="143"/>
        <v>57</v>
      </c>
      <c r="BX103" s="72">
        <f t="shared" si="144"/>
        <v>61</v>
      </c>
      <c r="BY103" s="71">
        <f t="shared" si="145"/>
        <v>93</v>
      </c>
      <c r="BZ103" s="72">
        <f t="shared" si="146"/>
        <v>97</v>
      </c>
      <c r="CA103" s="71" t="str">
        <f t="shared" si="147"/>
        <v>-</v>
      </c>
      <c r="CB103" s="72">
        <f t="shared" si="148"/>
        <v>137</v>
      </c>
      <c r="CC103" s="71">
        <f t="shared" si="149"/>
        <v>180</v>
      </c>
      <c r="CD103" s="72">
        <f t="shared" si="150"/>
        <v>191</v>
      </c>
      <c r="CE103" s="71">
        <f t="shared" si="151"/>
        <v>235</v>
      </c>
      <c r="CF103" s="72">
        <f t="shared" si="152"/>
        <v>273</v>
      </c>
      <c r="CG103" s="71" t="str">
        <f t="shared" si="153"/>
        <v>-</v>
      </c>
      <c r="CH103" s="70">
        <f t="shared" si="154"/>
        <v>56</v>
      </c>
      <c r="CI103" s="71">
        <f t="shared" si="155"/>
        <v>60</v>
      </c>
      <c r="CJ103" s="72">
        <f t="shared" si="156"/>
        <v>90</v>
      </c>
      <c r="CK103" s="72">
        <f t="shared" si="157"/>
        <v>96</v>
      </c>
      <c r="CL103" s="72">
        <f t="shared" si="158"/>
        <v>132</v>
      </c>
      <c r="CM103" s="72" t="str">
        <f t="shared" si="159"/>
        <v>-</v>
      </c>
      <c r="CN103" s="72">
        <f t="shared" si="160"/>
        <v>167</v>
      </c>
      <c r="CO103" s="72">
        <f t="shared" si="161"/>
        <v>182</v>
      </c>
      <c r="CP103" s="72">
        <f t="shared" si="162"/>
        <v>222</v>
      </c>
      <c r="CQ103" s="72">
        <f t="shared" si="163"/>
        <v>269</v>
      </c>
      <c r="CR103" s="72">
        <f t="shared" si="164"/>
        <v>298</v>
      </c>
      <c r="CS103" s="72" t="str">
        <f t="shared" si="165"/>
        <v>-</v>
      </c>
      <c r="CT103" s="23">
        <f t="shared" si="166"/>
        <v>1</v>
      </c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</row>
    <row r="104" spans="1:1029" x14ac:dyDescent="0.2">
      <c r="A104" s="3" t="str">
        <f t="shared" si="167"/>
        <v>agtr1_human_4YAY_dist</v>
      </c>
      <c r="B104" s="3" t="s">
        <v>158</v>
      </c>
      <c r="C104" s="3" t="s">
        <v>1160</v>
      </c>
      <c r="D104" s="3" t="str">
        <f>IFERROR(MID(VLOOKUP($B104,Seqs!$A:$B,2,0),E104,1),"")</f>
        <v>Y</v>
      </c>
      <c r="E104" s="3">
        <v>26</v>
      </c>
      <c r="F104" s="3" t="str">
        <f>IFERROR(MID(VLOOKUP($B104,Seqs!$A:$B,2,0),G104,1),"")</f>
        <v>Y</v>
      </c>
      <c r="G104" s="3">
        <v>56</v>
      </c>
      <c r="H104" s="3" t="str">
        <f>IFERROR(MID(VLOOKUP($B104,Seqs!$A:$B,2,0),I104,1),"")</f>
        <v>M</v>
      </c>
      <c r="I104" s="23">
        <v>57</v>
      </c>
      <c r="J104" s="3" t="str">
        <f>IFERROR(MID(VLOOKUP($B104,Seqs!$A:$B,2,0),K104,1),"")</f>
        <v>K</v>
      </c>
      <c r="K104" s="23">
        <v>60</v>
      </c>
      <c r="L104" s="3" t="str">
        <f>IFERROR(MID(VLOOKUP($B104,Seqs!$A:$B,2,0),M104,1),"")</f>
        <v>T</v>
      </c>
      <c r="M104" s="3">
        <v>61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R</v>
      </c>
      <c r="Q104" s="3">
        <v>93</v>
      </c>
      <c r="R104" s="3" t="str">
        <f>IFERROR(MID(VLOOKUP($B104,Seqs!$A:$B,2,0),S104,1),"")</f>
        <v>F</v>
      </c>
      <c r="S104" s="3">
        <v>96</v>
      </c>
      <c r="T104" s="3" t="str">
        <f>IFERROR(MID(VLOOKUP($B104,Seqs!$A:$B,2,0),U104,1),"")</f>
        <v>G</v>
      </c>
      <c r="U104" s="3">
        <v>97</v>
      </c>
      <c r="V104" s="3" t="str">
        <f>IFERROR(MID(VLOOKUP($B104,Seqs!$A:$B,2,0),W104,1),"")</f>
        <v>H</v>
      </c>
      <c r="W104" s="3">
        <v>132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R</v>
      </c>
      <c r="AC104" s="9">
        <v>137</v>
      </c>
      <c r="AD104" s="3" t="str">
        <f>IFERROR(MID(VLOOKUP($B104,Seqs!$A:$B,2,0),AE104,1),"")</f>
        <v>R</v>
      </c>
      <c r="AE104" s="3">
        <v>167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F</v>
      </c>
      <c r="AI104" s="3">
        <v>182</v>
      </c>
      <c r="AJ104" s="3" t="str">
        <f>IFERROR(MID(VLOOKUP($B104,Seqs!$A:$B,2,0),AK104,1),"")</f>
        <v>L</v>
      </c>
      <c r="AK104" s="3">
        <v>191</v>
      </c>
      <c r="AL104" s="3" t="str">
        <f>IFERROR(MID(VLOOKUP($B104,Seqs!$A:$B,2,0),AM104,1),"")</f>
        <v>L</v>
      </c>
      <c r="AM104" s="3">
        <v>222</v>
      </c>
      <c r="AN104" s="3" t="str">
        <f>IFERROR(MID(VLOOKUP($B104,Seqs!$A:$B,2,0),AO104,1),"")</f>
        <v>N</v>
      </c>
      <c r="AO104" s="3">
        <v>235</v>
      </c>
      <c r="AP104" s="3" t="str">
        <f>IFERROR(MID(VLOOKUP($B104,Seqs!$A:$B,2,0),AQ104,1),"")</f>
        <v>G</v>
      </c>
      <c r="AQ104" s="3">
        <v>269</v>
      </c>
      <c r="AR104" s="3" t="str">
        <f>IFERROR(MID(VLOOKUP($B104,Seqs!$A:$B,2,0),AS104,1),"")</f>
        <v>D</v>
      </c>
      <c r="AS104" s="3">
        <v>273</v>
      </c>
      <c r="AT104" s="3" t="str">
        <f>IFERROR(MID(VLOOKUP($B104,Seqs!$A:$B,2,0),AU104,1),"")</f>
        <v>F</v>
      </c>
      <c r="AU104" s="3">
        <v>304</v>
      </c>
      <c r="AV104" s="3" t="str">
        <f>IFERROR(MID(VLOOKUP($B104,Seqs!$A:$B,2,0),AW104,1),"")</f>
        <v>G</v>
      </c>
      <c r="AW104" s="3">
        <v>306</v>
      </c>
      <c r="AX104" s="3" t="str">
        <f>IFERROR(MID(VLOOKUP($B104,Seqs!$A:$B,2,0),AY104,1),"")</f>
        <v>L</v>
      </c>
      <c r="AY104" s="3">
        <v>317</v>
      </c>
      <c r="AZ104" s="77" t="str">
        <f>VLOOKUP(B104,Classification!A:D,2,0)</f>
        <v>A</v>
      </c>
      <c r="BA104" s="94" t="str">
        <f>VLOOKUP(B104,Classification!A:D,4,0)</f>
        <v>Angiotensin</v>
      </c>
      <c r="BB104" s="27" t="b">
        <f t="shared" si="168"/>
        <v>1</v>
      </c>
      <c r="BC104" s="23">
        <f t="shared" si="141"/>
        <v>251</v>
      </c>
      <c r="BD104" s="5"/>
      <c r="BE104" s="3" t="s">
        <v>1381</v>
      </c>
      <c r="BF104" s="119">
        <v>2.9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142"/>
        <v>26</v>
      </c>
      <c r="BW104" s="71">
        <f t="shared" si="143"/>
        <v>57</v>
      </c>
      <c r="BX104" s="72">
        <f t="shared" si="144"/>
        <v>61</v>
      </c>
      <c r="BY104" s="71">
        <f t="shared" si="145"/>
        <v>93</v>
      </c>
      <c r="BZ104" s="72">
        <f t="shared" si="146"/>
        <v>97</v>
      </c>
      <c r="CA104" s="71" t="str">
        <f t="shared" si="147"/>
        <v>-</v>
      </c>
      <c r="CB104" s="72">
        <f t="shared" si="148"/>
        <v>137</v>
      </c>
      <c r="CC104" s="71">
        <f t="shared" si="149"/>
        <v>180</v>
      </c>
      <c r="CD104" s="72">
        <f t="shared" si="150"/>
        <v>191</v>
      </c>
      <c r="CE104" s="71">
        <f t="shared" si="151"/>
        <v>235</v>
      </c>
      <c r="CF104" s="72">
        <f t="shared" si="152"/>
        <v>273</v>
      </c>
      <c r="CG104" s="71">
        <f t="shared" si="153"/>
        <v>306</v>
      </c>
      <c r="CH104" s="70">
        <f t="shared" si="154"/>
        <v>56</v>
      </c>
      <c r="CI104" s="71">
        <f t="shared" si="155"/>
        <v>60</v>
      </c>
      <c r="CJ104" s="72">
        <f t="shared" si="156"/>
        <v>90</v>
      </c>
      <c r="CK104" s="72">
        <f t="shared" si="157"/>
        <v>96</v>
      </c>
      <c r="CL104" s="72">
        <f t="shared" si="158"/>
        <v>132</v>
      </c>
      <c r="CM104" s="72" t="str">
        <f t="shared" si="159"/>
        <v>-</v>
      </c>
      <c r="CN104" s="72">
        <f t="shared" si="160"/>
        <v>167</v>
      </c>
      <c r="CO104" s="72">
        <f t="shared" si="161"/>
        <v>182</v>
      </c>
      <c r="CP104" s="72">
        <f t="shared" si="162"/>
        <v>222</v>
      </c>
      <c r="CQ104" s="72">
        <f t="shared" si="163"/>
        <v>269</v>
      </c>
      <c r="CR104" s="72">
        <f t="shared" si="164"/>
        <v>304</v>
      </c>
      <c r="CS104" s="72">
        <f t="shared" si="165"/>
        <v>317</v>
      </c>
      <c r="CT104" s="23">
        <f t="shared" si="166"/>
        <v>1</v>
      </c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2"/>
      <c r="AHA104" s="2"/>
      <c r="AHB104" s="2"/>
      <c r="AHC104" s="2"/>
      <c r="AHD104" s="2"/>
      <c r="AHE104" s="2"/>
      <c r="AHF104" s="2"/>
      <c r="AHG104" s="2"/>
      <c r="AHH104" s="2"/>
      <c r="AHI104" s="2"/>
      <c r="AHJ104" s="2"/>
      <c r="AHK104" s="2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  <c r="AJP104" s="2"/>
      <c r="AJQ104" s="2"/>
      <c r="AJR104" s="2"/>
      <c r="AJS104" s="2"/>
      <c r="AJT104" s="2"/>
      <c r="AJU104" s="2"/>
      <c r="AJV104" s="2"/>
      <c r="AJW104" s="2"/>
      <c r="AJX104" s="2"/>
      <c r="AJY104" s="2"/>
      <c r="AJZ104" s="2"/>
      <c r="AKA104" s="2"/>
      <c r="AKB104" s="2"/>
      <c r="AKC104" s="2"/>
      <c r="AKD104" s="2"/>
      <c r="AKE104" s="2"/>
      <c r="AKF104" s="2"/>
      <c r="AKG104" s="2"/>
      <c r="AKH104" s="2"/>
      <c r="AKI104" s="2"/>
      <c r="AKJ104" s="2"/>
      <c r="AKK104" s="2"/>
      <c r="AKL104" s="2"/>
      <c r="AKM104" s="2"/>
      <c r="AKN104" s="2"/>
      <c r="AKO104" s="2"/>
      <c r="AKP104" s="2"/>
      <c r="AKQ104" s="2"/>
      <c r="AKR104" s="2"/>
      <c r="AKS104" s="2"/>
      <c r="AKT104" s="2"/>
      <c r="AKU104" s="2"/>
      <c r="AKV104" s="2"/>
      <c r="AKW104" s="2"/>
      <c r="AKX104" s="2"/>
      <c r="AKY104" s="2"/>
      <c r="AKZ104" s="2"/>
      <c r="ALA104" s="2"/>
      <c r="ALB104" s="2"/>
      <c r="ALC104" s="2"/>
      <c r="ALD104" s="2"/>
      <c r="ALE104" s="2"/>
      <c r="ALF104" s="2"/>
      <c r="ALG104" s="2"/>
      <c r="ALH104" s="2"/>
      <c r="ALI104" s="2"/>
      <c r="ALJ104" s="2"/>
      <c r="ALK104" s="2"/>
      <c r="ALL104" s="2"/>
      <c r="ALM104" s="2"/>
      <c r="ALN104" s="2"/>
      <c r="ALO104" s="2"/>
      <c r="ALP104" s="2"/>
      <c r="ALQ104" s="2"/>
      <c r="ALR104" s="2"/>
      <c r="ALS104" s="2"/>
      <c r="ALT104" s="2"/>
      <c r="ALU104" s="2"/>
      <c r="ALV104" s="2"/>
      <c r="ALW104" s="2"/>
      <c r="ALX104" s="2"/>
      <c r="ALY104" s="2"/>
      <c r="ALZ104" s="2"/>
      <c r="AMA104" s="2"/>
      <c r="AMB104" s="2"/>
      <c r="AMC104" s="2"/>
      <c r="AMD104" s="2"/>
      <c r="AME104" s="2"/>
      <c r="AMF104" s="2"/>
      <c r="AMG104" s="2"/>
      <c r="AMH104" s="2"/>
      <c r="AMI104" s="2"/>
      <c r="AMJ104" s="2"/>
      <c r="AMK104" s="2"/>
      <c r="AML104" s="2"/>
      <c r="AMM104" s="2"/>
      <c r="AMN104" s="2"/>
      <c r="AMO104" s="2"/>
    </row>
    <row r="105" spans="1:1029" x14ac:dyDescent="0.2">
      <c r="A105" s="3" t="str">
        <f t="shared" si="167"/>
        <v>agtr1_human_4ZUD</v>
      </c>
      <c r="B105" s="3" t="s">
        <v>158</v>
      </c>
      <c r="C105" s="3" t="s">
        <v>1342</v>
      </c>
      <c r="D105" s="3" t="str">
        <f>IFERROR(MID(VLOOKUP($B105,Seqs!$A:$B,2,0),E105,1),"")</f>
        <v>Y</v>
      </c>
      <c r="E105" s="3">
        <v>26</v>
      </c>
      <c r="F105" s="3" t="str">
        <f>IFERROR(MID(VLOOKUP($B105,Seqs!$A:$B,2,0),G105,1),"")</f>
        <v>Y</v>
      </c>
      <c r="G105" s="3">
        <v>56</v>
      </c>
      <c r="H105" s="3" t="str">
        <f>IFERROR(MID(VLOOKUP($B105,Seqs!$A:$B,2,0),I105,1),"")</f>
        <v>M</v>
      </c>
      <c r="I105" s="23">
        <v>57</v>
      </c>
      <c r="J105" s="3" t="str">
        <f>IFERROR(MID(VLOOKUP($B105,Seqs!$A:$B,2,0),K105,1),"")</f>
        <v>K</v>
      </c>
      <c r="K105" s="23">
        <v>60</v>
      </c>
      <c r="L105" s="3" t="str">
        <f>IFERROR(MID(VLOOKUP($B105,Seqs!$A:$B,2,0),M105,1),"")</f>
        <v>T</v>
      </c>
      <c r="M105" s="3">
        <v>61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R</v>
      </c>
      <c r="Q105" s="3">
        <v>93</v>
      </c>
      <c r="R105" s="3" t="str">
        <f>IFERROR(MID(VLOOKUP($B105,Seqs!$A:$B,2,0),S105,1),"")</f>
        <v>F</v>
      </c>
      <c r="S105" s="3">
        <v>96</v>
      </c>
      <c r="T105" s="3" t="str">
        <f>IFERROR(MID(VLOOKUP($B105,Seqs!$A:$B,2,0),U105,1),"")</f>
        <v>G</v>
      </c>
      <c r="U105" s="3">
        <v>97</v>
      </c>
      <c r="V105" s="3" t="str">
        <f>IFERROR(MID(VLOOKUP($B105,Seqs!$A:$B,2,0),W105,1),"")</f>
        <v>H</v>
      </c>
      <c r="W105" s="3">
        <v>132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M</v>
      </c>
      <c r="AC105" s="9">
        <v>142</v>
      </c>
      <c r="AD105" s="3" t="str">
        <f>IFERROR(MID(VLOOKUP($B105,Seqs!$A:$B,2,0),AE105,1),"")</f>
        <v>R</v>
      </c>
      <c r="AE105" s="3">
        <v>167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F</v>
      </c>
      <c r="AI105" s="3">
        <v>182</v>
      </c>
      <c r="AJ105" s="3" t="str">
        <f>IFERROR(MID(VLOOKUP($B105,Seqs!$A:$B,2,0),AK105,1),"")</f>
        <v>L</v>
      </c>
      <c r="AK105" s="3">
        <v>191</v>
      </c>
      <c r="AL105" s="3" t="str">
        <f>IFERROR(MID(VLOOKUP($B105,Seqs!$A:$B,2,0),AM105,1),"")</f>
        <v>L</v>
      </c>
      <c r="AM105" s="3">
        <v>222</v>
      </c>
      <c r="AN105" s="3" t="str">
        <f>IFERROR(MID(VLOOKUP($B105,Seqs!$A:$B,2,0),AO105,1),"")</f>
        <v>D</v>
      </c>
      <c r="AO105" s="3">
        <v>236</v>
      </c>
      <c r="AP105" s="3" t="str">
        <f>IFERROR(MID(VLOOKUP($B105,Seqs!$A:$B,2,0),AQ105,1),"")</f>
        <v>G</v>
      </c>
      <c r="AQ105" s="3">
        <v>269</v>
      </c>
      <c r="AR105" s="3" t="str">
        <f>IFERROR(MID(VLOOKUP($B105,Seqs!$A:$B,2,0),AS105,1),"")</f>
        <v>D</v>
      </c>
      <c r="AS105" s="3">
        <v>273</v>
      </c>
      <c r="AT105" s="3" t="str">
        <f>IFERROR(MID(VLOOKUP($B105,Seqs!$A:$B,2,0),AU105,1),"")</f>
        <v>F</v>
      </c>
      <c r="AU105" s="3">
        <v>304</v>
      </c>
      <c r="AV105" s="3" t="str">
        <f>IFERROR(MID(VLOOKUP($B105,Seqs!$A:$B,2,0),AW105,1),"")</f>
        <v/>
      </c>
      <c r="AW105" s="3" t="s">
        <v>23</v>
      </c>
      <c r="AX105" s="3" t="str">
        <f>IFERROR(MID(VLOOKUP($B105,Seqs!$A:$B,2,0),AY105,1),"")</f>
        <v/>
      </c>
      <c r="AY105" s="3" t="s">
        <v>23</v>
      </c>
      <c r="AZ105" s="77" t="str">
        <f>VLOOKUP(B105,Classification!A:D,2,0)</f>
        <v>A</v>
      </c>
      <c r="BA105" s="94" t="str">
        <f>VLOOKUP(B105,Classification!A:D,4,0)</f>
        <v>Angiotensin</v>
      </c>
      <c r="BB105" s="27" t="b">
        <f t="shared" si="168"/>
        <v>1</v>
      </c>
      <c r="BC105" s="23">
        <f t="shared" si="141"/>
        <v>234</v>
      </c>
      <c r="BD105" s="2" t="s">
        <v>1383</v>
      </c>
      <c r="BE105" s="3" t="s">
        <v>1381</v>
      </c>
      <c r="BF105" s="119">
        <v>2.8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142"/>
        <v>26</v>
      </c>
      <c r="BW105" s="71">
        <f t="shared" si="143"/>
        <v>57</v>
      </c>
      <c r="BX105" s="72">
        <f t="shared" si="144"/>
        <v>61</v>
      </c>
      <c r="BY105" s="71">
        <f t="shared" si="145"/>
        <v>93</v>
      </c>
      <c r="BZ105" s="72">
        <f t="shared" si="146"/>
        <v>97</v>
      </c>
      <c r="CA105" s="71" t="str">
        <f t="shared" si="147"/>
        <v>-</v>
      </c>
      <c r="CB105" s="72">
        <f t="shared" si="148"/>
        <v>142</v>
      </c>
      <c r="CC105" s="71">
        <f t="shared" si="149"/>
        <v>180</v>
      </c>
      <c r="CD105" s="72">
        <f t="shared" si="150"/>
        <v>191</v>
      </c>
      <c r="CE105" s="71">
        <f t="shared" si="151"/>
        <v>236</v>
      </c>
      <c r="CF105" s="72">
        <f t="shared" si="152"/>
        <v>273</v>
      </c>
      <c r="CG105" s="71" t="str">
        <f t="shared" si="153"/>
        <v>-</v>
      </c>
      <c r="CH105" s="70">
        <f t="shared" si="154"/>
        <v>56</v>
      </c>
      <c r="CI105" s="71">
        <f t="shared" si="155"/>
        <v>60</v>
      </c>
      <c r="CJ105" s="72">
        <f t="shared" si="156"/>
        <v>90</v>
      </c>
      <c r="CK105" s="72">
        <f t="shared" si="157"/>
        <v>96</v>
      </c>
      <c r="CL105" s="72">
        <f t="shared" si="158"/>
        <v>132</v>
      </c>
      <c r="CM105" s="72" t="str">
        <f t="shared" si="159"/>
        <v>-</v>
      </c>
      <c r="CN105" s="72">
        <f t="shared" si="160"/>
        <v>167</v>
      </c>
      <c r="CO105" s="72">
        <f t="shared" si="161"/>
        <v>182</v>
      </c>
      <c r="CP105" s="72">
        <f t="shared" si="162"/>
        <v>222</v>
      </c>
      <c r="CQ105" s="72">
        <f t="shared" si="163"/>
        <v>269</v>
      </c>
      <c r="CR105" s="72">
        <f t="shared" si="164"/>
        <v>304</v>
      </c>
      <c r="CS105" s="72" t="str">
        <f t="shared" si="165"/>
        <v>-</v>
      </c>
      <c r="CT105" s="23">
        <f t="shared" si="166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ref="A106:A115" si="169">CONCATENATE(B106,"_",C106)</f>
        <v>agtr2_human__wt</v>
      </c>
      <c r="B106" s="3" t="s">
        <v>159</v>
      </c>
      <c r="C106" s="3" t="s">
        <v>100</v>
      </c>
      <c r="D106" s="3" t="str">
        <f>IFERROR(MID(VLOOKUP($B106,Seqs!$A:$B,2,0),E106,1),"")</f>
        <v>D</v>
      </c>
      <c r="E106" s="3">
        <v>45</v>
      </c>
      <c r="F106" s="3" t="str">
        <f>IFERROR(MID(VLOOKUP($B106,Seqs!$A:$B,2,0),G106,1),"")</f>
        <v>Q</v>
      </c>
      <c r="G106" s="3">
        <v>72</v>
      </c>
      <c r="H106" s="3" t="str">
        <f>IFERROR(MID(VLOOKUP($B106,Seqs!$A:$B,2,0),I106,1),"")</f>
        <v/>
      </c>
      <c r="I106" s="23" t="s">
        <v>23</v>
      </c>
      <c r="J106" s="3" t="str">
        <f>IFERROR(MID(VLOOKUP($B106,Seqs!$A:$B,2,0),K106,1),"")</f>
        <v/>
      </c>
      <c r="K106" s="23" t="s">
        <v>23</v>
      </c>
      <c r="L106" s="3" t="str">
        <f>IFERROR(MID(VLOOKUP($B106,Seqs!$A:$B,2,0),M106,1),"")</f>
        <v>V</v>
      </c>
      <c r="M106" s="3">
        <v>78</v>
      </c>
      <c r="N106" s="3" t="str">
        <f>IFERROR(MID(VLOOKUP($B106,Seqs!$A:$B,2,0),O106,1),"")</f>
        <v>Y</v>
      </c>
      <c r="O106" s="3">
        <v>106</v>
      </c>
      <c r="P106" s="3" t="str">
        <f>IFERROR(MID(VLOOKUP($B106,Seqs!$A:$B,2,0),Q106,1),"")</f>
        <v>R</v>
      </c>
      <c r="Q106" s="3">
        <v>107</v>
      </c>
      <c r="R106" s="3" t="str">
        <f>IFERROR(MID(VLOOKUP($B106,Seqs!$A:$B,2,0),S106,1),"")</f>
        <v>F</v>
      </c>
      <c r="S106" s="3">
        <v>112</v>
      </c>
      <c r="T106" s="3" t="str">
        <f>IFERROR(MID(VLOOKUP($B106,Seqs!$A:$B,2,0),U106,1),"")</f>
        <v>G</v>
      </c>
      <c r="U106" s="3">
        <v>113</v>
      </c>
      <c r="V106" s="3" t="str">
        <f>IFERROR(MID(VLOOKUP($B106,Seqs!$A:$B,2,0),W106,1),"")</f>
        <v>Y</v>
      </c>
      <c r="W106" s="3">
        <v>148</v>
      </c>
      <c r="X106" s="3" t="str">
        <f>IFERROR(MID(VLOOKUP($B106,Seqs!$A:$B,2,0),Y106,1),"")</f>
        <v>P</v>
      </c>
      <c r="Y106" s="3">
        <v>149</v>
      </c>
      <c r="Z106" s="3" t="str">
        <f>IFERROR(MID(VLOOKUP($B106,Seqs!$A:$B,2,0),AA106,1),"")</f>
        <v>R</v>
      </c>
      <c r="AA106" s="3">
        <v>155</v>
      </c>
      <c r="AB106" s="3" t="str">
        <f>IFERROR(MID(VLOOKUP($B106,Seqs!$A:$B,2,0),AC106,1),"")</f>
        <v>N</v>
      </c>
      <c r="AC106" s="3">
        <v>156</v>
      </c>
      <c r="AD106" s="3" t="str">
        <f>IFERROR(MID(VLOOKUP($B106,Seqs!$A:$B,2,0),AE106,1),"")</f>
        <v>R</v>
      </c>
      <c r="AE106" s="3">
        <v>182</v>
      </c>
      <c r="AF106" s="3" t="str">
        <f>IFERROR(MID(VLOOKUP($B106,Seqs!$A:$B,2,0),AG106,1),"")</f>
        <v>C</v>
      </c>
      <c r="AG106" s="3">
        <v>195</v>
      </c>
      <c r="AH106" s="3" t="str">
        <f>IFERROR(MID(VLOOKUP($B106,Seqs!$A:$B,2,0),AI106,1),"")</f>
        <v>M</v>
      </c>
      <c r="AI106" s="3">
        <v>197</v>
      </c>
      <c r="AJ106" s="3" t="str">
        <f>IFERROR(MID(VLOOKUP($B106,Seqs!$A:$B,2,0),AK106,1),"")</f>
        <v>K</v>
      </c>
      <c r="AK106" s="3">
        <v>203</v>
      </c>
      <c r="AL106" s="3" t="str">
        <f>IFERROR(MID(VLOOKUP($B106,Seqs!$A:$B,2,0),AM106,1),"")</f>
        <v>T</v>
      </c>
      <c r="AM106" s="3">
        <v>241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G</v>
      </c>
      <c r="AQ106" s="3">
        <v>285</v>
      </c>
      <c r="AR106" s="3" t="str">
        <f>IFERROR(MID(VLOOKUP($B106,Seqs!$A:$B,2,0),AS106,1),"")</f>
        <v>S</v>
      </c>
      <c r="AS106" s="3">
        <v>289</v>
      </c>
      <c r="AT106" s="3" t="str">
        <f>IFERROR(MID(VLOOKUP($B106,Seqs!$A:$B,2,0),AU106,1),"")</f>
        <v>V</v>
      </c>
      <c r="AU106" s="3">
        <v>321</v>
      </c>
      <c r="AV106" s="3" t="str">
        <f>IFERROR(MID(VLOOKUP($B106,Seqs!$A:$B,2,0),AW106,1),"")</f>
        <v>G</v>
      </c>
      <c r="AW106" s="3">
        <v>322</v>
      </c>
      <c r="AX106" s="3" t="str">
        <f>IFERROR(MID(VLOOKUP($B106,Seqs!$A:$B,2,0),AY106,1),"")</f>
        <v>P</v>
      </c>
      <c r="AY106" s="3">
        <v>336</v>
      </c>
      <c r="AZ106" s="77" t="str">
        <f>VLOOKUP(B106,Classification!A:D,2,0)</f>
        <v>A</v>
      </c>
      <c r="BA106" s="94" t="str">
        <f>VLOOKUP(B106,Classification!A:D,4,0)</f>
        <v>Angiotensin</v>
      </c>
      <c r="BB106" s="27" t="b">
        <f t="shared" ref="BB106:BB115" si="170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ref="BC106:BC115" si="171">_xlfn.AGGREGATE(9,6,CH106:CS106)-_xlfn.AGGREGATE(9,6,BV106:CG106)+12</f>
        <v>265</v>
      </c>
      <c r="BD106" s="2" t="s">
        <v>23</v>
      </c>
      <c r="BE106" s="3" t="s">
        <v>23</v>
      </c>
      <c r="BF106" s="119" t="s">
        <v>23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ref="BV106:BV115" si="172">E106</f>
        <v>45</v>
      </c>
      <c r="BW106" s="71" t="str">
        <f t="shared" ref="BW106:BW115" si="173">I106</f>
        <v>-</v>
      </c>
      <c r="BX106" s="72">
        <f t="shared" ref="BX106:BX115" si="174">M106</f>
        <v>78</v>
      </c>
      <c r="BY106" s="71">
        <f t="shared" ref="BY106:BY115" si="175">Q106</f>
        <v>107</v>
      </c>
      <c r="BZ106" s="72">
        <f t="shared" ref="BZ106:BZ115" si="176">U106</f>
        <v>113</v>
      </c>
      <c r="CA106" s="71">
        <f t="shared" ref="CA106:CA115" si="177">Y106</f>
        <v>149</v>
      </c>
      <c r="CB106" s="72">
        <f t="shared" ref="CB106:CB115" si="178">AC106</f>
        <v>156</v>
      </c>
      <c r="CC106" s="71">
        <f t="shared" ref="CC106:CC115" si="179">AG106</f>
        <v>195</v>
      </c>
      <c r="CD106" s="72">
        <f t="shared" ref="CD106:CD115" si="180">AK106</f>
        <v>203</v>
      </c>
      <c r="CE106" s="71">
        <f t="shared" ref="CE106:CE115" si="181">AO106</f>
        <v>245</v>
      </c>
      <c r="CF106" s="72">
        <f t="shared" ref="CF106:CF115" si="182">AS106</f>
        <v>289</v>
      </c>
      <c r="CG106" s="71">
        <f t="shared" ref="CG106:CG115" si="183">AW106</f>
        <v>322</v>
      </c>
      <c r="CH106" s="70">
        <f t="shared" ref="CH106:CH115" si="184">G106</f>
        <v>72</v>
      </c>
      <c r="CI106" s="71" t="str">
        <f t="shared" ref="CI106:CI115" si="185">K106</f>
        <v>-</v>
      </c>
      <c r="CJ106" s="72">
        <f t="shared" ref="CJ106:CJ115" si="186">O106</f>
        <v>106</v>
      </c>
      <c r="CK106" s="72">
        <f t="shared" ref="CK106:CK115" si="187">S106</f>
        <v>112</v>
      </c>
      <c r="CL106" s="72">
        <f t="shared" ref="CL106:CL115" si="188">W106</f>
        <v>148</v>
      </c>
      <c r="CM106" s="72">
        <f t="shared" ref="CM106:CM115" si="189">AA106</f>
        <v>155</v>
      </c>
      <c r="CN106" s="72">
        <f t="shared" ref="CN106:CN115" si="190">AE106</f>
        <v>182</v>
      </c>
      <c r="CO106" s="72">
        <f t="shared" ref="CO106:CO115" si="191">AI106</f>
        <v>197</v>
      </c>
      <c r="CP106" s="72">
        <f t="shared" ref="CP106:CP115" si="192">AM106</f>
        <v>241</v>
      </c>
      <c r="CQ106" s="72">
        <f t="shared" ref="CQ106:CQ115" si="193">AQ106</f>
        <v>285</v>
      </c>
      <c r="CR106" s="72">
        <f t="shared" ref="CR106:CR115" si="194">AU106</f>
        <v>321</v>
      </c>
      <c r="CS106" s="72">
        <f t="shared" ref="CS106:CS115" si="195">AY106</f>
        <v>336</v>
      </c>
      <c r="CT106" s="23" t="e">
        <f t="shared" ref="CT106:CT115" si="196">M106-K106</f>
        <v>#VALUE!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169"/>
        <v>agtr2_human_5UNF</v>
      </c>
      <c r="B107" s="3" t="s">
        <v>159</v>
      </c>
      <c r="C107" s="3" t="s">
        <v>1399</v>
      </c>
      <c r="D107" s="3" t="str">
        <f>IFERROR(MID(VLOOKUP($B107,Seqs!$A:$B,2,0),E107,1),"")</f>
        <v>A</v>
      </c>
      <c r="E107" s="3">
        <v>46</v>
      </c>
      <c r="F107" s="3" t="str">
        <f>IFERROR(MID(VLOOKUP($B107,Seqs!$A:$B,2,0),G107,1),"")</f>
        <v>Q</v>
      </c>
      <c r="G107" s="3">
        <v>72</v>
      </c>
      <c r="H107" s="3" t="str">
        <f>IFERROR(MID(VLOOKUP($B107,Seqs!$A:$B,2,0),I107,1),"")</f>
        <v/>
      </c>
      <c r="I107" s="23" t="s">
        <v>23</v>
      </c>
      <c r="J107" s="3" t="str">
        <f>IFERROR(MID(VLOOKUP($B107,Seqs!$A:$B,2,0),K107,1),"")</f>
        <v/>
      </c>
      <c r="K107" s="23" t="s">
        <v>23</v>
      </c>
      <c r="L107" s="3" t="str">
        <f>IFERROR(MID(VLOOKUP($B107,Seqs!$A:$B,2,0),M107,1),"")</f>
        <v>V</v>
      </c>
      <c r="M107" s="3">
        <v>78</v>
      </c>
      <c r="N107" s="3" t="str">
        <f>IFERROR(MID(VLOOKUP($B107,Seqs!$A:$B,2,0),O107,1),"")</f>
        <v>Y</v>
      </c>
      <c r="O107" s="3">
        <v>106</v>
      </c>
      <c r="P107" s="3" t="str">
        <f>IFERROR(MID(VLOOKUP($B107,Seqs!$A:$B,2,0),Q107,1),"")</f>
        <v>R</v>
      </c>
      <c r="Q107" s="3">
        <v>107</v>
      </c>
      <c r="R107" s="3" t="str">
        <f>IFERROR(MID(VLOOKUP($B107,Seqs!$A:$B,2,0),S107,1),"")</f>
        <v>F</v>
      </c>
      <c r="S107" s="3">
        <v>112</v>
      </c>
      <c r="T107" s="3" t="str">
        <f>IFERROR(MID(VLOOKUP($B107,Seqs!$A:$B,2,0),U107,1),"")</f>
        <v>G</v>
      </c>
      <c r="U107" s="3">
        <v>113</v>
      </c>
      <c r="V107" s="3" t="str">
        <f>IFERROR(MID(VLOOKUP($B107,Seqs!$A:$B,2,0),W107,1),"")</f>
        <v>Y</v>
      </c>
      <c r="W107" s="3">
        <v>148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W</v>
      </c>
      <c r="AC107" s="3">
        <v>158</v>
      </c>
      <c r="AD107" s="3" t="str">
        <f>IFERROR(MID(VLOOKUP($B107,Seqs!$A:$B,2,0),AE107,1),"")</f>
        <v>R</v>
      </c>
      <c r="AE107" s="3">
        <v>182</v>
      </c>
      <c r="AF107" s="3" t="str">
        <f>IFERROR(MID(VLOOKUP($B107,Seqs!$A:$B,2,0),AG107,1),"")</f>
        <v>C</v>
      </c>
      <c r="AG107" s="3">
        <v>195</v>
      </c>
      <c r="AH107" s="3" t="str">
        <f>IFERROR(MID(VLOOKUP($B107,Seqs!$A:$B,2,0),AI107,1),"")</f>
        <v>M</v>
      </c>
      <c r="AI107" s="3">
        <v>197</v>
      </c>
      <c r="AJ107" s="3" t="str">
        <f>IFERROR(MID(VLOOKUP($B107,Seqs!$A:$B,2,0),AK107,1),"")</f>
        <v>Y</v>
      </c>
      <c r="AK107" s="3">
        <v>204</v>
      </c>
      <c r="AL107" s="3" t="str">
        <f>IFERROR(MID(VLOOKUP($B107,Seqs!$A:$B,2,0),AM107,1),"")</f>
        <v>T</v>
      </c>
      <c r="AM107" s="3">
        <v>241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G</v>
      </c>
      <c r="AQ107" s="3">
        <v>285</v>
      </c>
      <c r="AR107" s="3" t="str">
        <f>IFERROR(MID(VLOOKUP($B107,Seqs!$A:$B,2,0),AS107,1),"")</f>
        <v>C</v>
      </c>
      <c r="AS107" s="3">
        <v>290</v>
      </c>
      <c r="AT107" s="3" t="str">
        <f>IFERROR(MID(VLOOKUP($B107,Seqs!$A:$B,2,0),AU107,1),"")</f>
        <v>V</v>
      </c>
      <c r="AU107" s="3">
        <v>321</v>
      </c>
      <c r="AV107" s="3" t="str">
        <f>IFERROR(MID(VLOOKUP($B107,Seqs!$A:$B,2,0),AW107,1),"")</f>
        <v>G</v>
      </c>
      <c r="AW107" s="3">
        <v>322</v>
      </c>
      <c r="AX107" s="3" t="str">
        <f>IFERROR(MID(VLOOKUP($B107,Seqs!$A:$B,2,0),AY107,1),"")</f>
        <v>R</v>
      </c>
      <c r="AY107" s="3">
        <v>334</v>
      </c>
      <c r="AZ107" s="77"/>
      <c r="BA107" s="94" t="str">
        <f>VLOOKUP(B107,Classification!A:D,4,0)</f>
        <v>Angiotensin</v>
      </c>
      <c r="BB107" s="27" t="b">
        <f t="shared" si="170"/>
        <v>1</v>
      </c>
      <c r="BC107" s="23">
        <f t="shared" si="171"/>
        <v>252</v>
      </c>
      <c r="BD107" s="2" t="s">
        <v>23</v>
      </c>
      <c r="BE107" s="3" t="s">
        <v>1297</v>
      </c>
      <c r="BF107" s="119">
        <v>2.8</v>
      </c>
      <c r="BG107" s="49" t="s">
        <v>1384</v>
      </c>
      <c r="BH107" s="49" t="s">
        <v>1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172"/>
        <v>46</v>
      </c>
      <c r="BW107" s="71" t="str">
        <f t="shared" si="173"/>
        <v>-</v>
      </c>
      <c r="BX107" s="72">
        <f t="shared" si="174"/>
        <v>78</v>
      </c>
      <c r="BY107" s="71">
        <f t="shared" si="175"/>
        <v>107</v>
      </c>
      <c r="BZ107" s="72">
        <f t="shared" si="176"/>
        <v>113</v>
      </c>
      <c r="CA107" s="71" t="str">
        <f t="shared" si="177"/>
        <v>-</v>
      </c>
      <c r="CB107" s="72">
        <f t="shared" si="178"/>
        <v>158</v>
      </c>
      <c r="CC107" s="71">
        <f t="shared" si="179"/>
        <v>195</v>
      </c>
      <c r="CD107" s="72">
        <f t="shared" si="180"/>
        <v>204</v>
      </c>
      <c r="CE107" s="71">
        <f t="shared" si="181"/>
        <v>245</v>
      </c>
      <c r="CF107" s="72">
        <f t="shared" si="182"/>
        <v>290</v>
      </c>
      <c r="CG107" s="71">
        <f t="shared" si="183"/>
        <v>322</v>
      </c>
      <c r="CH107" s="70">
        <f t="shared" si="184"/>
        <v>72</v>
      </c>
      <c r="CI107" s="71" t="str">
        <f t="shared" si="185"/>
        <v>-</v>
      </c>
      <c r="CJ107" s="72">
        <f t="shared" si="186"/>
        <v>106</v>
      </c>
      <c r="CK107" s="72">
        <f t="shared" si="187"/>
        <v>112</v>
      </c>
      <c r="CL107" s="72">
        <f t="shared" si="188"/>
        <v>148</v>
      </c>
      <c r="CM107" s="72" t="str">
        <f t="shared" si="189"/>
        <v>-</v>
      </c>
      <c r="CN107" s="72">
        <f t="shared" si="190"/>
        <v>182</v>
      </c>
      <c r="CO107" s="72">
        <f t="shared" si="191"/>
        <v>197</v>
      </c>
      <c r="CP107" s="72">
        <f t="shared" si="192"/>
        <v>241</v>
      </c>
      <c r="CQ107" s="72">
        <f t="shared" si="193"/>
        <v>285</v>
      </c>
      <c r="CR107" s="72">
        <f t="shared" si="194"/>
        <v>321</v>
      </c>
      <c r="CS107" s="72">
        <f t="shared" si="195"/>
        <v>334</v>
      </c>
      <c r="CT107" s="23" t="e">
        <f t="shared" si="196"/>
        <v>#VALUE!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169"/>
        <v>agtr2_human_5UNG</v>
      </c>
      <c r="B108" s="3" t="s">
        <v>159</v>
      </c>
      <c r="C108" s="3" t="s">
        <v>1401</v>
      </c>
      <c r="D108" s="3" t="str">
        <f>IFERROR(MID(VLOOKUP($B108,Seqs!$A:$B,2,0),E108,1),"")</f>
        <v>D</v>
      </c>
      <c r="E108" s="3">
        <v>45</v>
      </c>
      <c r="F108" s="3" t="str">
        <f>IFERROR(MID(VLOOKUP($B108,Seqs!$A:$B,2,0),G108,1),"")</f>
        <v>C</v>
      </c>
      <c r="G108" s="3">
        <v>71</v>
      </c>
      <c r="H108" s="3" t="str">
        <f>IFERROR(MID(VLOOKUP($B108,Seqs!$A:$B,2,0),I108,1),"")</f>
        <v/>
      </c>
      <c r="I108" s="23" t="s">
        <v>23</v>
      </c>
      <c r="J108" s="3" t="str">
        <f>IFERROR(MID(VLOOKUP($B108,Seqs!$A:$B,2,0),K108,1),"")</f>
        <v/>
      </c>
      <c r="K108" s="23" t="s">
        <v>23</v>
      </c>
      <c r="L108" s="3" t="str">
        <f>IFERROR(MID(VLOOKUP($B108,Seqs!$A:$B,2,0),M108,1),"")</f>
        <v>V</v>
      </c>
      <c r="M108" s="3">
        <v>78</v>
      </c>
      <c r="N108" s="3" t="str">
        <f>IFERROR(MID(VLOOKUP($B108,Seqs!$A:$B,2,0),O108,1),"")</f>
        <v>Y</v>
      </c>
      <c r="O108" s="3">
        <v>106</v>
      </c>
      <c r="P108" s="3" t="str">
        <f>IFERROR(MID(VLOOKUP($B108,Seqs!$A:$B,2,0),Q108,1),"")</f>
        <v>R</v>
      </c>
      <c r="Q108" s="3">
        <v>107</v>
      </c>
      <c r="R108" s="3" t="str">
        <f>IFERROR(MID(VLOOKUP($B108,Seqs!$A:$B,2,0),S108,1),"")</f>
        <v>F</v>
      </c>
      <c r="S108" s="3">
        <v>112</v>
      </c>
      <c r="T108" s="3" t="str">
        <f>IFERROR(MID(VLOOKUP($B108,Seqs!$A:$B,2,0),U108,1),"")</f>
        <v>G</v>
      </c>
      <c r="U108" s="3">
        <v>113</v>
      </c>
      <c r="V108" s="3" t="str">
        <f>IFERROR(MID(VLOOKUP($B108,Seqs!$A:$B,2,0),W108,1),"")</f>
        <v>Y</v>
      </c>
      <c r="W108" s="3">
        <v>148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Q</v>
      </c>
      <c r="AC108" s="3">
        <v>159</v>
      </c>
      <c r="AD108" s="3" t="str">
        <f>IFERROR(MID(VLOOKUP($B108,Seqs!$A:$B,2,0),AE108,1),"")</f>
        <v>R</v>
      </c>
      <c r="AE108" s="3">
        <v>182</v>
      </c>
      <c r="AF108" s="3" t="str">
        <f>IFERROR(MID(VLOOKUP($B108,Seqs!$A:$B,2,0),AG108,1),"")</f>
        <v>C</v>
      </c>
      <c r="AG108" s="3">
        <v>195</v>
      </c>
      <c r="AH108" s="3" t="str">
        <f>IFERROR(MID(VLOOKUP($B108,Seqs!$A:$B,2,0),AI108,1),"")</f>
        <v>M</v>
      </c>
      <c r="AI108" s="3">
        <v>197</v>
      </c>
      <c r="AJ108" s="3" t="str">
        <f>IFERROR(MID(VLOOKUP($B108,Seqs!$A:$B,2,0),AK108,1),"")</f>
        <v>K</v>
      </c>
      <c r="AK108" s="3">
        <v>203</v>
      </c>
      <c r="AL108" s="3" t="str">
        <f>IFERROR(MID(VLOOKUP($B108,Seqs!$A:$B,2,0),AM108,1),"")</f>
        <v>T</v>
      </c>
      <c r="AM108" s="3">
        <v>241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G</v>
      </c>
      <c r="AQ108" s="3">
        <v>285</v>
      </c>
      <c r="AR108" s="3" t="str">
        <f>IFERROR(MID(VLOOKUP($B108,Seqs!$A:$B,2,0),AS108,1),"")</f>
        <v>S</v>
      </c>
      <c r="AS108" s="3">
        <v>289</v>
      </c>
      <c r="AT108" s="3" t="str">
        <f>IFERROR(MID(VLOOKUP($B108,Seqs!$A:$B,2,0),AU108,1),"")</f>
        <v>V</v>
      </c>
      <c r="AU108" s="3">
        <v>321</v>
      </c>
      <c r="AV108" s="3" t="str">
        <f>IFERROR(MID(VLOOKUP($B108,Seqs!$A:$B,2,0),AW108,1),"")</f>
        <v>G</v>
      </c>
      <c r="AW108" s="3">
        <v>322</v>
      </c>
      <c r="AX108" s="3" t="str">
        <f>IFERROR(MID(VLOOKUP($B108,Seqs!$A:$B,2,0),AY108,1),"")</f>
        <v>R</v>
      </c>
      <c r="AY108" s="3">
        <v>334</v>
      </c>
      <c r="AZ108" s="77" t="str">
        <f>VLOOKUP(B108,Classification!A:D,2,0)</f>
        <v>A</v>
      </c>
      <c r="BA108" s="94" t="str">
        <f>VLOOKUP(B108,Classification!A:D,4,0)</f>
        <v>Angiotensin</v>
      </c>
      <c r="BB108" s="27" t="b">
        <f t="shared" si="170"/>
        <v>1</v>
      </c>
      <c r="BC108" s="23">
        <f t="shared" si="171"/>
        <v>253</v>
      </c>
      <c r="BD108" s="2" t="s">
        <v>1382</v>
      </c>
      <c r="BE108" s="3" t="s">
        <v>1297</v>
      </c>
      <c r="BF108" s="119">
        <v>2.8</v>
      </c>
      <c r="BG108" s="49" t="s">
        <v>1384</v>
      </c>
      <c r="BH108" s="49" t="s">
        <v>1287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172"/>
        <v>45</v>
      </c>
      <c r="BW108" s="71" t="str">
        <f t="shared" si="173"/>
        <v>-</v>
      </c>
      <c r="BX108" s="72">
        <f t="shared" si="174"/>
        <v>78</v>
      </c>
      <c r="BY108" s="71">
        <f t="shared" si="175"/>
        <v>107</v>
      </c>
      <c r="BZ108" s="72">
        <f t="shared" si="176"/>
        <v>113</v>
      </c>
      <c r="CA108" s="71" t="str">
        <f t="shared" si="177"/>
        <v>-</v>
      </c>
      <c r="CB108" s="72">
        <f t="shared" si="178"/>
        <v>159</v>
      </c>
      <c r="CC108" s="71">
        <f t="shared" si="179"/>
        <v>195</v>
      </c>
      <c r="CD108" s="72">
        <f t="shared" si="180"/>
        <v>203</v>
      </c>
      <c r="CE108" s="71">
        <f t="shared" si="181"/>
        <v>245</v>
      </c>
      <c r="CF108" s="72">
        <f t="shared" si="182"/>
        <v>289</v>
      </c>
      <c r="CG108" s="71">
        <f t="shared" si="183"/>
        <v>322</v>
      </c>
      <c r="CH108" s="70">
        <f t="shared" si="184"/>
        <v>71</v>
      </c>
      <c r="CI108" s="71" t="str">
        <f t="shared" si="185"/>
        <v>-</v>
      </c>
      <c r="CJ108" s="72">
        <f t="shared" si="186"/>
        <v>106</v>
      </c>
      <c r="CK108" s="72">
        <f t="shared" si="187"/>
        <v>112</v>
      </c>
      <c r="CL108" s="72">
        <f t="shared" si="188"/>
        <v>148</v>
      </c>
      <c r="CM108" s="72" t="str">
        <f t="shared" si="189"/>
        <v>-</v>
      </c>
      <c r="CN108" s="72">
        <f t="shared" si="190"/>
        <v>182</v>
      </c>
      <c r="CO108" s="72">
        <f t="shared" si="191"/>
        <v>197</v>
      </c>
      <c r="CP108" s="72">
        <f t="shared" si="192"/>
        <v>241</v>
      </c>
      <c r="CQ108" s="72">
        <f t="shared" si="193"/>
        <v>285</v>
      </c>
      <c r="CR108" s="72">
        <f t="shared" si="194"/>
        <v>321</v>
      </c>
      <c r="CS108" s="72">
        <f t="shared" si="195"/>
        <v>334</v>
      </c>
      <c r="CT108" s="23" t="e">
        <f t="shared" si="196"/>
        <v>#VALUE!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169"/>
        <v>agtr2_human_5UNH</v>
      </c>
      <c r="B109" s="3" t="s">
        <v>159</v>
      </c>
      <c r="C109" s="3" t="s">
        <v>1402</v>
      </c>
      <c r="D109" s="3" t="str">
        <f>IFERROR(MID(VLOOKUP($B109,Seqs!$A:$B,2,0),E109,1),"")</f>
        <v>D</v>
      </c>
      <c r="E109" s="3">
        <v>45</v>
      </c>
      <c r="F109" s="3" t="str">
        <f>IFERROR(MID(VLOOKUP($B109,Seqs!$A:$B,2,0),G109,1),"")</f>
        <v>C</v>
      </c>
      <c r="G109" s="3">
        <v>70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K</v>
      </c>
      <c r="M109" s="3">
        <v>77</v>
      </c>
      <c r="N109" s="3" t="str">
        <f>IFERROR(MID(VLOOKUP($B109,Seqs!$A:$B,2,0),O109,1),"")</f>
        <v>Y</v>
      </c>
      <c r="O109" s="3">
        <v>106</v>
      </c>
      <c r="P109" s="3" t="str">
        <f>IFERROR(MID(VLOOKUP($B109,Seqs!$A:$B,2,0),Q109,1),"")</f>
        <v>R</v>
      </c>
      <c r="Q109" s="3">
        <v>107</v>
      </c>
      <c r="R109" s="3" t="str">
        <f>IFERROR(MID(VLOOKUP($B109,Seqs!$A:$B,2,0),S109,1),"")</f>
        <v>F</v>
      </c>
      <c r="S109" s="3">
        <v>112</v>
      </c>
      <c r="T109" s="3" t="str">
        <f>IFERROR(MID(VLOOKUP($B109,Seqs!$A:$B,2,0),U109,1),"")</f>
        <v>G</v>
      </c>
      <c r="U109" s="3">
        <v>113</v>
      </c>
      <c r="V109" s="3" t="str">
        <f>IFERROR(MID(VLOOKUP($B109,Seqs!$A:$B,2,0),W109,1),"")</f>
        <v>Y</v>
      </c>
      <c r="W109" s="3">
        <v>148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Y</v>
      </c>
      <c r="AC109" s="3">
        <v>162</v>
      </c>
      <c r="AD109" s="3" t="str">
        <f>IFERROR(MID(VLOOKUP($B109,Seqs!$A:$B,2,0),AE109,1),"")</f>
        <v>R</v>
      </c>
      <c r="AE109" s="3">
        <v>182</v>
      </c>
      <c r="AF109" s="3" t="str">
        <f>IFERROR(MID(VLOOKUP($B109,Seqs!$A:$B,2,0),AG109,1),"")</f>
        <v>C</v>
      </c>
      <c r="AG109" s="3">
        <v>195</v>
      </c>
      <c r="AH109" s="3" t="str">
        <f>IFERROR(MID(VLOOKUP($B109,Seqs!$A:$B,2,0),AI109,1),"")</f>
        <v>M</v>
      </c>
      <c r="AI109" s="3">
        <v>197</v>
      </c>
      <c r="AJ109" s="3" t="str">
        <f>IFERROR(MID(VLOOKUP($B109,Seqs!$A:$B,2,0),AK109,1),"")</f>
        <v>Y</v>
      </c>
      <c r="AK109" s="3">
        <v>204</v>
      </c>
      <c r="AL109" s="3" t="str">
        <f>IFERROR(MID(VLOOKUP($B109,Seqs!$A:$B,2,0),AM109,1),"")</f>
        <v>T</v>
      </c>
      <c r="AM109" s="3">
        <v>241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G</v>
      </c>
      <c r="AQ109" s="3">
        <v>285</v>
      </c>
      <c r="AR109" s="3" t="str">
        <f>IFERROR(MID(VLOOKUP($B109,Seqs!$A:$B,2,0),AS109,1),"")</f>
        <v>S</v>
      </c>
      <c r="AS109" s="3">
        <v>289</v>
      </c>
      <c r="AT109" s="3" t="str">
        <f>IFERROR(MID(VLOOKUP($B109,Seqs!$A:$B,2,0),AU109,1),"")</f>
        <v>V</v>
      </c>
      <c r="AU109" s="3">
        <v>321</v>
      </c>
      <c r="AV109" s="3" t="str">
        <f>IFERROR(MID(VLOOKUP($B109,Seqs!$A:$B,2,0),AW109,1),"")</f>
        <v>G</v>
      </c>
      <c r="AW109" s="3">
        <v>322</v>
      </c>
      <c r="AX109" s="3" t="str">
        <f>IFERROR(MID(VLOOKUP($B109,Seqs!$A:$B,2,0),AY109,1),"")</f>
        <v>V</v>
      </c>
      <c r="AY109" s="3">
        <v>332</v>
      </c>
      <c r="AZ109" s="77" t="str">
        <f>VLOOKUP(B109,Classification!A:D,2,0)</f>
        <v>A</v>
      </c>
      <c r="BA109" s="94" t="str">
        <f>VLOOKUP(B109,Classification!A:D,4,0)</f>
        <v>Angiotensin</v>
      </c>
      <c r="BB109" s="27" t="b">
        <f t="shared" si="170"/>
        <v>1</v>
      </c>
      <c r="BC109" s="23">
        <f t="shared" si="171"/>
        <v>247</v>
      </c>
      <c r="BD109" s="2" t="s">
        <v>23</v>
      </c>
      <c r="BE109" s="3" t="s">
        <v>1297</v>
      </c>
      <c r="BF109" s="119">
        <v>2.9</v>
      </c>
      <c r="BG109" s="49" t="s">
        <v>1384</v>
      </c>
      <c r="BH109" s="49" t="s">
        <v>1287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172"/>
        <v>45</v>
      </c>
      <c r="BW109" s="71" t="str">
        <f t="shared" si="173"/>
        <v>-</v>
      </c>
      <c r="BX109" s="72">
        <f t="shared" si="174"/>
        <v>77</v>
      </c>
      <c r="BY109" s="71">
        <f t="shared" si="175"/>
        <v>107</v>
      </c>
      <c r="BZ109" s="72">
        <f t="shared" si="176"/>
        <v>113</v>
      </c>
      <c r="CA109" s="71" t="str">
        <f t="shared" si="177"/>
        <v>-</v>
      </c>
      <c r="CB109" s="72">
        <f t="shared" si="178"/>
        <v>162</v>
      </c>
      <c r="CC109" s="71">
        <f t="shared" si="179"/>
        <v>195</v>
      </c>
      <c r="CD109" s="72">
        <f t="shared" si="180"/>
        <v>204</v>
      </c>
      <c r="CE109" s="71">
        <f t="shared" si="181"/>
        <v>245</v>
      </c>
      <c r="CF109" s="72">
        <f t="shared" si="182"/>
        <v>289</v>
      </c>
      <c r="CG109" s="71">
        <f t="shared" si="183"/>
        <v>322</v>
      </c>
      <c r="CH109" s="70">
        <f t="shared" si="184"/>
        <v>70</v>
      </c>
      <c r="CI109" s="71" t="str">
        <f t="shared" si="185"/>
        <v>-</v>
      </c>
      <c r="CJ109" s="72">
        <f t="shared" si="186"/>
        <v>106</v>
      </c>
      <c r="CK109" s="72">
        <f t="shared" si="187"/>
        <v>112</v>
      </c>
      <c r="CL109" s="72">
        <f t="shared" si="188"/>
        <v>148</v>
      </c>
      <c r="CM109" s="72" t="str">
        <f t="shared" si="189"/>
        <v>-</v>
      </c>
      <c r="CN109" s="72">
        <f t="shared" si="190"/>
        <v>182</v>
      </c>
      <c r="CO109" s="72">
        <f t="shared" si="191"/>
        <v>197</v>
      </c>
      <c r="CP109" s="72">
        <f t="shared" si="192"/>
        <v>241</v>
      </c>
      <c r="CQ109" s="72">
        <f t="shared" si="193"/>
        <v>285</v>
      </c>
      <c r="CR109" s="72">
        <f t="shared" si="194"/>
        <v>321</v>
      </c>
      <c r="CS109" s="72">
        <f t="shared" si="195"/>
        <v>332</v>
      </c>
      <c r="CT109" s="23" t="e">
        <f t="shared" si="196"/>
        <v>#VALUE!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169"/>
        <v>apj_human__wt</v>
      </c>
      <c r="B110" s="3" t="s">
        <v>160</v>
      </c>
      <c r="C110" s="3" t="s">
        <v>100</v>
      </c>
      <c r="D110" s="3" t="str">
        <f>IFERROR(MID(VLOOKUP($B110,Seqs!$A:$B,2,0),E110,1),"")</f>
        <v>A</v>
      </c>
      <c r="E110" s="3">
        <v>29</v>
      </c>
      <c r="F110" s="3" t="str">
        <f>IFERROR(MID(VLOOKUP($B110,Seqs!$A:$B,2,0),G110,1),"")</f>
        <v>S</v>
      </c>
      <c r="G110" s="3">
        <v>56</v>
      </c>
      <c r="H110" s="3" t="str">
        <f>IFERROR(MID(VLOOKUP($B110,Seqs!$A:$B,2,0),I110,1),"")</f>
        <v>S</v>
      </c>
      <c r="I110" s="23">
        <v>57</v>
      </c>
      <c r="J110" s="3" t="str">
        <f>IFERROR(MID(VLOOKUP($B110,Seqs!$A:$B,2,0),K110,1),"")</f>
        <v>R</v>
      </c>
      <c r="K110" s="23">
        <v>61</v>
      </c>
      <c r="L110" s="3" t="str">
        <f>IFERROR(MID(VLOOKUP($B110,Seqs!$A:$B,2,0),M110,1),"")</f>
        <v>R</v>
      </c>
      <c r="M110" s="3">
        <v>62</v>
      </c>
      <c r="N110" s="3" t="str">
        <f>IFERROR(MID(VLOOKUP($B110,Seqs!$A:$B,2,0),O110,1),"")</f>
        <v>D</v>
      </c>
      <c r="O110" s="3">
        <v>92</v>
      </c>
      <c r="P110" s="3" t="str">
        <f>IFERROR(MID(VLOOKUP($B110,Seqs!$A:$B,2,0),Q110,1),"")</f>
        <v>D</v>
      </c>
      <c r="Q110" s="3">
        <v>94</v>
      </c>
      <c r="R110" s="3" t="str">
        <f>IFERROR(MID(VLOOKUP($B110,Seqs!$A:$B,2,0),S110,1),"")</f>
        <v>F</v>
      </c>
      <c r="S110" s="3">
        <v>97</v>
      </c>
      <c r="T110" s="3" t="str">
        <f>IFERROR(MID(VLOOKUP($B110,Seqs!$A:$B,2,0),U110,1),"")</f>
        <v>G</v>
      </c>
      <c r="U110" s="3">
        <v>98</v>
      </c>
      <c r="V110" s="3" t="str">
        <f>IFERROR(MID(VLOOKUP($B110,Seqs!$A:$B,2,0),W110,1),"")</f>
        <v>R</v>
      </c>
      <c r="W110" s="3">
        <v>133</v>
      </c>
      <c r="X110" s="3" t="str">
        <f>IFERROR(MID(VLOOKUP($B110,Seqs!$A:$B,2,0),Y110,1),"")</f>
        <v>P</v>
      </c>
      <c r="Y110" s="3">
        <v>134</v>
      </c>
      <c r="Z110" s="3" t="str">
        <f>IFERROR(MID(VLOOKUP($B110,Seqs!$A:$B,2,0),AA110,1),"")</f>
        <v>R</v>
      </c>
      <c r="AA110" s="3">
        <v>141</v>
      </c>
      <c r="AB110" s="3" t="str">
        <f>IFERROR(MID(VLOOKUP($B110,Seqs!$A:$B,2,0),AC110,1),"")</f>
        <v>L</v>
      </c>
      <c r="AC110" s="3">
        <v>142</v>
      </c>
      <c r="AD110" s="3" t="str">
        <f>IFERROR(MID(VLOOKUP($B110,Seqs!$A:$B,2,0),AE110,1),"")</f>
        <v>R</v>
      </c>
      <c r="AE110" s="3">
        <v>168</v>
      </c>
      <c r="AF110" s="3" t="str">
        <f>IFERROR(MID(VLOOKUP($B110,Seqs!$A:$B,2,0),AG110,1),"")</f>
        <v>C</v>
      </c>
      <c r="AG110" s="3">
        <v>181</v>
      </c>
      <c r="AH110" s="3" t="str">
        <f>IFERROR(MID(VLOOKUP($B110,Seqs!$A:$B,2,0),AI110,1),"")</f>
        <v>M</v>
      </c>
      <c r="AI110" s="3">
        <v>183</v>
      </c>
      <c r="AJ110" s="3" t="str">
        <f>IFERROR(MID(VLOOKUP($B110,Seqs!$A:$B,2,0),AK110,1),"")</f>
        <v>S</v>
      </c>
      <c r="AK110" s="3">
        <v>193</v>
      </c>
      <c r="AL110" s="3" t="str">
        <f>IFERROR(MID(VLOOKUP($B110,Seqs!$A:$B,2,0),AM110,1),"")</f>
        <v>E</v>
      </c>
      <c r="AM110" s="3">
        <v>235</v>
      </c>
      <c r="AN110" s="3" t="str">
        <f>IFERROR(MID(VLOOKUP($B110,Seqs!$A:$B,2,0),AO110,1),"")</f>
        <v>K</v>
      </c>
      <c r="AO110" s="3">
        <v>242</v>
      </c>
      <c r="AP110" s="3" t="str">
        <f>IFERROR(MID(VLOOKUP($B110,Seqs!$A:$B,2,0),AQ110,1),"")</f>
        <v>L</v>
      </c>
      <c r="AQ110" s="3">
        <v>276</v>
      </c>
      <c r="AR110" s="3" t="str">
        <f>IFERROR(MID(VLOOKUP($B110,Seqs!$A:$B,2,0),AS110,1),"")</f>
        <v>P</v>
      </c>
      <c r="AS110" s="3">
        <v>280</v>
      </c>
      <c r="AT110" s="3" t="str">
        <f>IFERROR(MID(VLOOKUP($B110,Seqs!$A:$B,2,0),AU110,1),"")</f>
        <v>F</v>
      </c>
      <c r="AU110" s="3">
        <v>312</v>
      </c>
      <c r="AV110" s="3" t="str">
        <f>IFERROR(MID(VLOOKUP($B110,Seqs!$A:$B,2,0),AW110,1),"")</f>
        <v>D</v>
      </c>
      <c r="AW110" s="3">
        <v>313</v>
      </c>
      <c r="AX110" s="3" t="str">
        <f>IFERROR(MID(VLOOKUP($B110,Seqs!$A:$B,2,0),AY110,1),"")</f>
        <v>G</v>
      </c>
      <c r="AY110" s="3">
        <v>327</v>
      </c>
      <c r="AZ110" s="77" t="str">
        <f>VLOOKUP(B110,Classification!A:D,2,0)</f>
        <v>A</v>
      </c>
      <c r="BA110" s="94" t="str">
        <f>VLOOKUP(B110,Classification!A:D,4,0)</f>
        <v>Apelin</v>
      </c>
      <c r="BB110" s="27" t="b">
        <f t="shared" si="170"/>
        <v>1</v>
      </c>
      <c r="BC110" s="23">
        <f t="shared" si="171"/>
        <v>268</v>
      </c>
      <c r="BD110" s="2"/>
      <c r="BE110" s="3" t="s">
        <v>23</v>
      </c>
      <c r="BF110" s="119" t="s">
        <v>23</v>
      </c>
      <c r="BG110" s="49" t="s">
        <v>1287</v>
      </c>
      <c r="BH110" s="49" t="s">
        <v>1287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172"/>
        <v>29</v>
      </c>
      <c r="BW110" s="71">
        <f t="shared" si="173"/>
        <v>57</v>
      </c>
      <c r="BX110" s="72">
        <f t="shared" si="174"/>
        <v>62</v>
      </c>
      <c r="BY110" s="71">
        <f t="shared" si="175"/>
        <v>94</v>
      </c>
      <c r="BZ110" s="72">
        <f t="shared" si="176"/>
        <v>98</v>
      </c>
      <c r="CA110" s="71">
        <f t="shared" si="177"/>
        <v>134</v>
      </c>
      <c r="CB110" s="72">
        <f t="shared" si="178"/>
        <v>142</v>
      </c>
      <c r="CC110" s="71">
        <f t="shared" si="179"/>
        <v>181</v>
      </c>
      <c r="CD110" s="72">
        <f t="shared" si="180"/>
        <v>193</v>
      </c>
      <c r="CE110" s="71">
        <f t="shared" si="181"/>
        <v>242</v>
      </c>
      <c r="CF110" s="72">
        <f t="shared" si="182"/>
        <v>280</v>
      </c>
      <c r="CG110" s="71">
        <f t="shared" si="183"/>
        <v>313</v>
      </c>
      <c r="CH110" s="70">
        <f t="shared" si="184"/>
        <v>56</v>
      </c>
      <c r="CI110" s="71">
        <f t="shared" si="185"/>
        <v>61</v>
      </c>
      <c r="CJ110" s="72">
        <f t="shared" si="186"/>
        <v>92</v>
      </c>
      <c r="CK110" s="72">
        <f t="shared" si="187"/>
        <v>97</v>
      </c>
      <c r="CL110" s="72">
        <f t="shared" si="188"/>
        <v>133</v>
      </c>
      <c r="CM110" s="72">
        <f t="shared" si="189"/>
        <v>141</v>
      </c>
      <c r="CN110" s="72">
        <f t="shared" si="190"/>
        <v>168</v>
      </c>
      <c r="CO110" s="72">
        <f t="shared" si="191"/>
        <v>183</v>
      </c>
      <c r="CP110" s="72">
        <f t="shared" si="192"/>
        <v>235</v>
      </c>
      <c r="CQ110" s="72">
        <f t="shared" si="193"/>
        <v>276</v>
      </c>
      <c r="CR110" s="72">
        <f t="shared" si="194"/>
        <v>312</v>
      </c>
      <c r="CS110" s="72">
        <f t="shared" si="195"/>
        <v>327</v>
      </c>
      <c r="CT110" s="23">
        <f t="shared" si="196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169"/>
        <v>apj_human_5VBL</v>
      </c>
      <c r="B111" s="3" t="s">
        <v>160</v>
      </c>
      <c r="C111" s="3" t="s">
        <v>1424</v>
      </c>
      <c r="D111" s="3" t="str">
        <f>IFERROR(MID(VLOOKUP($B111,Seqs!$A:$B,2,0),E111,1),"")</f>
        <v>A</v>
      </c>
      <c r="E111" s="3">
        <v>29</v>
      </c>
      <c r="F111" s="3" t="str">
        <f>IFERROR(MID(VLOOKUP($B111,Seqs!$A:$B,2,0),G111,1),"")</f>
        <v>S</v>
      </c>
      <c r="G111" s="3">
        <v>56</v>
      </c>
      <c r="H111" s="3" t="str">
        <f>IFERROR(MID(VLOOKUP($B111,Seqs!$A:$B,2,0),I111,1),"")</f>
        <v>S</v>
      </c>
      <c r="I111" s="23">
        <v>57</v>
      </c>
      <c r="J111" s="3" t="str">
        <f>IFERROR(MID(VLOOKUP($B111,Seqs!$A:$B,2,0),K111,1),"")</f>
        <v>R</v>
      </c>
      <c r="K111" s="23">
        <v>61</v>
      </c>
      <c r="L111" s="3" t="str">
        <f>IFERROR(MID(VLOOKUP($B111,Seqs!$A:$B,2,0),M111,1),"")</f>
        <v>R</v>
      </c>
      <c r="M111" s="3">
        <v>62</v>
      </c>
      <c r="N111" s="3" t="str">
        <f>IFERROR(MID(VLOOKUP($B111,Seqs!$A:$B,2,0),O111,1),"")</f>
        <v>D</v>
      </c>
      <c r="O111" s="3">
        <v>92</v>
      </c>
      <c r="P111" s="3" t="str">
        <f>IFERROR(MID(VLOOKUP($B111,Seqs!$A:$B,2,0),Q111,1),"")</f>
        <v>D</v>
      </c>
      <c r="Q111" s="3">
        <v>94</v>
      </c>
      <c r="R111" s="3" t="str">
        <f>IFERROR(MID(VLOOKUP($B111,Seqs!$A:$B,2,0),S111,1),"")</f>
        <v>F</v>
      </c>
      <c r="S111" s="3">
        <v>97</v>
      </c>
      <c r="T111" s="3" t="str">
        <f>IFERROR(MID(VLOOKUP($B111,Seqs!$A:$B,2,0),U111,1),"")</f>
        <v>G</v>
      </c>
      <c r="U111" s="3">
        <v>98</v>
      </c>
      <c r="V111" s="3" t="str">
        <f>IFERROR(MID(VLOOKUP($B111,Seqs!$A:$B,2,0),W111,1),"")</f>
        <v>R</v>
      </c>
      <c r="W111" s="3">
        <v>133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R</v>
      </c>
      <c r="AC111" s="3">
        <v>141</v>
      </c>
      <c r="AD111" s="3" t="str">
        <f>IFERROR(MID(VLOOKUP($B111,Seqs!$A:$B,2,0),AE111,1),"")</f>
        <v>R</v>
      </c>
      <c r="AE111" s="3">
        <v>168</v>
      </c>
      <c r="AF111" s="3" t="str">
        <f>IFERROR(MID(VLOOKUP($B111,Seqs!$A:$B,2,0),AG111,1),"")</f>
        <v>C</v>
      </c>
      <c r="AG111" s="3">
        <v>181</v>
      </c>
      <c r="AH111" s="3" t="str">
        <f>IFERROR(MID(VLOOKUP($B111,Seqs!$A:$B,2,0),AI111,1),"")</f>
        <v>M</v>
      </c>
      <c r="AI111" s="3">
        <v>183</v>
      </c>
      <c r="AJ111" s="3" t="str">
        <f>IFERROR(MID(VLOOKUP($B111,Seqs!$A:$B,2,0),AK111,1),"")</f>
        <v>S</v>
      </c>
      <c r="AK111" s="3">
        <v>193</v>
      </c>
      <c r="AL111" s="3" t="str">
        <f>IFERROR(MID(VLOOKUP($B111,Seqs!$A:$B,2,0),AM111,1),"")</f>
        <v>A</v>
      </c>
      <c r="AM111" s="3">
        <v>229</v>
      </c>
      <c r="AN111" s="3" t="str">
        <f>IFERROR(MID(VLOOKUP($B111,Seqs!$A:$B,2,0),AO111,1),"")</f>
        <v>R</v>
      </c>
      <c r="AO111" s="3">
        <v>244</v>
      </c>
      <c r="AP111" s="3" t="str">
        <f>IFERROR(MID(VLOOKUP($B111,Seqs!$A:$B,2,0),AQ111,1),"")</f>
        <v>L</v>
      </c>
      <c r="AQ111" s="3">
        <v>276</v>
      </c>
      <c r="AR111" s="3" t="str">
        <f>IFERROR(MID(VLOOKUP($B111,Seqs!$A:$B,2,0),AS111,1),"")</f>
        <v>P</v>
      </c>
      <c r="AS111" s="3">
        <v>280</v>
      </c>
      <c r="AT111" s="3" t="str">
        <f>IFERROR(MID(VLOOKUP($B111,Seqs!$A:$B,2,0),AU111,1),"")</f>
        <v>F</v>
      </c>
      <c r="AU111" s="3">
        <v>312</v>
      </c>
      <c r="AV111" s="3" t="str">
        <f>IFERROR(MID(VLOOKUP($B111,Seqs!$A:$B,2,0),AW111,1),"")</f>
        <v>D</v>
      </c>
      <c r="AW111" s="3">
        <v>313</v>
      </c>
      <c r="AX111" s="3" t="str">
        <f>IFERROR(MID(VLOOKUP($B111,Seqs!$A:$B,2,0),AY111,1),"")</f>
        <v>G</v>
      </c>
      <c r="AY111" s="3">
        <v>327</v>
      </c>
      <c r="AZ111" s="77" t="str">
        <f>VLOOKUP(B111,Classification!A:D,2,0)</f>
        <v>A</v>
      </c>
      <c r="BA111" s="94" t="str">
        <f>VLOOKUP(B111,Classification!A:D,4,0)</f>
        <v>Apelin</v>
      </c>
      <c r="BB111" s="27" t="b">
        <f t="shared" si="170"/>
        <v>1</v>
      </c>
      <c r="BC111" s="23">
        <f t="shared" si="171"/>
        <v>254</v>
      </c>
      <c r="BD111" s="2" t="s">
        <v>1383</v>
      </c>
      <c r="BE111" s="3" t="s">
        <v>1381</v>
      </c>
      <c r="BF111" s="119">
        <v>2.6</v>
      </c>
      <c r="BG111" s="49" t="s">
        <v>1287</v>
      </c>
      <c r="BH111" s="49" t="s">
        <v>1287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172"/>
        <v>29</v>
      </c>
      <c r="BW111" s="71">
        <f t="shared" si="173"/>
        <v>57</v>
      </c>
      <c r="BX111" s="72">
        <f t="shared" si="174"/>
        <v>62</v>
      </c>
      <c r="BY111" s="71">
        <f t="shared" si="175"/>
        <v>94</v>
      </c>
      <c r="BZ111" s="72">
        <f t="shared" si="176"/>
        <v>98</v>
      </c>
      <c r="CA111" s="71" t="str">
        <f t="shared" si="177"/>
        <v>-</v>
      </c>
      <c r="CB111" s="72">
        <f t="shared" si="178"/>
        <v>141</v>
      </c>
      <c r="CC111" s="71">
        <f t="shared" si="179"/>
        <v>181</v>
      </c>
      <c r="CD111" s="72">
        <f t="shared" si="180"/>
        <v>193</v>
      </c>
      <c r="CE111" s="71">
        <f t="shared" si="181"/>
        <v>244</v>
      </c>
      <c r="CF111" s="72">
        <f t="shared" si="182"/>
        <v>280</v>
      </c>
      <c r="CG111" s="71">
        <f t="shared" si="183"/>
        <v>313</v>
      </c>
      <c r="CH111" s="70">
        <f t="shared" si="184"/>
        <v>56</v>
      </c>
      <c r="CI111" s="71">
        <f t="shared" si="185"/>
        <v>61</v>
      </c>
      <c r="CJ111" s="72">
        <f t="shared" si="186"/>
        <v>92</v>
      </c>
      <c r="CK111" s="72">
        <f t="shared" si="187"/>
        <v>97</v>
      </c>
      <c r="CL111" s="72">
        <f t="shared" si="188"/>
        <v>133</v>
      </c>
      <c r="CM111" s="72" t="str">
        <f t="shared" si="189"/>
        <v>-</v>
      </c>
      <c r="CN111" s="72">
        <f t="shared" si="190"/>
        <v>168</v>
      </c>
      <c r="CO111" s="72">
        <f t="shared" si="191"/>
        <v>183</v>
      </c>
      <c r="CP111" s="72">
        <f t="shared" si="192"/>
        <v>229</v>
      </c>
      <c r="CQ111" s="72">
        <f t="shared" si="193"/>
        <v>276</v>
      </c>
      <c r="CR111" s="72">
        <f t="shared" si="194"/>
        <v>312</v>
      </c>
      <c r="CS111" s="72">
        <f t="shared" si="195"/>
        <v>327</v>
      </c>
      <c r="CT111" s="23">
        <f t="shared" si="196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169"/>
        <v>c5ar1_human__wt</v>
      </c>
      <c r="B112" s="3" t="s">
        <v>165</v>
      </c>
      <c r="C112" s="3" t="s">
        <v>100</v>
      </c>
      <c r="D112" s="3" t="str">
        <f>IFERROR(MID(VLOOKUP($B112,Seqs!$A:$B,2,0),E112,1),"")</f>
        <v>R</v>
      </c>
      <c r="E112" s="3">
        <v>34</v>
      </c>
      <c r="F112" s="3" t="str">
        <f>IFERROR(MID(VLOOKUP($B112,Seqs!$A:$B,2,0),G112,1),"")</f>
        <v>E</v>
      </c>
      <c r="G112" s="3">
        <v>65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T</v>
      </c>
      <c r="M112" s="3">
        <v>69</v>
      </c>
      <c r="N112" s="3" t="str">
        <f>IFERROR(MID(VLOOKUP($B112,Seqs!$A:$B,2,0),O112,1),"")</f>
        <v>H</v>
      </c>
      <c r="O112" s="3">
        <v>99</v>
      </c>
      <c r="P112" s="3" t="str">
        <f>IFERROR(MID(VLOOKUP($B112,Seqs!$A:$B,2,0),Q112,1),"")</f>
        <v>H</v>
      </c>
      <c r="Q112" s="3">
        <v>101</v>
      </c>
      <c r="R112" s="3" t="str">
        <f>IFERROR(MID(VLOOKUP($B112,Seqs!$A:$B,2,0),S112,1),"")</f>
        <v>F</v>
      </c>
      <c r="S112" s="3">
        <v>104</v>
      </c>
      <c r="T112" s="3" t="str">
        <f>IFERROR(MID(VLOOKUP($B112,Seqs!$A:$B,2,0),U112,1),"")</f>
        <v>G</v>
      </c>
      <c r="U112" s="3">
        <v>105</v>
      </c>
      <c r="V112" s="3" t="str">
        <f>IFERROR(MID(VLOOKUP($B112,Seqs!$A:$B,2,0),W112,1),"")</f>
        <v>K</v>
      </c>
      <c r="W112" s="3">
        <v>140</v>
      </c>
      <c r="X112" s="3" t="str">
        <f>IFERROR(MID(VLOOKUP($B112,Seqs!$A:$B,2,0),Y112,1),"")</f>
        <v>P</v>
      </c>
      <c r="Y112" s="3">
        <v>141</v>
      </c>
      <c r="Z112" s="3" t="str">
        <f>IFERROR(MID(VLOOKUP($B112,Seqs!$A:$B,2,0),AA112,1),"")</f>
        <v>R</v>
      </c>
      <c r="AA112" s="3">
        <v>148</v>
      </c>
      <c r="AB112" s="3" t="str">
        <f>IFERROR(MID(VLOOKUP($B112,Seqs!$A:$B,2,0),AC112,1),"")</f>
        <v>G</v>
      </c>
      <c r="AC112" s="3">
        <v>149</v>
      </c>
      <c r="AD112" s="3" t="str">
        <f>IFERROR(MID(VLOOKUP($B112,Seqs!$A:$B,2,0),AE112,1),"")</f>
        <v>R</v>
      </c>
      <c r="AE112" s="3">
        <v>175</v>
      </c>
      <c r="AF112" s="3" t="str">
        <f>IFERROR(MID(VLOOKUP($B112,Seqs!$A:$B,2,0),AG112,1),"")</f>
        <v>C</v>
      </c>
      <c r="AG112" s="3">
        <v>188</v>
      </c>
      <c r="AH112" s="3" t="str">
        <f>IFERROR(MID(VLOOKUP($B112,Seqs!$A:$B,2,0),AI112,1),"")</f>
        <v>V</v>
      </c>
      <c r="AI112" s="3">
        <v>190</v>
      </c>
      <c r="AJ112" s="3" t="str">
        <f>IFERROR(MID(VLOOKUP($B112,Seqs!$A:$B,2,0),AK112,1),"")</f>
        <v>D</v>
      </c>
      <c r="AK112" s="3">
        <v>195</v>
      </c>
      <c r="AL112" s="3" t="str">
        <f>IFERROR(MID(VLOOKUP($B112,Seqs!$A:$B,2,0),AM112,1),"")</f>
        <v>R</v>
      </c>
      <c r="AM112" s="3">
        <v>232</v>
      </c>
      <c r="AN112" s="3" t="str">
        <f>IFERROR(MID(VLOOKUP($B112,Seqs!$A:$B,2,0),AO112,1),"")</f>
        <v>T</v>
      </c>
      <c r="AO112" s="3">
        <v>238</v>
      </c>
      <c r="AP112" s="3" t="str">
        <f>IFERROR(MID(VLOOKUP($B112,Seqs!$A:$B,2,0),AQ112,1),"")</f>
        <v>L</v>
      </c>
      <c r="AQ112" s="3">
        <v>268</v>
      </c>
      <c r="AR112" s="3" t="str">
        <f>IFERROR(MID(VLOOKUP($B112,Seqs!$A:$B,2,0),AS112,1),"")</f>
        <v>S</v>
      </c>
      <c r="AS112" s="3">
        <v>272</v>
      </c>
      <c r="AT112" s="3" t="str">
        <f>IFERROR(MID(VLOOKUP($B112,Seqs!$A:$B,2,0),AU112,1),"")</f>
        <v>A</v>
      </c>
      <c r="AU112" s="3">
        <v>303</v>
      </c>
      <c r="AV112" s="3" t="str">
        <f>IFERROR(MID(VLOOKUP($B112,Seqs!$A:$B,2,0),AW112,1),"")</f>
        <v>G</v>
      </c>
      <c r="AW112" s="3">
        <v>304</v>
      </c>
      <c r="AX112" s="3" t="str">
        <f>IFERROR(MID(VLOOKUP($B112,Seqs!$A:$B,2,0),AY112,1),"")</f>
        <v>K</v>
      </c>
      <c r="AY112" s="3">
        <v>313</v>
      </c>
      <c r="AZ112" s="77" t="str">
        <f>VLOOKUP(B112,Classification!A:D,2,0)</f>
        <v>A</v>
      </c>
      <c r="BA112" s="94" t="str">
        <f>VLOOKUP(B112,Classification!A:D,4,0)</f>
        <v>Complementpeptide</v>
      </c>
      <c r="BB112" s="27" t="b">
        <f t="shared" si="170"/>
        <v>1</v>
      </c>
      <c r="BC112" s="23">
        <f t="shared" si="171"/>
        <v>253</v>
      </c>
      <c r="BD112" s="2" t="s">
        <v>23</v>
      </c>
      <c r="BE112" s="3" t="s">
        <v>1381</v>
      </c>
      <c r="BF112" s="119" t="s">
        <v>23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172"/>
        <v>34</v>
      </c>
      <c r="BW112" s="71" t="str">
        <f t="shared" si="173"/>
        <v>-</v>
      </c>
      <c r="BX112" s="72">
        <f t="shared" si="174"/>
        <v>69</v>
      </c>
      <c r="BY112" s="71">
        <f t="shared" si="175"/>
        <v>101</v>
      </c>
      <c r="BZ112" s="72">
        <f t="shared" si="176"/>
        <v>105</v>
      </c>
      <c r="CA112" s="71">
        <f t="shared" si="177"/>
        <v>141</v>
      </c>
      <c r="CB112" s="72">
        <f t="shared" si="178"/>
        <v>149</v>
      </c>
      <c r="CC112" s="71">
        <f t="shared" si="179"/>
        <v>188</v>
      </c>
      <c r="CD112" s="72">
        <f t="shared" si="180"/>
        <v>195</v>
      </c>
      <c r="CE112" s="71">
        <f t="shared" si="181"/>
        <v>238</v>
      </c>
      <c r="CF112" s="72">
        <f t="shared" si="182"/>
        <v>272</v>
      </c>
      <c r="CG112" s="71">
        <f t="shared" si="183"/>
        <v>304</v>
      </c>
      <c r="CH112" s="70">
        <f t="shared" si="184"/>
        <v>65</v>
      </c>
      <c r="CI112" s="71" t="str">
        <f t="shared" si="185"/>
        <v>-</v>
      </c>
      <c r="CJ112" s="72">
        <f t="shared" si="186"/>
        <v>99</v>
      </c>
      <c r="CK112" s="72">
        <f t="shared" si="187"/>
        <v>104</v>
      </c>
      <c r="CL112" s="72">
        <f t="shared" si="188"/>
        <v>140</v>
      </c>
      <c r="CM112" s="72">
        <f t="shared" si="189"/>
        <v>148</v>
      </c>
      <c r="CN112" s="72">
        <f t="shared" si="190"/>
        <v>175</v>
      </c>
      <c r="CO112" s="72">
        <f t="shared" si="191"/>
        <v>190</v>
      </c>
      <c r="CP112" s="72">
        <f t="shared" si="192"/>
        <v>232</v>
      </c>
      <c r="CQ112" s="72">
        <f t="shared" si="193"/>
        <v>268</v>
      </c>
      <c r="CR112" s="72">
        <f t="shared" si="194"/>
        <v>303</v>
      </c>
      <c r="CS112" s="72">
        <f t="shared" si="195"/>
        <v>313</v>
      </c>
      <c r="CT112" s="23" t="e">
        <f t="shared" si="196"/>
        <v>#VALUE!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30" x14ac:dyDescent="0.2">
      <c r="A113" s="3" t="str">
        <f t="shared" si="169"/>
        <v>c5ar1_human_5O9H</v>
      </c>
      <c r="B113" s="3" t="s">
        <v>165</v>
      </c>
      <c r="C113" s="3" t="s">
        <v>1492</v>
      </c>
      <c r="D113" s="3" t="str">
        <f>IFERROR(MID(VLOOKUP($B113,Seqs!$A:$B,2,0),E113,1),"")</f>
        <v>R</v>
      </c>
      <c r="E113" s="3">
        <v>34</v>
      </c>
      <c r="F113" s="3" t="str">
        <f>IFERROR(MID(VLOOKUP($B113,Seqs!$A:$B,2,0),G113,1),"")</f>
        <v>E</v>
      </c>
      <c r="G113" s="3">
        <v>65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T</v>
      </c>
      <c r="M113" s="3">
        <v>69</v>
      </c>
      <c r="N113" s="3" t="str">
        <f>IFERROR(MID(VLOOKUP($B113,Seqs!$A:$B,2,0),O113,1),"")</f>
        <v>H</v>
      </c>
      <c r="O113" s="3">
        <v>99</v>
      </c>
      <c r="P113" s="3" t="str">
        <f>IFERROR(MID(VLOOKUP($B113,Seqs!$A:$B,2,0),Q113,1),"")</f>
        <v>H</v>
      </c>
      <c r="Q113" s="3">
        <v>101</v>
      </c>
      <c r="R113" s="3" t="str">
        <f>IFERROR(MID(VLOOKUP($B113,Seqs!$A:$B,2,0),S113,1),"")</f>
        <v>F</v>
      </c>
      <c r="S113" s="3">
        <v>104</v>
      </c>
      <c r="T113" s="3" t="str">
        <f>IFERROR(MID(VLOOKUP($B113,Seqs!$A:$B,2,0),U113,1),"")</f>
        <v>G</v>
      </c>
      <c r="U113" s="3">
        <v>105</v>
      </c>
      <c r="V113" s="3" t="str">
        <f>IFERROR(MID(VLOOKUP($B113,Seqs!$A:$B,2,0),W113,1),"")</f>
        <v>K</v>
      </c>
      <c r="W113" s="3">
        <v>140</v>
      </c>
      <c r="X113" s="3" t="str">
        <f>IFERROR(MID(VLOOKUP($B113,Seqs!$A:$B,2,0),Y113,1),"")</f>
        <v>P</v>
      </c>
      <c r="Y113" s="3">
        <v>141</v>
      </c>
      <c r="Z113" s="3" t="str">
        <f>IFERROR(MID(VLOOKUP($B113,Seqs!$A:$B,2,0),AA113,1),"")</f>
        <v>R</v>
      </c>
      <c r="AA113" s="3">
        <v>148</v>
      </c>
      <c r="AB113" s="3" t="str">
        <f>IFERROR(MID(VLOOKUP($B113,Seqs!$A:$B,2,0),AC113,1),"")</f>
        <v>G</v>
      </c>
      <c r="AC113" s="3">
        <v>149</v>
      </c>
      <c r="AD113" s="3" t="str">
        <f>IFERROR(MID(VLOOKUP($B113,Seqs!$A:$B,2,0),AE113,1),"")</f>
        <v>R</v>
      </c>
      <c r="AE113" s="3">
        <v>175</v>
      </c>
      <c r="AF113" s="3" t="str">
        <f>IFERROR(MID(VLOOKUP($B113,Seqs!$A:$B,2,0),AG113,1),"")</f>
        <v>C</v>
      </c>
      <c r="AG113" s="3">
        <v>188</v>
      </c>
      <c r="AH113" s="3" t="str">
        <f>IFERROR(MID(VLOOKUP($B113,Seqs!$A:$B,2,0),AI113,1),"")</f>
        <v>V</v>
      </c>
      <c r="AI113" s="3">
        <v>190</v>
      </c>
      <c r="AJ113" s="3" t="str">
        <f>IFERROR(MID(VLOOKUP($B113,Seqs!$A:$B,2,0),AK113,1),"")</f>
        <v>D</v>
      </c>
      <c r="AK113" s="3">
        <v>195</v>
      </c>
      <c r="AL113" s="3" t="str">
        <f>IFERROR(MID(VLOOKUP($B113,Seqs!$A:$B,2,0),AM113,1),"")</f>
        <v>R</v>
      </c>
      <c r="AM113" s="3">
        <v>232</v>
      </c>
      <c r="AN113" s="3" t="str">
        <f>IFERROR(MID(VLOOKUP($B113,Seqs!$A:$B,2,0),AO113,1),"")</f>
        <v>T</v>
      </c>
      <c r="AO113" s="3">
        <v>238</v>
      </c>
      <c r="AP113" s="3" t="str">
        <f>IFERROR(MID(VLOOKUP($B113,Seqs!$A:$B,2,0),AQ113,1),"")</f>
        <v>L</v>
      </c>
      <c r="AQ113" s="3">
        <v>268</v>
      </c>
      <c r="AR113" s="3" t="str">
        <f>IFERROR(MID(VLOOKUP($B113,Seqs!$A:$B,2,0),AS113,1),"")</f>
        <v>S</v>
      </c>
      <c r="AS113" s="3">
        <v>272</v>
      </c>
      <c r="AT113" s="3" t="str">
        <f>IFERROR(MID(VLOOKUP($B113,Seqs!$A:$B,2,0),AU113,1),"")</f>
        <v>F</v>
      </c>
      <c r="AU113" s="3">
        <v>307</v>
      </c>
      <c r="AV113" s="3" t="str">
        <f>IFERROR(MID(VLOOKUP($B113,Seqs!$A:$B,2,0),AW113,1),"")</f>
        <v/>
      </c>
      <c r="AW113" s="3" t="s">
        <v>23</v>
      </c>
      <c r="AX113" s="3" t="str">
        <f>IFERROR(MID(VLOOKUP($B113,Seqs!$A:$B,2,0),AY113,1),"")</f>
        <v/>
      </c>
      <c r="AY113" s="3" t="s">
        <v>23</v>
      </c>
      <c r="AZ113" s="77" t="str">
        <f>VLOOKUP(B113,Classification!A:D,2,0)</f>
        <v>A</v>
      </c>
      <c r="BA113" s="94" t="str">
        <f>VLOOKUP(B113,Classification!A:D,4,0)</f>
        <v>Complementpeptide</v>
      </c>
      <c r="BB113" s="27" t="b">
        <f t="shared" si="170"/>
        <v>1</v>
      </c>
      <c r="BC113" s="23">
        <f t="shared" si="171"/>
        <v>248</v>
      </c>
      <c r="BD113" s="2" t="s">
        <v>1383</v>
      </c>
      <c r="BE113" s="3" t="s">
        <v>1381</v>
      </c>
      <c r="BF113" s="119">
        <v>2.7</v>
      </c>
      <c r="BG113" s="49" t="s">
        <v>1</v>
      </c>
      <c r="BH113" s="49" t="s">
        <v>1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172"/>
        <v>34</v>
      </c>
      <c r="BW113" s="71" t="str">
        <f t="shared" si="173"/>
        <v>-</v>
      </c>
      <c r="BX113" s="72">
        <f t="shared" si="174"/>
        <v>69</v>
      </c>
      <c r="BY113" s="71">
        <f t="shared" si="175"/>
        <v>101</v>
      </c>
      <c r="BZ113" s="72">
        <f t="shared" si="176"/>
        <v>105</v>
      </c>
      <c r="CA113" s="71">
        <f t="shared" si="177"/>
        <v>141</v>
      </c>
      <c r="CB113" s="72">
        <f t="shared" si="178"/>
        <v>149</v>
      </c>
      <c r="CC113" s="71">
        <f t="shared" si="179"/>
        <v>188</v>
      </c>
      <c r="CD113" s="72">
        <f t="shared" si="180"/>
        <v>195</v>
      </c>
      <c r="CE113" s="71">
        <f t="shared" si="181"/>
        <v>238</v>
      </c>
      <c r="CF113" s="72">
        <f t="shared" si="182"/>
        <v>272</v>
      </c>
      <c r="CG113" s="71" t="str">
        <f t="shared" si="183"/>
        <v>-</v>
      </c>
      <c r="CH113" s="70">
        <f t="shared" si="184"/>
        <v>65</v>
      </c>
      <c r="CI113" s="71" t="str">
        <f t="shared" si="185"/>
        <v>-</v>
      </c>
      <c r="CJ113" s="72">
        <f t="shared" si="186"/>
        <v>99</v>
      </c>
      <c r="CK113" s="72">
        <f t="shared" si="187"/>
        <v>104</v>
      </c>
      <c r="CL113" s="72">
        <f t="shared" si="188"/>
        <v>140</v>
      </c>
      <c r="CM113" s="72">
        <f t="shared" si="189"/>
        <v>148</v>
      </c>
      <c r="CN113" s="72">
        <f t="shared" si="190"/>
        <v>175</v>
      </c>
      <c r="CO113" s="72">
        <f t="shared" si="191"/>
        <v>190</v>
      </c>
      <c r="CP113" s="72">
        <f t="shared" si="192"/>
        <v>232</v>
      </c>
      <c r="CQ113" s="72">
        <f t="shared" si="193"/>
        <v>268</v>
      </c>
      <c r="CR113" s="72">
        <f t="shared" si="194"/>
        <v>307</v>
      </c>
      <c r="CS113" s="72" t="str">
        <f t="shared" si="195"/>
        <v>-</v>
      </c>
      <c r="CT113" s="23" t="e">
        <f t="shared" si="196"/>
        <v>#VALUE!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30" s="12" customFormat="1" x14ac:dyDescent="0.2">
      <c r="A114" s="9" t="str">
        <f t="shared" si="169"/>
        <v>c5ar1_human_6C1Q</v>
      </c>
      <c r="B114" s="9" t="s">
        <v>165</v>
      </c>
      <c r="C114" s="9" t="s">
        <v>1514</v>
      </c>
      <c r="D114" s="9" t="str">
        <f>IFERROR(MID(VLOOKUP($B114,Seqs!$A:$B,2,0),E114,1),"")</f>
        <v>R</v>
      </c>
      <c r="E114" s="9">
        <v>34</v>
      </c>
      <c r="F114" s="9" t="str">
        <f>IFERROR(MID(VLOOKUP($B114,Seqs!$A:$B,2,0),G114,1),"")</f>
        <v>E</v>
      </c>
      <c r="G114" s="9">
        <v>65</v>
      </c>
      <c r="H114" s="9" t="str">
        <f>IFERROR(MID(VLOOKUP($B114,Seqs!$A:$B,2,0),I114,1),"")</f>
        <v/>
      </c>
      <c r="I114" s="109" t="s">
        <v>23</v>
      </c>
      <c r="J114" s="9" t="str">
        <f>IFERROR(MID(VLOOKUP($B114,Seqs!$A:$B,2,0),K114,1),"")</f>
        <v/>
      </c>
      <c r="K114" s="109" t="s">
        <v>23</v>
      </c>
      <c r="L114" s="9" t="str">
        <f>IFERROR(MID(VLOOKUP($B114,Seqs!$A:$B,2,0),M114,1),"")</f>
        <v>T</v>
      </c>
      <c r="M114" s="9">
        <v>69</v>
      </c>
      <c r="N114" s="9" t="str">
        <f>IFERROR(MID(VLOOKUP($B114,Seqs!$A:$B,2,0),O114,1),"")</f>
        <v>H</v>
      </c>
      <c r="O114" s="9">
        <v>99</v>
      </c>
      <c r="P114" s="9" t="str">
        <f>IFERROR(MID(VLOOKUP($B114,Seqs!$A:$B,2,0),Q114,1),"")</f>
        <v>H</v>
      </c>
      <c r="Q114" s="9">
        <v>101</v>
      </c>
      <c r="R114" s="9" t="str">
        <f>IFERROR(MID(VLOOKUP($B114,Seqs!$A:$B,2,0),S114,1),"")</f>
        <v>F</v>
      </c>
      <c r="S114" s="9">
        <v>104</v>
      </c>
      <c r="T114" s="9" t="str">
        <f>IFERROR(MID(VLOOKUP($B114,Seqs!$A:$B,2,0),U114,1),"")</f>
        <v>G</v>
      </c>
      <c r="U114" s="9">
        <v>105</v>
      </c>
      <c r="V114" s="9" t="str">
        <f>IFERROR(MID(VLOOKUP($B114,Seqs!$A:$B,2,0),W114,1),"")</f>
        <v>K</v>
      </c>
      <c r="W114" s="9">
        <v>140</v>
      </c>
      <c r="X114" s="9" t="str">
        <f>IFERROR(MID(VLOOKUP($B114,Seqs!$A:$B,2,0),Y114,1),"")</f>
        <v>P</v>
      </c>
      <c r="Y114" s="9">
        <v>141</v>
      </c>
      <c r="Z114" s="9" t="str">
        <f>IFERROR(MID(VLOOKUP($B114,Seqs!$A:$B,2,0),AA114,1),"")</f>
        <v>R</v>
      </c>
      <c r="AA114" s="9">
        <v>148</v>
      </c>
      <c r="AB114" s="9" t="str">
        <f>IFERROR(MID(VLOOKUP($B114,Seqs!$A:$B,2,0),AC114,1),"")</f>
        <v>G</v>
      </c>
      <c r="AC114" s="9">
        <v>149</v>
      </c>
      <c r="AD114" s="9" t="str">
        <f>IFERROR(MID(VLOOKUP($B114,Seqs!$A:$B,2,0),AE114,1),"")</f>
        <v>R</v>
      </c>
      <c r="AE114" s="9">
        <v>175</v>
      </c>
      <c r="AF114" s="9" t="str">
        <f>IFERROR(MID(VLOOKUP($B114,Seqs!$A:$B,2,0),AG114,1),"")</f>
        <v>C</v>
      </c>
      <c r="AG114" s="9">
        <v>188</v>
      </c>
      <c r="AH114" s="9" t="str">
        <f>IFERROR(MID(VLOOKUP($B114,Seqs!$A:$B,2,0),AI114,1),"")</f>
        <v>V</v>
      </c>
      <c r="AI114" s="9">
        <v>190</v>
      </c>
      <c r="AJ114" s="9" t="str">
        <f>IFERROR(MID(VLOOKUP($B114,Seqs!$A:$B,2,0),AK114,1),"")</f>
        <v>D</v>
      </c>
      <c r="AK114" s="9">
        <v>195</v>
      </c>
      <c r="AL114" s="9" t="str">
        <f>IFERROR(MID(VLOOKUP($B114,Seqs!$A:$B,2,0),AM114,1),"")</f>
        <v>R</v>
      </c>
      <c r="AM114" s="9">
        <v>232</v>
      </c>
      <c r="AN114" s="9" t="str">
        <f>IFERROR(MID(VLOOKUP($B114,Seqs!$A:$B,2,0),AO114,1),"")</f>
        <v>S</v>
      </c>
      <c r="AO114" s="9">
        <v>237</v>
      </c>
      <c r="AP114" s="9" t="str">
        <f>IFERROR(MID(VLOOKUP($B114,Seqs!$A:$B,2,0),AQ114,1),"")</f>
        <v>E</v>
      </c>
      <c r="AQ114" s="9">
        <v>269</v>
      </c>
      <c r="AR114" s="9" t="str">
        <f>IFERROR(MID(VLOOKUP($B114,Seqs!$A:$B,2,0),AS114,1),"")</f>
        <v>P</v>
      </c>
      <c r="AS114" s="9">
        <v>273</v>
      </c>
      <c r="AT114" s="9" t="str">
        <f>IFERROR(MID(VLOOKUP($B114,Seqs!$A:$B,2,0),AU114,1),"")</f>
        <v>Q</v>
      </c>
      <c r="AU114" s="9">
        <v>308</v>
      </c>
      <c r="AV114" s="9" t="str">
        <f>IFERROR(MID(VLOOKUP($B114,Seqs!$A:$B,2,0),AW114,1),"")</f>
        <v/>
      </c>
      <c r="AW114" s="9" t="s">
        <v>23</v>
      </c>
      <c r="AX114" s="9" t="str">
        <f>IFERROR(MID(VLOOKUP($B114,Seqs!$A:$B,2,0),AY114,1),"")</f>
        <v/>
      </c>
      <c r="AY114" s="9" t="s">
        <v>23</v>
      </c>
      <c r="AZ114" s="110" t="str">
        <f>VLOOKUP(B114,Classification!A:D,2,0)</f>
        <v>A</v>
      </c>
      <c r="BA114" s="98" t="str">
        <f>VLOOKUP(B114,Classification!A:D,4,0)</f>
        <v>Complementpeptide</v>
      </c>
      <c r="BB114" s="36" t="b">
        <f t="shared" si="170"/>
        <v>1</v>
      </c>
      <c r="BC114" s="109">
        <f t="shared" si="171"/>
        <v>250</v>
      </c>
      <c r="BD114" s="40" t="s">
        <v>23</v>
      </c>
      <c r="BE114" s="9" t="s">
        <v>1381</v>
      </c>
      <c r="BF114" s="120">
        <v>2.9</v>
      </c>
      <c r="BG114" s="51" t="s">
        <v>1287</v>
      </c>
      <c r="BH114" s="51" t="s">
        <v>1287</v>
      </c>
      <c r="BJ114" s="111" t="s">
        <v>1293</v>
      </c>
      <c r="BK114" s="112" t="s">
        <v>1293</v>
      </c>
      <c r="BL114" s="112" t="s">
        <v>1293</v>
      </c>
      <c r="BM114" s="112" t="s">
        <v>1293</v>
      </c>
      <c r="BN114" s="112" t="s">
        <v>1293</v>
      </c>
      <c r="BO114" s="112" t="s">
        <v>1293</v>
      </c>
      <c r="BP114" s="112" t="s">
        <v>1293</v>
      </c>
      <c r="BQ114" s="112" t="s">
        <v>1293</v>
      </c>
      <c r="BR114" s="112" t="s">
        <v>1293</v>
      </c>
      <c r="BS114" s="112" t="s">
        <v>1293</v>
      </c>
      <c r="BT114" s="112" t="s">
        <v>1293</v>
      </c>
      <c r="BU114" s="112" t="s">
        <v>1293</v>
      </c>
      <c r="BV114" s="111">
        <f t="shared" si="172"/>
        <v>34</v>
      </c>
      <c r="BW114" s="113" t="str">
        <f t="shared" si="173"/>
        <v>-</v>
      </c>
      <c r="BX114" s="114">
        <f t="shared" si="174"/>
        <v>69</v>
      </c>
      <c r="BY114" s="113">
        <f t="shared" si="175"/>
        <v>101</v>
      </c>
      <c r="BZ114" s="114">
        <f t="shared" si="176"/>
        <v>105</v>
      </c>
      <c r="CA114" s="113">
        <f t="shared" si="177"/>
        <v>141</v>
      </c>
      <c r="CB114" s="114">
        <f t="shared" si="178"/>
        <v>149</v>
      </c>
      <c r="CC114" s="113">
        <f t="shared" si="179"/>
        <v>188</v>
      </c>
      <c r="CD114" s="114">
        <f t="shared" si="180"/>
        <v>195</v>
      </c>
      <c r="CE114" s="113">
        <f t="shared" si="181"/>
        <v>237</v>
      </c>
      <c r="CF114" s="114">
        <f t="shared" si="182"/>
        <v>273</v>
      </c>
      <c r="CG114" s="113" t="str">
        <f t="shared" si="183"/>
        <v>-</v>
      </c>
      <c r="CH114" s="111">
        <f t="shared" si="184"/>
        <v>65</v>
      </c>
      <c r="CI114" s="113" t="str">
        <f t="shared" si="185"/>
        <v>-</v>
      </c>
      <c r="CJ114" s="114">
        <f t="shared" si="186"/>
        <v>99</v>
      </c>
      <c r="CK114" s="114">
        <f t="shared" si="187"/>
        <v>104</v>
      </c>
      <c r="CL114" s="114">
        <f t="shared" si="188"/>
        <v>140</v>
      </c>
      <c r="CM114" s="114">
        <f t="shared" si="189"/>
        <v>148</v>
      </c>
      <c r="CN114" s="114">
        <f t="shared" si="190"/>
        <v>175</v>
      </c>
      <c r="CO114" s="114">
        <f t="shared" si="191"/>
        <v>190</v>
      </c>
      <c r="CP114" s="114">
        <f t="shared" si="192"/>
        <v>232</v>
      </c>
      <c r="CQ114" s="114">
        <f t="shared" si="193"/>
        <v>269</v>
      </c>
      <c r="CR114" s="114">
        <f t="shared" si="194"/>
        <v>308</v>
      </c>
      <c r="CS114" s="114" t="str">
        <f t="shared" si="195"/>
        <v>-</v>
      </c>
      <c r="CT114" s="109" t="e">
        <f t="shared" si="196"/>
        <v>#VALUE!</v>
      </c>
    </row>
    <row r="115" spans="1:1030" s="12" customFormat="1" x14ac:dyDescent="0.2">
      <c r="A115" s="9" t="str">
        <f t="shared" si="169"/>
        <v>c5ar1_human_6C1R</v>
      </c>
      <c r="B115" s="9" t="s">
        <v>165</v>
      </c>
      <c r="C115" s="9" t="s">
        <v>1515</v>
      </c>
      <c r="D115" s="9" t="str">
        <f>IFERROR(MID(VLOOKUP($B115,Seqs!$A:$B,2,0),E115,1),"")</f>
        <v>R</v>
      </c>
      <c r="E115" s="9">
        <v>34</v>
      </c>
      <c r="F115" s="9" t="str">
        <f>IFERROR(MID(VLOOKUP($B115,Seqs!$A:$B,2,0),G115,1),"")</f>
        <v>E</v>
      </c>
      <c r="G115" s="9">
        <v>65</v>
      </c>
      <c r="H115" s="9" t="str">
        <f>IFERROR(MID(VLOOKUP($B115,Seqs!$A:$B,2,0),I115,1),"")</f>
        <v/>
      </c>
      <c r="I115" s="109" t="s">
        <v>23</v>
      </c>
      <c r="J115" s="9" t="str">
        <f>IFERROR(MID(VLOOKUP($B115,Seqs!$A:$B,2,0),K115,1),"")</f>
        <v/>
      </c>
      <c r="K115" s="109" t="s">
        <v>23</v>
      </c>
      <c r="L115" s="9" t="str">
        <f>IFERROR(MID(VLOOKUP($B115,Seqs!$A:$B,2,0),M115,1),"")</f>
        <v>T</v>
      </c>
      <c r="M115" s="9">
        <v>69</v>
      </c>
      <c r="N115" s="9" t="str">
        <f>IFERROR(MID(VLOOKUP($B115,Seqs!$A:$B,2,0),O115,1),"")</f>
        <v>H</v>
      </c>
      <c r="O115" s="9">
        <v>99</v>
      </c>
      <c r="P115" s="9" t="str">
        <f>IFERROR(MID(VLOOKUP($B115,Seqs!$A:$B,2,0),Q115,1),"")</f>
        <v>H</v>
      </c>
      <c r="Q115" s="9">
        <v>101</v>
      </c>
      <c r="R115" s="9" t="str">
        <f>IFERROR(MID(VLOOKUP($B115,Seqs!$A:$B,2,0),S115,1),"")</f>
        <v>F</v>
      </c>
      <c r="S115" s="9">
        <v>104</v>
      </c>
      <c r="T115" s="9" t="str">
        <f>IFERROR(MID(VLOOKUP($B115,Seqs!$A:$B,2,0),U115,1),"")</f>
        <v>G</v>
      </c>
      <c r="U115" s="9">
        <v>105</v>
      </c>
      <c r="V115" s="9" t="str">
        <f>IFERROR(MID(VLOOKUP($B115,Seqs!$A:$B,2,0),W115,1),"")</f>
        <v>K</v>
      </c>
      <c r="W115" s="9">
        <v>140</v>
      </c>
      <c r="X115" s="9" t="str">
        <f>IFERROR(MID(VLOOKUP($B115,Seqs!$A:$B,2,0),Y115,1),"")</f>
        <v>P</v>
      </c>
      <c r="Y115" s="9">
        <v>141</v>
      </c>
      <c r="Z115" s="9" t="str">
        <f>IFERROR(MID(VLOOKUP($B115,Seqs!$A:$B,2,0),AA115,1),"")</f>
        <v>R</v>
      </c>
      <c r="AA115" s="9">
        <v>148</v>
      </c>
      <c r="AB115" s="9" t="str">
        <f>IFERROR(MID(VLOOKUP($B115,Seqs!$A:$B,2,0),AC115,1),"")</f>
        <v>G</v>
      </c>
      <c r="AC115" s="9">
        <v>149</v>
      </c>
      <c r="AD115" s="9" t="str">
        <f>IFERROR(MID(VLOOKUP($B115,Seqs!$A:$B,2,0),AE115,1),"")</f>
        <v>R</v>
      </c>
      <c r="AE115" s="9">
        <v>175</v>
      </c>
      <c r="AF115" s="9" t="str">
        <f>IFERROR(MID(VLOOKUP($B115,Seqs!$A:$B,2,0),AG115,1),"")</f>
        <v>C</v>
      </c>
      <c r="AG115" s="9">
        <v>188</v>
      </c>
      <c r="AH115" s="9" t="str">
        <f>IFERROR(MID(VLOOKUP($B115,Seqs!$A:$B,2,0),AI115,1),"")</f>
        <v>V</v>
      </c>
      <c r="AI115" s="9">
        <v>190</v>
      </c>
      <c r="AJ115" s="9" t="str">
        <f>IFERROR(MID(VLOOKUP($B115,Seqs!$A:$B,2,0),AK115,1),"")</f>
        <v>D</v>
      </c>
      <c r="AK115" s="9">
        <v>195</v>
      </c>
      <c r="AL115" s="9" t="str">
        <f>IFERROR(MID(VLOOKUP($B115,Seqs!$A:$B,2,0),AM115,1),"")</f>
        <v>R</v>
      </c>
      <c r="AM115" s="9">
        <v>232</v>
      </c>
      <c r="AN115" s="9" t="str">
        <f>IFERROR(MID(VLOOKUP($B115,Seqs!$A:$B,2,0),AO115,1),"")</f>
        <v>S</v>
      </c>
      <c r="AO115" s="9">
        <v>237</v>
      </c>
      <c r="AP115" s="9" t="str">
        <f>IFERROR(MID(VLOOKUP($B115,Seqs!$A:$B,2,0),AQ115,1),"")</f>
        <v>E</v>
      </c>
      <c r="AQ115" s="9">
        <v>269</v>
      </c>
      <c r="AR115" s="9" t="str">
        <f>IFERROR(MID(VLOOKUP($B115,Seqs!$A:$B,2,0),AS115,1),"")</f>
        <v>P</v>
      </c>
      <c r="AS115" s="9">
        <v>273</v>
      </c>
      <c r="AT115" s="9" t="str">
        <f>IFERROR(MID(VLOOKUP($B115,Seqs!$A:$B,2,0),AU115,1),"")</f>
        <v>Q</v>
      </c>
      <c r="AU115" s="9">
        <v>308</v>
      </c>
      <c r="AV115" s="9" t="str">
        <f>IFERROR(MID(VLOOKUP($B115,Seqs!$A:$B,2,0),AW115,1),"")</f>
        <v/>
      </c>
      <c r="AW115" s="9" t="s">
        <v>23</v>
      </c>
      <c r="AX115" s="9" t="str">
        <f>IFERROR(MID(VLOOKUP($B115,Seqs!$A:$B,2,0),AY115,1),"")</f>
        <v/>
      </c>
      <c r="AY115" s="9" t="s">
        <v>23</v>
      </c>
      <c r="AZ115" s="110" t="str">
        <f>VLOOKUP(B115,Classification!A:D,2,0)</f>
        <v>A</v>
      </c>
      <c r="BA115" s="98" t="str">
        <f>VLOOKUP(B115,Classification!A:D,4,0)</f>
        <v>Complementpeptide</v>
      </c>
      <c r="BB115" s="36" t="b">
        <f t="shared" si="170"/>
        <v>1</v>
      </c>
      <c r="BC115" s="109">
        <f t="shared" si="171"/>
        <v>250</v>
      </c>
      <c r="BD115" s="40" t="s">
        <v>23</v>
      </c>
      <c r="BE115" s="9" t="s">
        <v>1381</v>
      </c>
      <c r="BF115" s="120">
        <v>2.2000000000000002</v>
      </c>
      <c r="BG115" s="51" t="s">
        <v>1287</v>
      </c>
      <c r="BH115" s="51" t="s">
        <v>1287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si="172"/>
        <v>34</v>
      </c>
      <c r="BW115" s="113" t="str">
        <f t="shared" si="173"/>
        <v>-</v>
      </c>
      <c r="BX115" s="114">
        <f t="shared" si="174"/>
        <v>69</v>
      </c>
      <c r="BY115" s="113">
        <f t="shared" si="175"/>
        <v>101</v>
      </c>
      <c r="BZ115" s="114">
        <f t="shared" si="176"/>
        <v>105</v>
      </c>
      <c r="CA115" s="113">
        <f t="shared" si="177"/>
        <v>141</v>
      </c>
      <c r="CB115" s="114">
        <f t="shared" si="178"/>
        <v>149</v>
      </c>
      <c r="CC115" s="113">
        <f t="shared" si="179"/>
        <v>188</v>
      </c>
      <c r="CD115" s="114">
        <f t="shared" si="180"/>
        <v>195</v>
      </c>
      <c r="CE115" s="113">
        <f t="shared" si="181"/>
        <v>237</v>
      </c>
      <c r="CF115" s="114">
        <f t="shared" si="182"/>
        <v>273</v>
      </c>
      <c r="CG115" s="113" t="str">
        <f t="shared" si="183"/>
        <v>-</v>
      </c>
      <c r="CH115" s="111">
        <f t="shared" si="184"/>
        <v>65</v>
      </c>
      <c r="CI115" s="113" t="str">
        <f t="shared" si="185"/>
        <v>-</v>
      </c>
      <c r="CJ115" s="114">
        <f t="shared" si="186"/>
        <v>99</v>
      </c>
      <c r="CK115" s="114">
        <f t="shared" si="187"/>
        <v>104</v>
      </c>
      <c r="CL115" s="114">
        <f t="shared" si="188"/>
        <v>140</v>
      </c>
      <c r="CM115" s="114">
        <f t="shared" si="189"/>
        <v>148</v>
      </c>
      <c r="CN115" s="114">
        <f t="shared" si="190"/>
        <v>175</v>
      </c>
      <c r="CO115" s="114">
        <f t="shared" si="191"/>
        <v>190</v>
      </c>
      <c r="CP115" s="114">
        <f t="shared" si="192"/>
        <v>232</v>
      </c>
      <c r="CQ115" s="114">
        <f t="shared" si="193"/>
        <v>269</v>
      </c>
      <c r="CR115" s="114">
        <f t="shared" si="194"/>
        <v>308</v>
      </c>
      <c r="CS115" s="114" t="str">
        <f t="shared" si="195"/>
        <v>-</v>
      </c>
      <c r="CT115" s="109" t="e">
        <f t="shared" si="196"/>
        <v>#VALUE!</v>
      </c>
    </row>
    <row r="116" spans="1:1030" x14ac:dyDescent="0.2">
      <c r="A116" s="3" t="str">
        <f t="shared" si="167"/>
        <v>ccr2_human__wt</v>
      </c>
      <c r="B116" s="3" t="s">
        <v>170</v>
      </c>
      <c r="C116" s="3" t="s">
        <v>100</v>
      </c>
      <c r="D116" s="3" t="str">
        <f>IFERROR(MID(VLOOKUP($B116,Seqs!$A:$B,2,0),E116,1),"")</f>
        <v>V</v>
      </c>
      <c r="E116" s="3">
        <v>37</v>
      </c>
      <c r="F116" s="3" t="str">
        <f>IFERROR(MID(VLOOKUP($B116,Seqs!$A:$B,2,0),G116,1),"")</f>
        <v>C</v>
      </c>
      <c r="G116" s="3">
        <v>70</v>
      </c>
      <c r="H116" s="3" t="str">
        <f>IFERROR(MID(VLOOKUP($B116,Seqs!$A:$B,2,0),I116,1),"")</f>
        <v>K</v>
      </c>
      <c r="I116" s="23">
        <v>71</v>
      </c>
      <c r="J116" s="3" t="str">
        <f>IFERROR(MID(VLOOKUP($B116,Seqs!$A:$B,2,0),K116,1),"")</f>
        <v>K</v>
      </c>
      <c r="K116" s="23">
        <v>74</v>
      </c>
      <c r="L116" s="3" t="str">
        <f>IFERROR(MID(VLOOKUP($B116,Seqs!$A:$B,2,0),M116,1),"")</f>
        <v>C</v>
      </c>
      <c r="M116" s="3">
        <v>75</v>
      </c>
      <c r="N116" s="3" t="str">
        <f>IFERROR(MID(VLOOKUP($B116,Seqs!$A:$B,2,0),O116,1),"")</f>
        <v>N</v>
      </c>
      <c r="O116" s="3">
        <v>104</v>
      </c>
      <c r="P116" s="3" t="str">
        <f>IFERROR(MID(VLOOKUP($B116,Seqs!$A:$B,2,0),Q116,1),"")</f>
        <v>E</v>
      </c>
      <c r="Q116" s="3">
        <v>105</v>
      </c>
      <c r="R116" s="3" t="str">
        <f>IFERROR(MID(VLOOKUP($B116,Seqs!$A:$B,2,0),S116,1),"")</f>
        <v>F</v>
      </c>
      <c r="S116" s="3">
        <v>108</v>
      </c>
      <c r="T116" s="3" t="str">
        <f>IFERROR(MID(VLOOKUP($B116,Seqs!$A:$B,2,0),U116,1),"")</f>
        <v>G</v>
      </c>
      <c r="U116" s="3">
        <v>109</v>
      </c>
      <c r="V116" s="3" t="str">
        <f>IFERROR(MID(VLOOKUP($B116,Seqs!$A:$B,2,0),W116,1),"")</f>
        <v>H</v>
      </c>
      <c r="W116" s="3">
        <v>144</v>
      </c>
      <c r="X116" s="3" t="str">
        <f>IFERROR(MID(VLOOKUP($B116,Seqs!$A:$B,2,0),Y116,1),"")</f>
        <v>A</v>
      </c>
      <c r="Y116" s="3">
        <v>145</v>
      </c>
      <c r="Z116" s="3" t="str">
        <f>IFERROR(MID(VLOOKUP($B116,Seqs!$A:$B,2,0),AA116,1),"")</f>
        <v>R</v>
      </c>
      <c r="AA116" s="3">
        <v>152</v>
      </c>
      <c r="AB116" s="3" t="str">
        <f>IFERROR(MID(VLOOKUP($B116,Seqs!$A:$B,2,0),AC116,1),"")</f>
        <v>T</v>
      </c>
      <c r="AC116" s="9">
        <v>153</v>
      </c>
      <c r="AD116" s="3" t="str">
        <f>IFERROR(MID(VLOOKUP($B116,Seqs!$A:$B,2,0),AE116,1),"")</f>
        <v>T</v>
      </c>
      <c r="AE116" s="3">
        <v>179</v>
      </c>
      <c r="AF116" s="3" t="str">
        <f>IFERROR(MID(VLOOKUP($B116,Seqs!$A:$B,2,0),AG116,1),"")</f>
        <v>C</v>
      </c>
      <c r="AG116" s="3">
        <v>190</v>
      </c>
      <c r="AH116" s="3" t="str">
        <f>IFERROR(MID(VLOOKUP($B116,Seqs!$A:$B,2,0),AI116,1),"")</f>
        <v>P</v>
      </c>
      <c r="AI116" s="3">
        <v>192</v>
      </c>
      <c r="AJ116" s="3" t="str">
        <f>IFERROR(MID(VLOOKUP($B116,Seqs!$A:$B,2,0),AK116,1),"")</f>
        <v>P</v>
      </c>
      <c r="AK116" s="3">
        <v>195</v>
      </c>
      <c r="AL116" s="3" t="str">
        <f>IFERROR(MID(VLOOKUP($B116,Seqs!$A:$B,2,0),AM116,1),"")</f>
        <v>C</v>
      </c>
      <c r="AM116" s="3">
        <v>232</v>
      </c>
      <c r="AN116" s="3" t="str">
        <f>IFERROR(MID(VLOOKUP($B116,Seqs!$A:$B,2,0),AO116,1),"")</f>
        <v>K</v>
      </c>
      <c r="AO116" s="3">
        <v>236</v>
      </c>
      <c r="AP116" s="3" t="str">
        <f>IFERROR(MID(VLOOKUP($B116,Seqs!$A:$B,2,0),AQ116,1),"")</f>
        <v>G</v>
      </c>
      <c r="AQ116" s="3">
        <v>273</v>
      </c>
      <c r="AR116" s="3" t="str">
        <f>IFERROR(MID(VLOOKUP($B116,Seqs!$A:$B,2,0),AS116,1),"")</f>
        <v>E</v>
      </c>
      <c r="AS116" s="3">
        <v>278</v>
      </c>
      <c r="AT116" s="3" t="str">
        <f>IFERROR(MID(VLOOKUP($B116,Seqs!$A:$B,2,0),AU116,1),"")</f>
        <v>V</v>
      </c>
      <c r="AU116" s="3">
        <v>308</v>
      </c>
      <c r="AV116" s="3" t="str">
        <f>IFERROR(MID(VLOOKUP($B116,Seqs!$A:$B,2,0),AW116,1),"")</f>
        <v>G</v>
      </c>
      <c r="AW116" s="3">
        <v>309</v>
      </c>
      <c r="AX116" s="3" t="str">
        <f>IFERROR(MID(VLOOKUP($B116,Seqs!$A:$B,2,0),AY116,1),"")</f>
        <v>L</v>
      </c>
      <c r="AY116" s="3">
        <v>320</v>
      </c>
      <c r="AZ116" s="77" t="str">
        <f>VLOOKUP(B116,Classification!A:D,2,0)</f>
        <v>A</v>
      </c>
      <c r="BA116" s="94" t="str">
        <f>VLOOKUP(B116,Classification!A:D,4,0)</f>
        <v>Chemokine</v>
      </c>
      <c r="BB116" s="27" t="b">
        <f t="shared" si="168"/>
        <v>1</v>
      </c>
      <c r="BC116" s="23">
        <f t="shared" si="141"/>
        <v>265</v>
      </c>
      <c r="BD116" s="2" t="s">
        <v>23</v>
      </c>
      <c r="BE116" s="3" t="s">
        <v>23</v>
      </c>
      <c r="BF116" s="119" t="s">
        <v>23</v>
      </c>
      <c r="BG116" s="49" t="s">
        <v>1379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142"/>
        <v>37</v>
      </c>
      <c r="BW116" s="71">
        <f t="shared" si="143"/>
        <v>71</v>
      </c>
      <c r="BX116" s="72">
        <f t="shared" si="144"/>
        <v>75</v>
      </c>
      <c r="BY116" s="71">
        <f t="shared" si="145"/>
        <v>105</v>
      </c>
      <c r="BZ116" s="72">
        <f t="shared" si="146"/>
        <v>109</v>
      </c>
      <c r="CA116" s="71">
        <f t="shared" si="147"/>
        <v>145</v>
      </c>
      <c r="CB116" s="72">
        <f t="shared" si="148"/>
        <v>153</v>
      </c>
      <c r="CC116" s="71">
        <f t="shared" si="149"/>
        <v>190</v>
      </c>
      <c r="CD116" s="72">
        <f t="shared" si="150"/>
        <v>195</v>
      </c>
      <c r="CE116" s="71">
        <f t="shared" si="151"/>
        <v>236</v>
      </c>
      <c r="CF116" s="72">
        <f t="shared" si="152"/>
        <v>278</v>
      </c>
      <c r="CG116" s="71">
        <f t="shared" si="153"/>
        <v>309</v>
      </c>
      <c r="CH116" s="70">
        <f t="shared" si="154"/>
        <v>70</v>
      </c>
      <c r="CI116" s="71">
        <f t="shared" si="155"/>
        <v>74</v>
      </c>
      <c r="CJ116" s="72">
        <f t="shared" si="156"/>
        <v>104</v>
      </c>
      <c r="CK116" s="72">
        <f t="shared" si="157"/>
        <v>108</v>
      </c>
      <c r="CL116" s="72">
        <f t="shared" si="158"/>
        <v>144</v>
      </c>
      <c r="CM116" s="72">
        <f t="shared" si="159"/>
        <v>152</v>
      </c>
      <c r="CN116" s="72">
        <f t="shared" si="160"/>
        <v>179</v>
      </c>
      <c r="CO116" s="72">
        <f t="shared" si="161"/>
        <v>192</v>
      </c>
      <c r="CP116" s="72">
        <f t="shared" si="162"/>
        <v>232</v>
      </c>
      <c r="CQ116" s="72">
        <f t="shared" si="163"/>
        <v>273</v>
      </c>
      <c r="CR116" s="72">
        <f t="shared" si="164"/>
        <v>308</v>
      </c>
      <c r="CS116" s="72">
        <f t="shared" si="165"/>
        <v>320</v>
      </c>
      <c r="CT116" s="23">
        <f t="shared" si="166"/>
        <v>1</v>
      </c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</row>
    <row r="117" spans="1:1030" x14ac:dyDescent="0.2">
      <c r="A117" s="3" t="str">
        <f t="shared" si="167"/>
        <v>ccr2_human_5T1A</v>
      </c>
      <c r="B117" s="3" t="s">
        <v>170</v>
      </c>
      <c r="C117" s="3" t="s">
        <v>1385</v>
      </c>
      <c r="D117" s="3" t="str">
        <f>IFERROR(MID(VLOOKUP($B117,Seqs!$A:$B,2,0),E117,1),"")</f>
        <v>V</v>
      </c>
      <c r="E117" s="3">
        <v>37</v>
      </c>
      <c r="F117" s="3" t="str">
        <f>IFERROR(MID(VLOOKUP($B117,Seqs!$A:$B,2,0),G117,1),"")</f>
        <v>C</v>
      </c>
      <c r="G117" s="3">
        <v>70</v>
      </c>
      <c r="H117" s="3" t="str">
        <f>IFERROR(MID(VLOOKUP($B117,Seqs!$A:$B,2,0),I117,1),"")</f>
        <v/>
      </c>
      <c r="I117" s="23" t="s">
        <v>23</v>
      </c>
      <c r="J117" s="3" t="str">
        <f>IFERROR(MID(VLOOKUP($B117,Seqs!$A:$B,2,0),K117,1),"")</f>
        <v/>
      </c>
      <c r="K117" s="23" t="s">
        <v>23</v>
      </c>
      <c r="L117" s="3" t="str">
        <f>IFERROR(MID(VLOOKUP($B117,Seqs!$A:$B,2,0),M117,1),"")</f>
        <v>C</v>
      </c>
      <c r="M117" s="3">
        <v>75</v>
      </c>
      <c r="N117" s="3" t="str">
        <f>IFERROR(MID(VLOOKUP($B117,Seqs!$A:$B,2,0),O117,1),"")</f>
        <v>N</v>
      </c>
      <c r="O117" s="3">
        <v>104</v>
      </c>
      <c r="P117" s="3" t="str">
        <f>IFERROR(MID(VLOOKUP($B117,Seqs!$A:$B,2,0),Q117,1),"")</f>
        <v>E</v>
      </c>
      <c r="Q117" s="3">
        <v>105</v>
      </c>
      <c r="R117" s="3" t="str">
        <f>IFERROR(MID(VLOOKUP($B117,Seqs!$A:$B,2,0),S117,1),"")</f>
        <v>F</v>
      </c>
      <c r="S117" s="3">
        <v>108</v>
      </c>
      <c r="T117" s="3" t="str">
        <f>IFERROR(MID(VLOOKUP($B117,Seqs!$A:$B,2,0),U117,1),"")</f>
        <v>G</v>
      </c>
      <c r="U117" s="3">
        <v>109</v>
      </c>
      <c r="V117" s="3" t="str">
        <f>IFERROR(MID(VLOOKUP($B117,Seqs!$A:$B,2,0),W117,1),"")</f>
        <v>H</v>
      </c>
      <c r="W117" s="3">
        <v>144</v>
      </c>
      <c r="X117" s="3" t="str">
        <f>IFERROR(MID(VLOOKUP($B117,Seqs!$A:$B,2,0),Y117,1),"")</f>
        <v>A</v>
      </c>
      <c r="Y117" s="3">
        <v>145</v>
      </c>
      <c r="Z117" s="3" t="str">
        <f>IFERROR(MID(VLOOKUP($B117,Seqs!$A:$B,2,0),AA117,1),"")</f>
        <v>R</v>
      </c>
      <c r="AA117" s="3">
        <v>152</v>
      </c>
      <c r="AB117" s="3" t="str">
        <f>IFERROR(MID(VLOOKUP($B117,Seqs!$A:$B,2,0),AC117,1),"")</f>
        <v>T</v>
      </c>
      <c r="AC117" s="9">
        <v>153</v>
      </c>
      <c r="AD117" s="3" t="str">
        <f>IFERROR(MID(VLOOKUP($B117,Seqs!$A:$B,2,0),AE117,1),"")</f>
        <v>T</v>
      </c>
      <c r="AE117" s="3">
        <v>179</v>
      </c>
      <c r="AF117" s="3" t="str">
        <f>IFERROR(MID(VLOOKUP($B117,Seqs!$A:$B,2,0),AG117,1),"")</f>
        <v>C</v>
      </c>
      <c r="AG117" s="3">
        <v>190</v>
      </c>
      <c r="AH117" s="3" t="str">
        <f>IFERROR(MID(VLOOKUP($B117,Seqs!$A:$B,2,0),AI117,1),"")</f>
        <v>P</v>
      </c>
      <c r="AI117" s="3">
        <v>192</v>
      </c>
      <c r="AJ117" s="3" t="str">
        <f>IFERROR(MID(VLOOKUP($B117,Seqs!$A:$B,2,0),AK117,1),"")</f>
        <v>P</v>
      </c>
      <c r="AK117" s="3">
        <v>195</v>
      </c>
      <c r="AL117" s="3" t="str">
        <f>IFERROR(MID(VLOOKUP($B117,Seqs!$A:$B,2,0),AM117,1),"")</f>
        <v>T</v>
      </c>
      <c r="AM117" s="3">
        <v>228</v>
      </c>
      <c r="AN117" s="3" t="str">
        <f>IFERROR(MID(VLOOKUP($B117,Seqs!$A:$B,2,0),AO117,1),"")</f>
        <v>K</v>
      </c>
      <c r="AO117" s="3">
        <v>236</v>
      </c>
      <c r="AP117" s="3" t="str">
        <f>IFERROR(MID(VLOOKUP($B117,Seqs!$A:$B,2,0),AQ117,1),"")</f>
        <v>G</v>
      </c>
      <c r="AQ117" s="3">
        <v>273</v>
      </c>
      <c r="AR117" s="3" t="str">
        <f>IFERROR(MID(VLOOKUP($B117,Seqs!$A:$B,2,0),AS117,1),"")</f>
        <v>E</v>
      </c>
      <c r="AS117" s="3">
        <v>278</v>
      </c>
      <c r="AT117" s="3" t="str">
        <f>IFERROR(MID(VLOOKUP($B117,Seqs!$A:$B,2,0),AU117,1),"")</f>
        <v>V</v>
      </c>
      <c r="AU117" s="3">
        <v>308</v>
      </c>
      <c r="AV117" s="3" t="str">
        <f>IFERROR(MID(VLOOKUP($B117,Seqs!$A:$B,2,0),AW117,1),"")</f>
        <v>G</v>
      </c>
      <c r="AW117" s="3">
        <v>309</v>
      </c>
      <c r="AX117" s="3" t="str">
        <f>IFERROR(MID(VLOOKUP($B117,Seqs!$A:$B,2,0),AY117,1),"")</f>
        <v>L</v>
      </c>
      <c r="AY117" s="3">
        <v>320</v>
      </c>
      <c r="AZ117" s="77" t="str">
        <f>VLOOKUP(B117,Classification!A:D,2,0)</f>
        <v>A</v>
      </c>
      <c r="BA117" s="94" t="str">
        <f>VLOOKUP(B117,Classification!A:D,4,0)</f>
        <v>Chemokine</v>
      </c>
      <c r="BB117" s="27" t="b">
        <f t="shared" si="168"/>
        <v>1</v>
      </c>
      <c r="BC117" s="23">
        <f t="shared" si="141"/>
        <v>258</v>
      </c>
      <c r="BD117" s="16" t="s">
        <v>1383</v>
      </c>
      <c r="BE117" s="3" t="s">
        <v>1381</v>
      </c>
      <c r="BF117" s="119">
        <v>2.81</v>
      </c>
      <c r="BG117" s="49" t="s">
        <v>1</v>
      </c>
      <c r="BH117" s="49" t="s">
        <v>1384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142"/>
        <v>37</v>
      </c>
      <c r="BW117" s="71" t="str">
        <f t="shared" si="143"/>
        <v>-</v>
      </c>
      <c r="BX117" s="72">
        <f t="shared" si="144"/>
        <v>75</v>
      </c>
      <c r="BY117" s="71">
        <f t="shared" si="145"/>
        <v>105</v>
      </c>
      <c r="BZ117" s="72">
        <f t="shared" si="146"/>
        <v>109</v>
      </c>
      <c r="CA117" s="71">
        <f t="shared" si="147"/>
        <v>145</v>
      </c>
      <c r="CB117" s="72">
        <f t="shared" si="148"/>
        <v>153</v>
      </c>
      <c r="CC117" s="71">
        <f t="shared" si="149"/>
        <v>190</v>
      </c>
      <c r="CD117" s="72">
        <f t="shared" si="150"/>
        <v>195</v>
      </c>
      <c r="CE117" s="71">
        <f t="shared" si="151"/>
        <v>236</v>
      </c>
      <c r="CF117" s="72">
        <f t="shared" si="152"/>
        <v>278</v>
      </c>
      <c r="CG117" s="71">
        <f t="shared" si="153"/>
        <v>309</v>
      </c>
      <c r="CH117" s="70">
        <f t="shared" si="154"/>
        <v>70</v>
      </c>
      <c r="CI117" s="71" t="str">
        <f t="shared" si="155"/>
        <v>-</v>
      </c>
      <c r="CJ117" s="72">
        <f t="shared" si="156"/>
        <v>104</v>
      </c>
      <c r="CK117" s="72">
        <f t="shared" si="157"/>
        <v>108</v>
      </c>
      <c r="CL117" s="72">
        <f t="shared" si="158"/>
        <v>144</v>
      </c>
      <c r="CM117" s="72">
        <f t="shared" si="159"/>
        <v>152</v>
      </c>
      <c r="CN117" s="72">
        <f t="shared" si="160"/>
        <v>179</v>
      </c>
      <c r="CO117" s="72">
        <f t="shared" si="161"/>
        <v>192</v>
      </c>
      <c r="CP117" s="72">
        <f t="shared" si="162"/>
        <v>228</v>
      </c>
      <c r="CQ117" s="72">
        <f t="shared" si="163"/>
        <v>273</v>
      </c>
      <c r="CR117" s="72">
        <f t="shared" si="164"/>
        <v>308</v>
      </c>
      <c r="CS117" s="72">
        <f t="shared" si="165"/>
        <v>320</v>
      </c>
      <c r="CT117" s="23" t="e">
        <f t="shared" si="166"/>
        <v>#VALUE!</v>
      </c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</row>
    <row r="118" spans="1:1030" x14ac:dyDescent="0.2">
      <c r="A118" s="3" t="str">
        <f t="shared" si="167"/>
        <v>ccr5_human__wt</v>
      </c>
      <c r="B118" s="3" t="s">
        <v>173</v>
      </c>
      <c r="C118" s="3" t="s">
        <v>100</v>
      </c>
      <c r="D118" s="3" t="str">
        <f>IFERROR(MID(VLOOKUP($B118,Seqs!$A:$B,2,0),E118,1),"")</f>
        <v>K</v>
      </c>
      <c r="E118" s="3">
        <v>22</v>
      </c>
      <c r="F118" s="3" t="str">
        <f>IFERROR(MID(VLOOKUP($B118,Seqs!$A:$B,2,0),G118,1),"")</f>
        <v>C</v>
      </c>
      <c r="G118" s="3">
        <v>58</v>
      </c>
      <c r="H118" s="3" t="str">
        <f>IFERROR(MID(VLOOKUP($B118,Seqs!$A:$B,2,0),I118,1),"")</f>
        <v>K</v>
      </c>
      <c r="I118" s="23">
        <v>59</v>
      </c>
      <c r="J118" s="3" t="str">
        <f>IFERROR(MID(VLOOKUP($B118,Seqs!$A:$B,2,0),K118,1),"")</f>
        <v>K</v>
      </c>
      <c r="K118" s="23">
        <v>62</v>
      </c>
      <c r="L118" s="3" t="str">
        <f>IFERROR(MID(VLOOKUP($B118,Seqs!$A:$B,2,0),M118,1),"")</f>
        <v>S</v>
      </c>
      <c r="M118" s="3">
        <v>63</v>
      </c>
      <c r="N118" s="3" t="str">
        <f>IFERROR(MID(VLOOKUP($B118,Seqs!$A:$B,2,0),O118,1),"")</f>
        <v>A</v>
      </c>
      <c r="O118" s="3">
        <v>92</v>
      </c>
      <c r="P118" s="3" t="str">
        <f>IFERROR(MID(VLOOKUP($B118,Seqs!$A:$B,2,0),Q118,1),"")</f>
        <v>Q</v>
      </c>
      <c r="Q118" s="3">
        <v>93</v>
      </c>
      <c r="R118" s="3" t="str">
        <f>IFERROR(MID(VLOOKUP($B118,Seqs!$A:$B,2,0),S118,1),"")</f>
        <v>F</v>
      </c>
      <c r="S118" s="3">
        <v>96</v>
      </c>
      <c r="T118" s="3" t="str">
        <f>IFERROR(MID(VLOOKUP($B118,Seqs!$A:$B,2,0),U118,1),"")</f>
        <v>G</v>
      </c>
      <c r="U118" s="3">
        <v>97</v>
      </c>
      <c r="V118" s="3" t="str">
        <f>IFERROR(MID(VLOOKUP($B118,Seqs!$A:$B,2,0),W118,1),"")</f>
        <v>H</v>
      </c>
      <c r="W118" s="3">
        <v>132</v>
      </c>
      <c r="X118" s="3" t="str">
        <f>IFERROR(MID(VLOOKUP($B118,Seqs!$A:$B,2,0),Y118,1),"")</f>
        <v>A</v>
      </c>
      <c r="Y118" s="3">
        <v>133</v>
      </c>
      <c r="Z118" s="3" t="str">
        <f>IFERROR(MID(VLOOKUP($B118,Seqs!$A:$B,2,0),AA118,1),"")</f>
        <v>R</v>
      </c>
      <c r="AA118" s="3">
        <v>140</v>
      </c>
      <c r="AB118" s="3" t="str">
        <f>IFERROR(MID(VLOOKUP($B118,Seqs!$A:$B,2,0),AC118,1),"")</f>
        <v>T</v>
      </c>
      <c r="AC118" s="9">
        <v>141</v>
      </c>
      <c r="AD118" s="3" t="str">
        <f>IFERROR(MID(VLOOKUP($B118,Seqs!$A:$B,2,0),AE118,1),"")</f>
        <v>T</v>
      </c>
      <c r="AE118" s="3">
        <v>167</v>
      </c>
      <c r="AF118" s="3" t="str">
        <f>IFERROR(MID(VLOOKUP($B118,Seqs!$A:$B,2,0),AG118,1),"")</f>
        <v>C</v>
      </c>
      <c r="AG118" s="3">
        <v>178</v>
      </c>
      <c r="AH118" s="3" t="str">
        <f>IFERROR(MID(VLOOKUP($B118,Seqs!$A:$B,2,0),AI118,1),"")</f>
        <v>S</v>
      </c>
      <c r="AI118" s="3">
        <v>180</v>
      </c>
      <c r="AJ118" s="3" t="str">
        <f>IFERROR(MID(VLOOKUP($B118,Seqs!$A:$B,2,0),AK118,1),"")</f>
        <v>Q</v>
      </c>
      <c r="AK118" s="3">
        <v>186</v>
      </c>
      <c r="AL118" s="3" t="str">
        <f>IFERROR(MID(VLOOKUP($B118,Seqs!$A:$B,2,0),AM118,1),"")</f>
        <v>C</v>
      </c>
      <c r="AM118" s="3">
        <v>224</v>
      </c>
      <c r="AN118" s="3" t="str">
        <f>IFERROR(MID(VLOOKUP($B118,Seqs!$A:$B,2,0),AO118,1),"")</f>
        <v>K</v>
      </c>
      <c r="AO118" s="3">
        <v>228</v>
      </c>
      <c r="AP118" s="3" t="str">
        <f>IFERROR(MID(VLOOKUP($B118,Seqs!$A:$B,2,0),AQ118,1),"")</f>
        <v>G</v>
      </c>
      <c r="AQ118" s="3">
        <v>265</v>
      </c>
      <c r="AR118" s="3" t="str">
        <f>IFERROR(MID(VLOOKUP($B118,Seqs!$A:$B,2,0),AS118,1),"")</f>
        <v>N</v>
      </c>
      <c r="AS118" s="3">
        <v>268</v>
      </c>
      <c r="AT118" s="3" t="str">
        <f>IFERROR(MID(VLOOKUP($B118,Seqs!$A:$B,2,0),AU118,1),"")</f>
        <v>V</v>
      </c>
      <c r="AU118" s="3">
        <v>300</v>
      </c>
      <c r="AV118" s="3" t="str">
        <f>IFERROR(MID(VLOOKUP($B118,Seqs!$A:$B,2,0),AW118,1),"")</f>
        <v>G</v>
      </c>
      <c r="AW118" s="3">
        <v>301</v>
      </c>
      <c r="AX118" s="3" t="str">
        <f>IFERROR(MID(VLOOKUP($B118,Seqs!$A:$B,2,0),AY118,1),"")</f>
        <v>Q</v>
      </c>
      <c r="AY118" s="3">
        <v>313</v>
      </c>
      <c r="AZ118" s="77" t="str">
        <f>VLOOKUP(B118,Classification!A:D,2,0)</f>
        <v>A</v>
      </c>
      <c r="BA118" s="94" t="str">
        <f>VLOOKUP(B118,Classification!A:D,4,0)</f>
        <v>Chemokine</v>
      </c>
      <c r="BB118" s="27" t="b">
        <f t="shared" si="168"/>
        <v>1</v>
      </c>
      <c r="BC118" s="23">
        <f t="shared" si="141"/>
        <v>272</v>
      </c>
      <c r="BD118" s="34" t="s">
        <v>1379</v>
      </c>
      <c r="BE118" s="3" t="s">
        <v>23</v>
      </c>
      <c r="BF118" s="119" t="s">
        <v>23</v>
      </c>
      <c r="BG118" s="49" t="s">
        <v>1379</v>
      </c>
      <c r="BH118" s="49" t="s">
        <v>1384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142"/>
        <v>22</v>
      </c>
      <c r="BW118" s="71">
        <f t="shared" si="143"/>
        <v>59</v>
      </c>
      <c r="BX118" s="72">
        <f t="shared" si="144"/>
        <v>63</v>
      </c>
      <c r="BY118" s="71">
        <f t="shared" si="145"/>
        <v>93</v>
      </c>
      <c r="BZ118" s="72">
        <f t="shared" si="146"/>
        <v>97</v>
      </c>
      <c r="CA118" s="71">
        <f t="shared" si="147"/>
        <v>133</v>
      </c>
      <c r="CB118" s="72">
        <f t="shared" si="148"/>
        <v>141</v>
      </c>
      <c r="CC118" s="71">
        <f t="shared" si="149"/>
        <v>178</v>
      </c>
      <c r="CD118" s="72">
        <f t="shared" si="150"/>
        <v>186</v>
      </c>
      <c r="CE118" s="71">
        <f t="shared" si="151"/>
        <v>228</v>
      </c>
      <c r="CF118" s="72">
        <f t="shared" si="152"/>
        <v>268</v>
      </c>
      <c r="CG118" s="71">
        <f t="shared" si="153"/>
        <v>301</v>
      </c>
      <c r="CH118" s="70">
        <f t="shared" si="154"/>
        <v>58</v>
      </c>
      <c r="CI118" s="71">
        <f t="shared" si="155"/>
        <v>62</v>
      </c>
      <c r="CJ118" s="72">
        <f t="shared" si="156"/>
        <v>92</v>
      </c>
      <c r="CK118" s="72">
        <f t="shared" si="157"/>
        <v>96</v>
      </c>
      <c r="CL118" s="72">
        <f t="shared" si="158"/>
        <v>132</v>
      </c>
      <c r="CM118" s="72">
        <f t="shared" si="159"/>
        <v>140</v>
      </c>
      <c r="CN118" s="72">
        <f t="shared" si="160"/>
        <v>167</v>
      </c>
      <c r="CO118" s="72">
        <f t="shared" si="161"/>
        <v>180</v>
      </c>
      <c r="CP118" s="72">
        <f t="shared" si="162"/>
        <v>224</v>
      </c>
      <c r="CQ118" s="72">
        <f t="shared" si="163"/>
        <v>265</v>
      </c>
      <c r="CR118" s="72">
        <f t="shared" si="164"/>
        <v>300</v>
      </c>
      <c r="CS118" s="72">
        <f t="shared" si="165"/>
        <v>313</v>
      </c>
      <c r="CT118" s="23">
        <f t="shared" si="166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30" x14ac:dyDescent="0.2">
      <c r="A119" s="3" t="str">
        <f t="shared" si="167"/>
        <v>ccr5_human_4MBS</v>
      </c>
      <c r="B119" s="3" t="s">
        <v>173</v>
      </c>
      <c r="C119" s="3" t="s">
        <v>74</v>
      </c>
      <c r="D119" s="3" t="str">
        <f>IFERROR(MID(VLOOKUP($B119,Seqs!$A:$B,2,0),E119,1),"")</f>
        <v>V</v>
      </c>
      <c r="E119" s="3">
        <v>25</v>
      </c>
      <c r="F119" s="3" t="str">
        <f>IFERROR(MID(VLOOKUP($B119,Seqs!$A:$B,2,0),G119,1),"")</f>
        <v>C</v>
      </c>
      <c r="G119" s="3">
        <v>58</v>
      </c>
      <c r="H119" s="3" t="str">
        <f>IFERROR(MID(VLOOKUP($B119,Seqs!$A:$B,2,0),I119,1),"")</f>
        <v/>
      </c>
      <c r="I119" s="23" t="s">
        <v>23</v>
      </c>
      <c r="J119" s="3" t="str">
        <f>IFERROR(MID(VLOOKUP($B119,Seqs!$A:$B,2,0),K119,1),"")</f>
        <v/>
      </c>
      <c r="K119" s="23" t="s">
        <v>23</v>
      </c>
      <c r="L119" s="3" t="str">
        <f>IFERROR(MID(VLOOKUP($B119,Seqs!$A:$B,2,0),M119,1),"")</f>
        <v>S</v>
      </c>
      <c r="M119" s="3">
        <v>63</v>
      </c>
      <c r="N119" s="3" t="str">
        <f>IFERROR(MID(VLOOKUP($B119,Seqs!$A:$B,2,0),O119,1),"")</f>
        <v>A</v>
      </c>
      <c r="O119" s="3">
        <v>92</v>
      </c>
      <c r="P119" s="3" t="str">
        <f>IFERROR(MID(VLOOKUP($B119,Seqs!$A:$B,2,0),Q119,1),"")</f>
        <v>Q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>A</v>
      </c>
      <c r="Y119" s="3">
        <v>133</v>
      </c>
      <c r="Z119" s="3" t="str">
        <f>IFERROR(MID(VLOOKUP($B119,Seqs!$A:$B,2,0),AA119,1),"")</f>
        <v>R</v>
      </c>
      <c r="AA119" s="3">
        <v>140</v>
      </c>
      <c r="AB119" s="3" t="str">
        <f>IFERROR(MID(VLOOKUP($B119,Seqs!$A:$B,2,0),AC119,1),"")</f>
        <v>T</v>
      </c>
      <c r="AC119" s="9">
        <v>141</v>
      </c>
      <c r="AD119" s="3" t="str">
        <f>IFERROR(MID(VLOOKUP($B119,Seqs!$A:$B,2,0),AE119,1),"")</f>
        <v>T</v>
      </c>
      <c r="AE119" s="3">
        <v>167</v>
      </c>
      <c r="AF119" s="3" t="str">
        <f>IFERROR(MID(VLOOKUP($B119,Seqs!$A:$B,2,0),AG119,1),"")</f>
        <v>C</v>
      </c>
      <c r="AG119" s="3">
        <v>178</v>
      </c>
      <c r="AH119" s="3" t="str">
        <f>IFERROR(MID(VLOOKUP($B119,Seqs!$A:$B,2,0),AI119,1),"")</f>
        <v>S</v>
      </c>
      <c r="AI119" s="3">
        <v>180</v>
      </c>
      <c r="AJ119" s="3" t="str">
        <f>IFERROR(MID(VLOOKUP($B119,Seqs!$A:$B,2,0),AK119,1),"")</f>
        <v>Q</v>
      </c>
      <c r="AK119" s="3">
        <v>186</v>
      </c>
      <c r="AL119" s="3" t="str">
        <f>IFERROR(MID(VLOOKUP($B119,Seqs!$A:$B,2,0),AM119,1),"")</f>
        <v>R</v>
      </c>
      <c r="AM119" s="3">
        <v>223</v>
      </c>
      <c r="AN119" s="3" t="str">
        <f>IFERROR(MID(VLOOKUP($B119,Seqs!$A:$B,2,0),AO119,1),"")</f>
        <v>K</v>
      </c>
      <c r="AO119" s="3">
        <v>228</v>
      </c>
      <c r="AP119" s="3" t="str">
        <f>IFERROR(MID(VLOOKUP($B119,Seqs!$A:$B,2,0),AQ119,1),"")</f>
        <v>G</v>
      </c>
      <c r="AQ119" s="3">
        <v>265</v>
      </c>
      <c r="AR119" s="3" t="str">
        <f>IFERROR(MID(VLOOKUP($B119,Seqs!$A:$B,2,0),AS119,1),"")</f>
        <v>N</v>
      </c>
      <c r="AS119" s="3">
        <v>268</v>
      </c>
      <c r="AT119" s="3" t="str">
        <f>IFERROR(MID(VLOOKUP($B119,Seqs!$A:$B,2,0),AU119,1),"")</f>
        <v>V</v>
      </c>
      <c r="AU119" s="3">
        <v>300</v>
      </c>
      <c r="AV119" s="3" t="str">
        <f>IFERROR(MID(VLOOKUP($B119,Seqs!$A:$B,2,0),AW119,1),"")</f>
        <v>G</v>
      </c>
      <c r="AW119" s="3">
        <v>301</v>
      </c>
      <c r="AX119" s="3" t="str">
        <f>IFERROR(MID(VLOOKUP($B119,Seqs!$A:$B,2,0),AY119,1),"")</f>
        <v>Q</v>
      </c>
      <c r="AY119" s="3">
        <v>313</v>
      </c>
      <c r="AZ119" s="77" t="str">
        <f>VLOOKUP(B119,Classification!A:D,2,0)</f>
        <v>A</v>
      </c>
      <c r="BA119" s="94" t="str">
        <f>VLOOKUP(B119,Classification!A:D,4,0)</f>
        <v>Chemokine</v>
      </c>
      <c r="BB119" s="27" t="b">
        <f t="shared" si="168"/>
        <v>1</v>
      </c>
      <c r="BC119" s="23">
        <f t="shared" si="141"/>
        <v>265</v>
      </c>
      <c r="BD119" s="2" t="s">
        <v>23</v>
      </c>
      <c r="BE119" s="3" t="s">
        <v>1381</v>
      </c>
      <c r="BF119" s="119">
        <v>2.71</v>
      </c>
      <c r="BG119" s="49" t="s">
        <v>1384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142"/>
        <v>25</v>
      </c>
      <c r="BW119" s="71" t="str">
        <f t="shared" si="143"/>
        <v>-</v>
      </c>
      <c r="BX119" s="72">
        <f t="shared" si="144"/>
        <v>63</v>
      </c>
      <c r="BY119" s="71">
        <f t="shared" si="145"/>
        <v>93</v>
      </c>
      <c r="BZ119" s="72">
        <f t="shared" si="146"/>
        <v>97</v>
      </c>
      <c r="CA119" s="71">
        <f t="shared" si="147"/>
        <v>133</v>
      </c>
      <c r="CB119" s="72">
        <f t="shared" si="148"/>
        <v>141</v>
      </c>
      <c r="CC119" s="71">
        <f t="shared" si="149"/>
        <v>178</v>
      </c>
      <c r="CD119" s="72">
        <f t="shared" si="150"/>
        <v>186</v>
      </c>
      <c r="CE119" s="71">
        <f t="shared" si="151"/>
        <v>228</v>
      </c>
      <c r="CF119" s="72">
        <f t="shared" si="152"/>
        <v>268</v>
      </c>
      <c r="CG119" s="71">
        <f t="shared" si="153"/>
        <v>301</v>
      </c>
      <c r="CH119" s="70">
        <f t="shared" si="154"/>
        <v>58</v>
      </c>
      <c r="CI119" s="71" t="str">
        <f t="shared" si="155"/>
        <v>-</v>
      </c>
      <c r="CJ119" s="72">
        <f t="shared" si="156"/>
        <v>92</v>
      </c>
      <c r="CK119" s="72">
        <f t="shared" si="157"/>
        <v>96</v>
      </c>
      <c r="CL119" s="72">
        <f t="shared" si="158"/>
        <v>132</v>
      </c>
      <c r="CM119" s="72">
        <f t="shared" si="159"/>
        <v>140</v>
      </c>
      <c r="CN119" s="72">
        <f t="shared" si="160"/>
        <v>167</v>
      </c>
      <c r="CO119" s="72">
        <f t="shared" si="161"/>
        <v>180</v>
      </c>
      <c r="CP119" s="72">
        <f t="shared" si="162"/>
        <v>223</v>
      </c>
      <c r="CQ119" s="72">
        <f t="shared" si="163"/>
        <v>265</v>
      </c>
      <c r="CR119" s="72">
        <f t="shared" si="164"/>
        <v>300</v>
      </c>
      <c r="CS119" s="72">
        <f t="shared" si="165"/>
        <v>313</v>
      </c>
      <c r="CT119" s="23" t="e">
        <f t="shared" si="166"/>
        <v>#VALUE!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30" x14ac:dyDescent="0.2">
      <c r="A120" s="3" t="str">
        <f>CONCATENATE(B120,"_",C120)</f>
        <v>ccr5_human_5UIW</v>
      </c>
      <c r="B120" s="3" t="s">
        <v>173</v>
      </c>
      <c r="C120" s="3" t="s">
        <v>1434</v>
      </c>
      <c r="D120" s="3" t="str">
        <f>IFERROR(MID(VLOOKUP($B120,Seqs!$A:$B,2,0),E120,1),"")</f>
        <v>K</v>
      </c>
      <c r="E120" s="3">
        <v>22</v>
      </c>
      <c r="F120" s="3" t="str">
        <f>IFERROR(MID(VLOOKUP($B120,Seqs!$A:$B,2,0),G120,1),"")</f>
        <v>C</v>
      </c>
      <c r="G120" s="3">
        <v>58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63</v>
      </c>
      <c r="N120" s="3" t="str">
        <f>IFERROR(MID(VLOOKUP($B120,Seqs!$A:$B,2,0),O120,1),"")</f>
        <v>A</v>
      </c>
      <c r="O120" s="3">
        <v>92</v>
      </c>
      <c r="P120" s="3" t="str">
        <f>IFERROR(MID(VLOOKUP($B120,Seqs!$A:$B,2,0),Q120,1),"")</f>
        <v>Q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>A</v>
      </c>
      <c r="Y120" s="3">
        <v>133</v>
      </c>
      <c r="Z120" s="3" t="str">
        <f>IFERROR(MID(VLOOKUP($B120,Seqs!$A:$B,2,0),AA120,1),"")</f>
        <v>R</v>
      </c>
      <c r="AA120" s="3">
        <v>140</v>
      </c>
      <c r="AB120" s="3" t="str">
        <f>IFERROR(MID(VLOOKUP($B120,Seqs!$A:$B,2,0),AC120,1),"")</f>
        <v>T</v>
      </c>
      <c r="AC120" s="3">
        <v>141</v>
      </c>
      <c r="AD120" s="3" t="str">
        <f>IFERROR(MID(VLOOKUP($B120,Seqs!$A:$B,2,0),AE120,1),"")</f>
        <v>T</v>
      </c>
      <c r="AE120" s="3">
        <v>167</v>
      </c>
      <c r="AF120" s="3" t="str">
        <f>IFERROR(MID(VLOOKUP($B120,Seqs!$A:$B,2,0),AG120,1),"")</f>
        <v>C</v>
      </c>
      <c r="AG120" s="3">
        <v>178</v>
      </c>
      <c r="AH120" s="3" t="str">
        <f>IFERROR(MID(VLOOKUP($B120,Seqs!$A:$B,2,0),AI120,1),"")</f>
        <v>S</v>
      </c>
      <c r="AI120" s="3">
        <v>180</v>
      </c>
      <c r="AJ120" s="3" t="str">
        <f>IFERROR(MID(VLOOKUP($B120,Seqs!$A:$B,2,0),AK120,1),"")</f>
        <v>Q</v>
      </c>
      <c r="AK120" s="3">
        <v>186</v>
      </c>
      <c r="AL120" s="3" t="str">
        <f>IFERROR(MID(VLOOKUP($B120,Seqs!$A:$B,2,0),AM120,1),"")</f>
        <v>R</v>
      </c>
      <c r="AM120" s="3">
        <v>223</v>
      </c>
      <c r="AN120" s="3" t="str">
        <f>IFERROR(MID(VLOOKUP($B120,Seqs!$A:$B,2,0),AO120,1),"")</f>
        <v>E</v>
      </c>
      <c r="AO120" s="3">
        <v>227</v>
      </c>
      <c r="AP120" s="3" t="str">
        <f>IFERROR(MID(VLOOKUP($B120,Seqs!$A:$B,2,0),AQ120,1),"")</f>
        <v>Q</v>
      </c>
      <c r="AQ120" s="3">
        <v>261</v>
      </c>
      <c r="AR120" s="3" t="str">
        <f>IFERROR(MID(VLOOKUP($B120,Seqs!$A:$B,2,0),AS120,1),"")</f>
        <v>N</v>
      </c>
      <c r="AS120" s="3">
        <v>268</v>
      </c>
      <c r="AT120" s="3" t="str">
        <f>IFERROR(MID(VLOOKUP($B120,Seqs!$A:$B,2,0),AU120,1),"")</f>
        <v>V</v>
      </c>
      <c r="AU120" s="3">
        <v>300</v>
      </c>
      <c r="AV120" s="3" t="str">
        <f>IFERROR(MID(VLOOKUP($B120,Seqs!$A:$B,2,0),AW120,1),"")</f>
        <v>G</v>
      </c>
      <c r="AW120" s="3">
        <v>301</v>
      </c>
      <c r="AX120" s="3" t="str">
        <f>IFERROR(MID(VLOOKUP($B120,Seqs!$A:$B,2,0),AY120,1),"")</f>
        <v>I</v>
      </c>
      <c r="AY120" s="3">
        <v>316</v>
      </c>
      <c r="AZ120" s="77" t="str">
        <f>VLOOKUP(B120,Classification!A:D,2,0)</f>
        <v>A</v>
      </c>
      <c r="BA120" s="94" t="str">
        <f>VLOOKUP(B120,Classification!A:D,4,0)</f>
        <v>Chemokine</v>
      </c>
      <c r="BB120" s="27" t="b">
        <f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C120" s="23">
        <f>_xlfn.AGGREGATE(9,6,CH120:CS120)-_xlfn.AGGREGATE(9,6,BV120:CG120)+12</f>
        <v>268</v>
      </c>
      <c r="BD120" s="2" t="s">
        <v>1383</v>
      </c>
      <c r="BE120" s="3" t="s">
        <v>1381</v>
      </c>
      <c r="BF120" s="119">
        <v>2.2000000000000002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>E120</f>
        <v>22</v>
      </c>
      <c r="BW120" s="71" t="str">
        <f>I120</f>
        <v>-</v>
      </c>
      <c r="BX120" s="72">
        <f>M120</f>
        <v>63</v>
      </c>
      <c r="BY120" s="71">
        <f>Q120</f>
        <v>93</v>
      </c>
      <c r="BZ120" s="72">
        <f>U120</f>
        <v>97</v>
      </c>
      <c r="CA120" s="71">
        <f>Y120</f>
        <v>133</v>
      </c>
      <c r="CB120" s="72">
        <f>AC120</f>
        <v>141</v>
      </c>
      <c r="CC120" s="71">
        <f>AG120</f>
        <v>178</v>
      </c>
      <c r="CD120" s="72">
        <f>AK120</f>
        <v>186</v>
      </c>
      <c r="CE120" s="71">
        <f>AO120</f>
        <v>227</v>
      </c>
      <c r="CF120" s="72">
        <f>AS120</f>
        <v>268</v>
      </c>
      <c r="CG120" s="71">
        <f>AW120</f>
        <v>301</v>
      </c>
      <c r="CH120" s="70">
        <f>G120</f>
        <v>58</v>
      </c>
      <c r="CI120" s="71" t="str">
        <f>K120</f>
        <v>-</v>
      </c>
      <c r="CJ120" s="72">
        <f>O120</f>
        <v>92</v>
      </c>
      <c r="CK120" s="72">
        <f>S120</f>
        <v>96</v>
      </c>
      <c r="CL120" s="72">
        <f>W120</f>
        <v>132</v>
      </c>
      <c r="CM120" s="72">
        <f>AA120</f>
        <v>140</v>
      </c>
      <c r="CN120" s="72">
        <f>AE120</f>
        <v>167</v>
      </c>
      <c r="CO120" s="72">
        <f>AI120</f>
        <v>180</v>
      </c>
      <c r="CP120" s="72">
        <f>AM120</f>
        <v>223</v>
      </c>
      <c r="CQ120" s="72">
        <f>AQ120</f>
        <v>261</v>
      </c>
      <c r="CR120" s="72">
        <f>AU120</f>
        <v>300</v>
      </c>
      <c r="CS120" s="72">
        <f>AY120</f>
        <v>316</v>
      </c>
      <c r="CT120" s="23" t="e">
        <f>M120-K120</f>
        <v>#VALUE!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30" x14ac:dyDescent="0.2">
      <c r="A121" s="3" t="str">
        <f t="shared" si="167"/>
        <v>ccr9_human__wt</v>
      </c>
      <c r="B121" s="3" t="s">
        <v>177</v>
      </c>
      <c r="C121" s="3" t="s">
        <v>100</v>
      </c>
      <c r="D121" s="3" t="str">
        <f>IFERROR(MID(VLOOKUP($B121,Seqs!$A:$B,2,0),E121,1),"")</f>
        <v>V</v>
      </c>
      <c r="E121" s="3">
        <v>43</v>
      </c>
      <c r="F121" s="3" t="str">
        <f>IFERROR(MID(VLOOKUP($B121,Seqs!$A:$B,2,0),G121,1),"")</f>
        <v>C</v>
      </c>
      <c r="G121" s="3">
        <v>76</v>
      </c>
      <c r="H121" s="3" t="str">
        <f>IFERROR(MID(VLOOKUP($B121,Seqs!$A:$B,2,0),I121,1),"")</f>
        <v>T</v>
      </c>
      <c r="I121" s="23">
        <v>77</v>
      </c>
      <c r="J121" s="3" t="str">
        <f>IFERROR(MID(VLOOKUP($B121,Seqs!$A:$B,2,0),K121,1),"")</f>
        <v>K</v>
      </c>
      <c r="K121" s="23">
        <v>80</v>
      </c>
      <c r="L121" s="3" t="str">
        <f>IFERROR(MID(VLOOKUP($B121,Seqs!$A:$B,2,0),M121,1),"")</f>
        <v>T</v>
      </c>
      <c r="M121" s="3">
        <v>81</v>
      </c>
      <c r="N121" s="3" t="str">
        <f>IFERROR(MID(VLOOKUP($B121,Seqs!$A:$B,2,0),O121,1),"")</f>
        <v>D</v>
      </c>
      <c r="O121" s="3">
        <v>110</v>
      </c>
      <c r="P121" s="3" t="str">
        <f>IFERROR(MID(VLOOKUP($B121,Seqs!$A:$B,2,0),Q121,1),"")</f>
        <v>Q</v>
      </c>
      <c r="Q121" s="3">
        <v>111</v>
      </c>
      <c r="R121" s="3" t="str">
        <f>IFERROR(MID(VLOOKUP($B121,Seqs!$A:$B,2,0),S121,1),"")</f>
        <v>F</v>
      </c>
      <c r="S121" s="3">
        <v>114</v>
      </c>
      <c r="T121" s="3" t="str">
        <f>IFERROR(MID(VLOOKUP($B121,Seqs!$A:$B,2,0),U121,1),"")</f>
        <v>Q</v>
      </c>
      <c r="U121" s="3">
        <v>115</v>
      </c>
      <c r="V121" s="3" t="str">
        <f>IFERROR(MID(VLOOKUP($B121,Seqs!$A:$B,2,0),W121,1),"")</f>
        <v>Q</v>
      </c>
      <c r="W121" s="3">
        <v>150</v>
      </c>
      <c r="X121" s="3" t="str">
        <f>IFERROR(MID(VLOOKUP($B121,Seqs!$A:$B,2,0),Y121,1),"")</f>
        <v>A</v>
      </c>
      <c r="Y121" s="3">
        <v>151</v>
      </c>
      <c r="Z121" s="3" t="str">
        <f>IFERROR(MID(VLOOKUP($B121,Seqs!$A:$B,2,0),AA121,1),"")</f>
        <v>W</v>
      </c>
      <c r="AA121" s="3">
        <v>157</v>
      </c>
      <c r="AB121" s="3" t="str">
        <f>IFERROR(MID(VLOOKUP($B121,Seqs!$A:$B,2,0),AC121,1),"")</f>
        <v>R</v>
      </c>
      <c r="AC121" s="9">
        <v>158</v>
      </c>
      <c r="AD121" s="3" t="str">
        <f>IFERROR(MID(VLOOKUP($B121,Seqs!$A:$B,2,0),AE121,1),"")</f>
        <v>S</v>
      </c>
      <c r="AE121" s="3">
        <v>187</v>
      </c>
      <c r="AF121" s="3" t="str">
        <f>IFERROR(MID(VLOOKUP($B121,Seqs!$A:$B,2,0),AG121,1),"")</f>
        <v>C</v>
      </c>
      <c r="AG121" s="3">
        <v>198</v>
      </c>
      <c r="AH121" s="3" t="str">
        <f>IFERROR(MID(VLOOKUP($B121,Seqs!$A:$B,2,0),AI121,1),"")</f>
        <v>M</v>
      </c>
      <c r="AI121" s="3">
        <v>200</v>
      </c>
      <c r="AJ121" s="3" t="str">
        <f>IFERROR(MID(VLOOKUP($B121,Seqs!$A:$B,2,0),AK121,1),"")</f>
        <v>K</v>
      </c>
      <c r="AK121" s="3">
        <v>209</v>
      </c>
      <c r="AL121" s="3" t="str">
        <f>IFERROR(MID(VLOOKUP($B121,Seqs!$A:$B,2,0),AM121,1),"")</f>
        <v>A</v>
      </c>
      <c r="AM121" s="3">
        <v>244</v>
      </c>
      <c r="AN121" s="3" t="str">
        <f>IFERROR(MID(VLOOKUP($B121,Seqs!$A:$B,2,0),AO121,1),"")</f>
        <v>S</v>
      </c>
      <c r="AO121" s="3">
        <v>247</v>
      </c>
      <c r="AP121" s="3" t="str">
        <f>IFERROR(MID(VLOOKUP($B121,Seqs!$A:$B,2,0),AQ121,1),"")</f>
        <v>M</v>
      </c>
      <c r="AQ121" s="3">
        <v>284</v>
      </c>
      <c r="AR121" s="3" t="str">
        <f>IFERROR(MID(VLOOKUP($B121,Seqs!$A:$B,2,0),AS121,1),"")</f>
        <v>N</v>
      </c>
      <c r="AS121" s="3">
        <v>288</v>
      </c>
      <c r="AT121" s="3" t="str">
        <f>IFERROR(MID(VLOOKUP($B121,Seqs!$A:$B,2,0),AU121,1),"")</f>
        <v>V</v>
      </c>
      <c r="AU121" s="3">
        <v>320</v>
      </c>
      <c r="AV121" s="3" t="str">
        <f>IFERROR(MID(VLOOKUP($B121,Seqs!$A:$B,2,0),AW121,1),"")</f>
        <v>G</v>
      </c>
      <c r="AW121" s="3">
        <v>321</v>
      </c>
      <c r="AX121" s="3" t="str">
        <f>IFERROR(MID(VLOOKUP($B121,Seqs!$A:$B,2,0),AY121,1),"")</f>
        <v>A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Chemokine</v>
      </c>
      <c r="BB121" s="27" t="b">
        <f t="shared" si="168"/>
        <v>1</v>
      </c>
      <c r="BC121" s="23">
        <f t="shared" si="141"/>
        <v>276</v>
      </c>
      <c r="BD121" s="56" t="s">
        <v>1379</v>
      </c>
      <c r="BE121" s="3" t="s">
        <v>23</v>
      </c>
      <c r="BF121" s="119" t="s">
        <v>23</v>
      </c>
      <c r="BG121" s="49" t="s">
        <v>1379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142"/>
        <v>43</v>
      </c>
      <c r="BW121" s="71">
        <f t="shared" si="143"/>
        <v>77</v>
      </c>
      <c r="BX121" s="72">
        <f t="shared" si="144"/>
        <v>81</v>
      </c>
      <c r="BY121" s="71">
        <f t="shared" si="145"/>
        <v>111</v>
      </c>
      <c r="BZ121" s="72">
        <f t="shared" si="146"/>
        <v>115</v>
      </c>
      <c r="CA121" s="71">
        <f t="shared" si="147"/>
        <v>151</v>
      </c>
      <c r="CB121" s="72">
        <f t="shared" si="148"/>
        <v>158</v>
      </c>
      <c r="CC121" s="71">
        <f t="shared" si="149"/>
        <v>198</v>
      </c>
      <c r="CD121" s="72">
        <f t="shared" si="150"/>
        <v>209</v>
      </c>
      <c r="CE121" s="71">
        <f t="shared" si="151"/>
        <v>247</v>
      </c>
      <c r="CF121" s="72">
        <f t="shared" si="152"/>
        <v>288</v>
      </c>
      <c r="CG121" s="71">
        <f t="shared" si="153"/>
        <v>321</v>
      </c>
      <c r="CH121" s="70">
        <f t="shared" si="154"/>
        <v>76</v>
      </c>
      <c r="CI121" s="71">
        <f t="shared" si="155"/>
        <v>80</v>
      </c>
      <c r="CJ121" s="72">
        <f t="shared" si="156"/>
        <v>110</v>
      </c>
      <c r="CK121" s="72">
        <f t="shared" si="157"/>
        <v>114</v>
      </c>
      <c r="CL121" s="72">
        <f t="shared" si="158"/>
        <v>150</v>
      </c>
      <c r="CM121" s="72">
        <f t="shared" si="159"/>
        <v>157</v>
      </c>
      <c r="CN121" s="72">
        <f t="shared" si="160"/>
        <v>187</v>
      </c>
      <c r="CO121" s="72">
        <f t="shared" si="161"/>
        <v>200</v>
      </c>
      <c r="CP121" s="72">
        <f t="shared" si="162"/>
        <v>244</v>
      </c>
      <c r="CQ121" s="72">
        <f t="shared" si="163"/>
        <v>284</v>
      </c>
      <c r="CR121" s="72">
        <f t="shared" si="164"/>
        <v>320</v>
      </c>
      <c r="CS121" s="72">
        <f t="shared" si="165"/>
        <v>341</v>
      </c>
      <c r="CT121" s="23">
        <f t="shared" si="16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30" x14ac:dyDescent="0.2">
      <c r="A122" s="3" t="str">
        <f t="shared" si="167"/>
        <v>ccr9_human_5LWE</v>
      </c>
      <c r="B122" s="3" t="s">
        <v>177</v>
      </c>
      <c r="C122" s="3" t="s">
        <v>1372</v>
      </c>
      <c r="D122" s="3" t="str">
        <f>IFERROR(MID(VLOOKUP($B122,Seqs!$A:$B,2,0),E122,1),"")</f>
        <v>V</v>
      </c>
      <c r="E122" s="3">
        <v>43</v>
      </c>
      <c r="F122" s="3" t="str">
        <f>IFERROR(MID(VLOOKUP($B122,Seqs!$A:$B,2,0),G122,1),"")</f>
        <v>C</v>
      </c>
      <c r="G122" s="3">
        <v>76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T</v>
      </c>
      <c r="M122" s="3">
        <v>81</v>
      </c>
      <c r="N122" s="3" t="str">
        <f>IFERROR(MID(VLOOKUP($B122,Seqs!$A:$B,2,0),O122,1),"")</f>
        <v>A</v>
      </c>
      <c r="O122" s="3">
        <v>108</v>
      </c>
      <c r="P122" s="3" t="str">
        <f>IFERROR(MID(VLOOKUP($B122,Seqs!$A:$B,2,0),Q122,1),"")</f>
        <v/>
      </c>
      <c r="Q122" s="3" t="s">
        <v>23</v>
      </c>
      <c r="R122" s="3" t="str">
        <f>IFERROR(MID(VLOOKUP($B122,Seqs!$A:$B,2,0),S122,1),"")</f>
        <v/>
      </c>
      <c r="S122" s="3" t="s">
        <v>23</v>
      </c>
      <c r="T122" s="3" t="str">
        <f>IFERROR(MID(VLOOKUP($B122,Seqs!$A:$B,2,0),U122,1),"")</f>
        <v>C</v>
      </c>
      <c r="U122" s="3">
        <v>119</v>
      </c>
      <c r="V122" s="3" t="str">
        <f>IFERROR(MID(VLOOKUP($B122,Seqs!$A:$B,2,0),W122,1),"")</f>
        <v>Q</v>
      </c>
      <c r="W122" s="3">
        <v>150</v>
      </c>
      <c r="X122" s="3" t="str">
        <f>IFERROR(MID(VLOOKUP($B122,Seqs!$A:$B,2,0),Y122,1),"")</f>
        <v>A</v>
      </c>
      <c r="Y122" s="3">
        <v>151</v>
      </c>
      <c r="Z122" s="3" t="str">
        <f>IFERROR(MID(VLOOKUP($B122,Seqs!$A:$B,2,0),AA122,1),"")</f>
        <v>W</v>
      </c>
      <c r="AA122" s="3">
        <v>157</v>
      </c>
      <c r="AB122" s="3" t="str">
        <f>IFERROR(MID(VLOOKUP($B122,Seqs!$A:$B,2,0),AC122,1),"")</f>
        <v>R</v>
      </c>
      <c r="AC122" s="9">
        <v>158</v>
      </c>
      <c r="AD122" s="3" t="str">
        <f>IFERROR(MID(VLOOKUP($B122,Seqs!$A:$B,2,0),AE122,1),"")</f>
        <v>I</v>
      </c>
      <c r="AE122" s="3">
        <v>184</v>
      </c>
      <c r="AF122" s="3" t="str">
        <f>IFERROR(MID(VLOOKUP($B122,Seqs!$A:$B,2,0),AG122,1),"")</f>
        <v/>
      </c>
      <c r="AG122" s="3" t="s">
        <v>23</v>
      </c>
      <c r="AH122" s="3" t="str">
        <f>IFERROR(MID(VLOOKUP($B122,Seqs!$A:$B,2,0),AI122,1),"")</f>
        <v/>
      </c>
      <c r="AI122" s="3" t="s">
        <v>23</v>
      </c>
      <c r="AJ122" s="3" t="str">
        <f>IFERROR(MID(VLOOKUP($B122,Seqs!$A:$B,2,0),AK122,1),"")</f>
        <v/>
      </c>
      <c r="AK122" s="3" t="s">
        <v>23</v>
      </c>
      <c r="AL122" s="3" t="str">
        <f>IFERROR(MID(VLOOKUP($B122,Seqs!$A:$B,2,0),AM122,1),"")</f>
        <v/>
      </c>
      <c r="AM122" s="3" t="s">
        <v>23</v>
      </c>
      <c r="AN122" s="3" t="str">
        <f>IFERROR(MID(VLOOKUP($B122,Seqs!$A:$B,2,0),AO122,1),"")</f>
        <v>S</v>
      </c>
      <c r="AO122" s="3">
        <v>247</v>
      </c>
      <c r="AP122" s="3" t="str">
        <f>IFERROR(MID(VLOOKUP($B122,Seqs!$A:$B,2,0),AQ122,1),"")</f>
        <v>M</v>
      </c>
      <c r="AQ122" s="3">
        <v>284</v>
      </c>
      <c r="AR122" s="3" t="str">
        <f>IFERROR(MID(VLOOKUP($B122,Seqs!$A:$B,2,0),AS122,1),"")</f>
        <v>N</v>
      </c>
      <c r="AS122" s="3">
        <v>288</v>
      </c>
      <c r="AT122" s="3" t="str">
        <f>IFERROR(MID(VLOOKUP($B122,Seqs!$A:$B,2,0),AU122,1),"")</f>
        <v>V</v>
      </c>
      <c r="AU122" s="3">
        <v>320</v>
      </c>
      <c r="AV122" s="3" t="str">
        <f>IFERROR(MID(VLOOKUP($B122,Seqs!$A:$B,2,0),AW122,1),"")</f>
        <v>G</v>
      </c>
      <c r="AW122" s="3">
        <v>321</v>
      </c>
      <c r="AX122" s="3" t="str">
        <f>IFERROR(MID(VLOOKUP($B122,Seqs!$A:$B,2,0),AY122,1),"")</f>
        <v>A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Chemokine</v>
      </c>
      <c r="BB122" s="27" t="b">
        <f t="shared" si="168"/>
        <v>0</v>
      </c>
      <c r="BC122" s="23">
        <f t="shared" si="141"/>
        <v>224</v>
      </c>
      <c r="BD122" s="16" t="s">
        <v>1383</v>
      </c>
      <c r="BE122" s="3" t="s">
        <v>1381</v>
      </c>
      <c r="BF122" s="119">
        <v>2.8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142"/>
        <v>43</v>
      </c>
      <c r="BW122" s="71" t="str">
        <f t="shared" si="143"/>
        <v>-</v>
      </c>
      <c r="BX122" s="72">
        <f t="shared" si="144"/>
        <v>81</v>
      </c>
      <c r="BY122" s="71" t="str">
        <f t="shared" si="145"/>
        <v>-</v>
      </c>
      <c r="BZ122" s="72">
        <f t="shared" si="146"/>
        <v>119</v>
      </c>
      <c r="CA122" s="71">
        <f t="shared" si="147"/>
        <v>151</v>
      </c>
      <c r="CB122" s="72">
        <f t="shared" si="148"/>
        <v>158</v>
      </c>
      <c r="CC122" s="71" t="str">
        <f t="shared" si="149"/>
        <v>-</v>
      </c>
      <c r="CD122" s="72" t="str">
        <f t="shared" si="150"/>
        <v>-</v>
      </c>
      <c r="CE122" s="71">
        <f t="shared" si="151"/>
        <v>247</v>
      </c>
      <c r="CF122" s="72">
        <f t="shared" si="152"/>
        <v>288</v>
      </c>
      <c r="CG122" s="71">
        <f t="shared" si="153"/>
        <v>321</v>
      </c>
      <c r="CH122" s="70">
        <f t="shared" si="154"/>
        <v>76</v>
      </c>
      <c r="CI122" s="71" t="str">
        <f t="shared" si="155"/>
        <v>-</v>
      </c>
      <c r="CJ122" s="72">
        <f t="shared" si="156"/>
        <v>108</v>
      </c>
      <c r="CK122" s="72" t="str">
        <f t="shared" si="157"/>
        <v>-</v>
      </c>
      <c r="CL122" s="72">
        <f t="shared" si="158"/>
        <v>150</v>
      </c>
      <c r="CM122" s="72">
        <f t="shared" si="159"/>
        <v>157</v>
      </c>
      <c r="CN122" s="72">
        <f t="shared" si="160"/>
        <v>184</v>
      </c>
      <c r="CO122" s="72" t="str">
        <f t="shared" si="161"/>
        <v>-</v>
      </c>
      <c r="CP122" s="72" t="str">
        <f t="shared" si="162"/>
        <v>-</v>
      </c>
      <c r="CQ122" s="72">
        <f t="shared" si="163"/>
        <v>284</v>
      </c>
      <c r="CR122" s="72">
        <f t="shared" si="164"/>
        <v>320</v>
      </c>
      <c r="CS122" s="72">
        <f t="shared" si="165"/>
        <v>341</v>
      </c>
      <c r="CT122" s="23" t="e">
        <f t="shared" si="166"/>
        <v>#VALUE!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30" x14ac:dyDescent="0.2">
      <c r="A123" s="3" t="str">
        <f>CONCATENATE(B123,"_",C123)</f>
        <v>ccr9_human_5LWE_dist</v>
      </c>
      <c r="B123" s="3" t="s">
        <v>177</v>
      </c>
      <c r="C123" s="3" t="s">
        <v>1391</v>
      </c>
      <c r="D123" s="3" t="str">
        <f>IFERROR(MID(VLOOKUP($B123,Seqs!$A:$B,2,0),E123,1),"")</f>
        <v>V</v>
      </c>
      <c r="E123" s="3">
        <v>43</v>
      </c>
      <c r="F123" s="3" t="str">
        <f>IFERROR(MID(VLOOKUP($B123,Seqs!$A:$B,2,0),G123,1),"")</f>
        <v>C</v>
      </c>
      <c r="G123" s="3">
        <v>76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T</v>
      </c>
      <c r="M123" s="3">
        <v>81</v>
      </c>
      <c r="N123" s="3" t="str">
        <f>IFERROR(MID(VLOOKUP($B123,Seqs!$A:$B,2,0),O123,1),"")</f>
        <v>A</v>
      </c>
      <c r="O123" s="3">
        <v>108</v>
      </c>
      <c r="P123" s="3" t="str">
        <f>IFERROR(MID(VLOOKUP($B123,Seqs!$A:$B,2,0),Q123,1),"")</f>
        <v/>
      </c>
      <c r="Q123" s="3" t="s">
        <v>23</v>
      </c>
      <c r="R123" s="3" t="str">
        <f>IFERROR(MID(VLOOKUP($B123,Seqs!$A:$B,2,0),S123,1),"")</f>
        <v/>
      </c>
      <c r="S123" s="3" t="s">
        <v>23</v>
      </c>
      <c r="T123" s="3" t="str">
        <f>IFERROR(MID(VLOOKUP($B123,Seqs!$A:$B,2,0),U123,1),"")</f>
        <v>C</v>
      </c>
      <c r="U123" s="3">
        <v>119</v>
      </c>
      <c r="V123" s="3" t="str">
        <f>IFERROR(MID(VLOOKUP($B123,Seqs!$A:$B,2,0),W123,1),"")</f>
        <v>Q</v>
      </c>
      <c r="W123" s="3">
        <v>150</v>
      </c>
      <c r="X123" s="3" t="str">
        <f>IFERROR(MID(VLOOKUP($B123,Seqs!$A:$B,2,0),Y123,1),"")</f>
        <v>A</v>
      </c>
      <c r="Y123" s="3">
        <v>151</v>
      </c>
      <c r="Z123" s="3" t="str">
        <f>IFERROR(MID(VLOOKUP($B123,Seqs!$A:$B,2,0),AA123,1),"")</f>
        <v>W</v>
      </c>
      <c r="AA123" s="3">
        <v>157</v>
      </c>
      <c r="AB123" s="3" t="str">
        <f>IFERROR(MID(VLOOKUP($B123,Seqs!$A:$B,2,0),AC123,1),"")</f>
        <v>R</v>
      </c>
      <c r="AC123" s="9">
        <v>158</v>
      </c>
      <c r="AD123" s="3" t="str">
        <f>IFERROR(MID(VLOOKUP($B123,Seqs!$A:$B,2,0),AE123,1),"")</f>
        <v>I</v>
      </c>
      <c r="AE123" s="3">
        <v>184</v>
      </c>
      <c r="AF123" s="3" t="str">
        <f>IFERROR(MID(VLOOKUP($B123,Seqs!$A:$B,2,0),AG123,1),"")</f>
        <v/>
      </c>
      <c r="AG123" s="3" t="s">
        <v>23</v>
      </c>
      <c r="AH123" s="3" t="str">
        <f>IFERROR(MID(VLOOKUP($B123,Seqs!$A:$B,2,0),AI123,1),"")</f>
        <v/>
      </c>
      <c r="AI123" s="3" t="s">
        <v>23</v>
      </c>
      <c r="AJ123" s="3" t="str">
        <f>IFERROR(MID(VLOOKUP($B123,Seqs!$A:$B,2,0),AK123,1),"")</f>
        <v>K</v>
      </c>
      <c r="AK123" s="3">
        <v>209</v>
      </c>
      <c r="AL123" s="3" t="str">
        <f>IFERROR(MID(VLOOKUP($B123,Seqs!$A:$B,2,0),AM123,1),"")</f>
        <v>A</v>
      </c>
      <c r="AM123" s="3">
        <v>244</v>
      </c>
      <c r="AN123" s="3" t="str">
        <f>IFERROR(MID(VLOOKUP($B123,Seqs!$A:$B,2,0),AO123,1),"")</f>
        <v>S</v>
      </c>
      <c r="AO123" s="3">
        <v>247</v>
      </c>
      <c r="AP123" s="3" t="str">
        <f>IFERROR(MID(VLOOKUP($B123,Seqs!$A:$B,2,0),AQ123,1),"")</f>
        <v>M</v>
      </c>
      <c r="AQ123" s="3">
        <v>284</v>
      </c>
      <c r="AR123" s="3" t="str">
        <f>IFERROR(MID(VLOOKUP($B123,Seqs!$A:$B,2,0),AS123,1),"")</f>
        <v>N</v>
      </c>
      <c r="AS123" s="3">
        <v>288</v>
      </c>
      <c r="AT123" s="3" t="str">
        <f>IFERROR(MID(VLOOKUP($B123,Seqs!$A:$B,2,0),AU123,1),"")</f>
        <v>V</v>
      </c>
      <c r="AU123" s="3">
        <v>320</v>
      </c>
      <c r="AV123" s="3" t="str">
        <f>IFERROR(MID(VLOOKUP($B123,Seqs!$A:$B,2,0),AW123,1),"")</f>
        <v>G</v>
      </c>
      <c r="AW123" s="3">
        <v>321</v>
      </c>
      <c r="AX123" s="3" t="str">
        <f>IFERROR(MID(VLOOKUP($B123,Seqs!$A:$B,2,0),AY123,1),"")</f>
        <v>A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Chemokine</v>
      </c>
      <c r="BB123" s="27" t="b">
        <f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>_xlfn.AGGREGATE(9,6,CH123:CS123)-_xlfn.AGGREGATE(9,6,BV123:CG123)+12</f>
        <v>259</v>
      </c>
      <c r="BD123" s="16" t="s">
        <v>23</v>
      </c>
      <c r="BE123" s="3" t="s">
        <v>1381</v>
      </c>
      <c r="BF123" s="119">
        <v>2.8</v>
      </c>
      <c r="BG123" s="49" t="s">
        <v>1384</v>
      </c>
      <c r="BH123" s="49" t="s">
        <v>1384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>E123</f>
        <v>43</v>
      </c>
      <c r="BW123" s="71" t="str">
        <f>I123</f>
        <v>-</v>
      </c>
      <c r="BX123" s="72">
        <f>M123</f>
        <v>81</v>
      </c>
      <c r="BY123" s="71" t="str">
        <f>Q123</f>
        <v>-</v>
      </c>
      <c r="BZ123" s="72">
        <f>U123</f>
        <v>119</v>
      </c>
      <c r="CA123" s="71">
        <f>Y123</f>
        <v>151</v>
      </c>
      <c r="CB123" s="72">
        <f>AC123</f>
        <v>158</v>
      </c>
      <c r="CC123" s="71" t="str">
        <f>AG123</f>
        <v>-</v>
      </c>
      <c r="CD123" s="72">
        <f>AK123</f>
        <v>209</v>
      </c>
      <c r="CE123" s="71">
        <f>AO123</f>
        <v>247</v>
      </c>
      <c r="CF123" s="72">
        <f>AS123</f>
        <v>288</v>
      </c>
      <c r="CG123" s="71">
        <f>AW123</f>
        <v>321</v>
      </c>
      <c r="CH123" s="70">
        <f>G123</f>
        <v>76</v>
      </c>
      <c r="CI123" s="71" t="str">
        <f>K123</f>
        <v>-</v>
      </c>
      <c r="CJ123" s="72">
        <f>O123</f>
        <v>108</v>
      </c>
      <c r="CK123" s="72" t="str">
        <f>S123</f>
        <v>-</v>
      </c>
      <c r="CL123" s="72">
        <f>W123</f>
        <v>150</v>
      </c>
      <c r="CM123" s="72">
        <f>AA123</f>
        <v>157</v>
      </c>
      <c r="CN123" s="72">
        <f>AE123</f>
        <v>184</v>
      </c>
      <c r="CO123" s="72" t="str">
        <f>AI123</f>
        <v>-</v>
      </c>
      <c r="CP123" s="72">
        <f>AM123</f>
        <v>244</v>
      </c>
      <c r="CQ123" s="72">
        <f>AQ123</f>
        <v>284</v>
      </c>
      <c r="CR123" s="72">
        <f>AU123</f>
        <v>320</v>
      </c>
      <c r="CS123" s="72">
        <f>AY123</f>
        <v>341</v>
      </c>
      <c r="CT123" s="23" t="e">
        <f>M123-K123</f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30" x14ac:dyDescent="0.2">
      <c r="A124" s="3" t="str">
        <f t="shared" si="167"/>
        <v>cnr1_human__wt</v>
      </c>
      <c r="B124" s="3" t="s">
        <v>182</v>
      </c>
      <c r="C124" s="3" t="s">
        <v>100</v>
      </c>
      <c r="D124" s="3" t="str">
        <f>IFERROR(MID(VLOOKUP($B124,Seqs!$A:$B,2,0),E124,1),"")</f>
        <v>N</v>
      </c>
      <c r="E124" s="3">
        <v>112</v>
      </c>
      <c r="F124" s="3" t="str">
        <f>IFERROR(MID(VLOOKUP($B124,Seqs!$A:$B,2,0),G124,1),"")</f>
        <v>S</v>
      </c>
      <c r="G124" s="3">
        <v>144</v>
      </c>
      <c r="H124" s="3" t="str">
        <f>IFERROR(MID(VLOOKUP($B124,Seqs!$A:$B,2,0),I124,1),"")</f>
        <v>R</v>
      </c>
      <c r="I124" s="23">
        <v>145</v>
      </c>
      <c r="J124" s="3" t="str">
        <f>IFERROR(MID(VLOOKUP($B124,Seqs!$A:$B,2,0),K124,1),"")</f>
        <v>R</v>
      </c>
      <c r="K124" s="23">
        <v>148</v>
      </c>
      <c r="L124" s="3" t="str">
        <f>IFERROR(MID(VLOOKUP($B124,Seqs!$A:$B,2,0),M124,1),"")</f>
        <v>R</v>
      </c>
      <c r="M124" s="3">
        <v>150</v>
      </c>
      <c r="N124" s="3" t="str">
        <f>IFERROR(MID(VLOOKUP($B124,Seqs!$A:$B,2,0),O124,1),"")</f>
        <v>V</v>
      </c>
      <c r="O124" s="3">
        <v>179</v>
      </c>
      <c r="P124" s="3" t="str">
        <f>IFERROR(MID(VLOOKUP($B124,Seqs!$A:$B,2,0),Q124,1),"")</f>
        <v/>
      </c>
      <c r="Q124" s="3" t="s">
        <v>23</v>
      </c>
      <c r="R124" s="3" t="str">
        <f>IFERROR(MID(VLOOKUP($B124,Seqs!$A:$B,2,0),S124,1),"")</f>
        <v/>
      </c>
      <c r="S124" s="3" t="s">
        <v>23</v>
      </c>
      <c r="T124" s="3" t="str">
        <f>IFERROR(MID(VLOOKUP($B124,Seqs!$A:$B,2,0),U124,1),"")</f>
        <v>S</v>
      </c>
      <c r="U124" s="3">
        <v>185</v>
      </c>
      <c r="V124" s="3" t="str">
        <f>IFERROR(MID(VLOOKUP($B124,Seqs!$A:$B,2,0),W124,1),"")</f>
        <v>R</v>
      </c>
      <c r="W124" s="3">
        <v>220</v>
      </c>
      <c r="X124" s="3" t="str">
        <f>IFERROR(MID(VLOOKUP($B124,Seqs!$A:$B,2,0),Y124,1),"")</f>
        <v>P</v>
      </c>
      <c r="Y124" s="3">
        <v>221</v>
      </c>
      <c r="Z124" s="3" t="str">
        <f>IFERROR(MID(VLOOKUP($B124,Seqs!$A:$B,2,0),AA124,1),"")</f>
        <v>V</v>
      </c>
      <c r="AA124" s="3">
        <v>228</v>
      </c>
      <c r="AB124" s="3" t="str">
        <f>IFERROR(MID(VLOOKUP($B124,Seqs!$A:$B,2,0),AC124,1),"")</f>
        <v>T</v>
      </c>
      <c r="AC124" s="9">
        <v>229</v>
      </c>
      <c r="AD124" s="3" t="str">
        <f>IFERROR(MID(VLOOKUP($B124,Seqs!$A:$B,2,0),AE124,1),"")</f>
        <v>G</v>
      </c>
      <c r="AE124" s="3">
        <v>254</v>
      </c>
      <c r="AF124" s="3" t="str">
        <f>IFERROR(MID(VLOOKUP($B124,Seqs!$A:$B,2,0),AG124,1),"")</f>
        <v/>
      </c>
      <c r="AG124" s="3" t="s">
        <v>23</v>
      </c>
      <c r="AH124" s="3" t="str">
        <f>IFERROR(MID(VLOOKUP($B124,Seqs!$A:$B,2,0),AI124,1),"")</f>
        <v/>
      </c>
      <c r="AI124" s="3" t="s">
        <v>23</v>
      </c>
      <c r="AJ124" s="3" t="str">
        <f>IFERROR(MID(VLOOKUP($B124,Seqs!$A:$B,2,0),AK124,1),"")</f>
        <v>D</v>
      </c>
      <c r="AK124" s="3">
        <v>272</v>
      </c>
      <c r="AL124" s="3" t="str">
        <f>IFERROR(MID(VLOOKUP($B124,Seqs!$A:$B,2,0),AM124,1),"")</f>
        <v>G</v>
      </c>
      <c r="AM124" s="3">
        <v>312</v>
      </c>
      <c r="AN124" s="3" t="str">
        <f>IFERROR(MID(VLOOKUP($B124,Seqs!$A:$B,2,0),AO124,1),"")</f>
        <v>P</v>
      </c>
      <c r="AO124" s="3">
        <v>332</v>
      </c>
      <c r="AP124" s="3" t="str">
        <f>IFERROR(MID(VLOOKUP($B124,Seqs!$A:$B,2,0),AQ124,1),"")</f>
        <v>G</v>
      </c>
      <c r="AQ124" s="3">
        <v>369</v>
      </c>
      <c r="AR124" s="3" t="str">
        <f>IFERROR(MID(VLOOKUP($B124,Seqs!$A:$B,2,0),AS124,1),"")</f>
        <v>N</v>
      </c>
      <c r="AS124" s="3">
        <v>372</v>
      </c>
      <c r="AT124" s="3" t="str">
        <f>IFERROR(MID(VLOOKUP($B124,Seqs!$A:$B,2,0),AU124,1),"")</f>
        <v>R</v>
      </c>
      <c r="AU124" s="3">
        <v>400</v>
      </c>
      <c r="AV124" s="3" t="str">
        <f>IFERROR(MID(VLOOKUP($B124,Seqs!$A:$B,2,0),AW124,1),"")</f>
        <v>S</v>
      </c>
      <c r="AW124" s="3">
        <v>401</v>
      </c>
      <c r="AX124" s="3" t="str">
        <f>IFERROR(MID(VLOOKUP($B124,Seqs!$A:$B,2,0),AY124,1),"")</f>
        <v>P</v>
      </c>
      <c r="AY124" s="3">
        <v>413</v>
      </c>
      <c r="AZ124" s="77" t="str">
        <f>VLOOKUP(B124,Classification!A:D,2,0)</f>
        <v>A</v>
      </c>
      <c r="BA124" s="94" t="str">
        <f>VLOOKUP(B124,Classification!A:D,4,0)</f>
        <v>Cannabinoid</v>
      </c>
      <c r="BB124" s="27" t="b">
        <f t="shared" si="168"/>
        <v>1</v>
      </c>
      <c r="BC124" s="23">
        <f t="shared" si="141"/>
        <v>260</v>
      </c>
      <c r="BD124" s="56" t="s">
        <v>1379</v>
      </c>
      <c r="BE124" s="3" t="s">
        <v>23</v>
      </c>
      <c r="BF124" s="119" t="s">
        <v>23</v>
      </c>
      <c r="BG124" s="49" t="s">
        <v>1379</v>
      </c>
      <c r="BH124" s="49" t="s">
        <v>1384</v>
      </c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142"/>
        <v>112</v>
      </c>
      <c r="BW124" s="71">
        <f t="shared" si="143"/>
        <v>145</v>
      </c>
      <c r="BX124" s="72">
        <f t="shared" si="144"/>
        <v>150</v>
      </c>
      <c r="BY124" s="71" t="str">
        <f t="shared" si="145"/>
        <v>-</v>
      </c>
      <c r="BZ124" s="72">
        <f t="shared" si="146"/>
        <v>185</v>
      </c>
      <c r="CA124" s="71">
        <f t="shared" si="147"/>
        <v>221</v>
      </c>
      <c r="CB124" s="72">
        <f t="shared" si="148"/>
        <v>229</v>
      </c>
      <c r="CC124" s="71" t="str">
        <f t="shared" si="149"/>
        <v>-</v>
      </c>
      <c r="CD124" s="72">
        <f t="shared" si="150"/>
        <v>272</v>
      </c>
      <c r="CE124" s="71">
        <f t="shared" si="151"/>
        <v>332</v>
      </c>
      <c r="CF124" s="72">
        <f t="shared" si="152"/>
        <v>372</v>
      </c>
      <c r="CG124" s="71">
        <f t="shared" si="153"/>
        <v>401</v>
      </c>
      <c r="CH124" s="70">
        <f t="shared" si="154"/>
        <v>144</v>
      </c>
      <c r="CI124" s="71">
        <f t="shared" si="155"/>
        <v>148</v>
      </c>
      <c r="CJ124" s="72">
        <f t="shared" si="156"/>
        <v>179</v>
      </c>
      <c r="CK124" s="72" t="str">
        <f t="shared" si="157"/>
        <v>-</v>
      </c>
      <c r="CL124" s="72">
        <f t="shared" si="158"/>
        <v>220</v>
      </c>
      <c r="CM124" s="72">
        <f t="shared" si="159"/>
        <v>228</v>
      </c>
      <c r="CN124" s="72">
        <f t="shared" si="160"/>
        <v>254</v>
      </c>
      <c r="CO124" s="72" t="str">
        <f t="shared" si="161"/>
        <v>-</v>
      </c>
      <c r="CP124" s="72">
        <f t="shared" si="162"/>
        <v>312</v>
      </c>
      <c r="CQ124" s="72">
        <f t="shared" si="163"/>
        <v>369</v>
      </c>
      <c r="CR124" s="72">
        <f t="shared" si="164"/>
        <v>400</v>
      </c>
      <c r="CS124" s="72">
        <f t="shared" si="165"/>
        <v>413</v>
      </c>
      <c r="CT124" s="23">
        <f t="shared" si="166"/>
        <v>2</v>
      </c>
    </row>
    <row r="125" spans="1:1030" s="3" customFormat="1" x14ac:dyDescent="0.2">
      <c r="A125" s="3" t="str">
        <f t="shared" si="167"/>
        <v>cnr1_human_5TGZ</v>
      </c>
      <c r="B125" s="3" t="s">
        <v>182</v>
      </c>
      <c r="C125" s="3" t="s">
        <v>1365</v>
      </c>
      <c r="D125" s="3" t="str">
        <f>IFERROR(MID(VLOOKUP($B125,Seqs!$A:$B,2,0),E125,1),"")</f>
        <v>P</v>
      </c>
      <c r="E125" s="3">
        <v>113</v>
      </c>
      <c r="F125" s="3" t="str">
        <f>IFERROR(MID(VLOOKUP($B125,Seqs!$A:$B,2,0),G125,1),"")</f>
        <v>S</v>
      </c>
      <c r="G125" s="3">
        <v>144</v>
      </c>
      <c r="H125" s="3" t="str">
        <f>IFERROR(MID(VLOOKUP($B125,Seqs!$A:$B,2,0),I125,1),"")</f>
        <v>R</v>
      </c>
      <c r="I125" s="23">
        <v>145</v>
      </c>
      <c r="J125" s="3" t="str">
        <f>IFERROR(MID(VLOOKUP($B125,Seqs!$A:$B,2,0),K125,1),"")</f>
        <v>R</v>
      </c>
      <c r="K125" s="23">
        <v>148</v>
      </c>
      <c r="L125" s="3" t="str">
        <f>IFERROR(MID(VLOOKUP($B125,Seqs!$A:$B,2,0),M125,1),"")</f>
        <v>R</v>
      </c>
      <c r="M125" s="3">
        <v>150</v>
      </c>
      <c r="N125" s="3" t="str">
        <f>IFERROR(MID(VLOOKUP($B125,Seqs!$A:$B,2,0),O125,1),"")</f>
        <v>V</v>
      </c>
      <c r="O125" s="3">
        <v>179</v>
      </c>
      <c r="P125" s="3" t="str">
        <f>IFERROR(MID(VLOOKUP($B125,Seqs!$A:$B,2,0),Q125,1),"")</f>
        <v/>
      </c>
      <c r="Q125" s="3" t="s">
        <v>23</v>
      </c>
      <c r="R125" s="3" t="str">
        <f>IFERROR(MID(VLOOKUP($B125,Seqs!$A:$B,2,0),S125,1),"")</f>
        <v/>
      </c>
      <c r="S125" s="3" t="s">
        <v>23</v>
      </c>
      <c r="T125" s="3" t="str">
        <f>IFERROR(MID(VLOOKUP($B125,Seqs!$A:$B,2,0),U125,1),"")</f>
        <v>S</v>
      </c>
      <c r="U125" s="3">
        <v>185</v>
      </c>
      <c r="V125" s="3" t="str">
        <f>IFERROR(MID(VLOOKUP($B125,Seqs!$A:$B,2,0),W125,1),"")</f>
        <v>R</v>
      </c>
      <c r="W125" s="3">
        <v>220</v>
      </c>
      <c r="X125" s="3" t="str">
        <f>IFERROR(MID(VLOOKUP($B125,Seqs!$A:$B,2,0),Y125,1),"")</f>
        <v>P</v>
      </c>
      <c r="Y125" s="3">
        <v>221</v>
      </c>
      <c r="Z125" s="3" t="str">
        <f>IFERROR(MID(VLOOKUP($B125,Seqs!$A:$B,2,0),AA125,1),"")</f>
        <v>V</v>
      </c>
      <c r="AA125" s="3">
        <v>228</v>
      </c>
      <c r="AB125" s="3" t="str">
        <f>IFERROR(MID(VLOOKUP($B125,Seqs!$A:$B,2,0),AC125,1),"")</f>
        <v>T</v>
      </c>
      <c r="AC125" s="9">
        <v>229</v>
      </c>
      <c r="AD125" s="3" t="str">
        <f>IFERROR(MID(VLOOKUP($B125,Seqs!$A:$B,2,0),AE125,1),"")</f>
        <v>G</v>
      </c>
      <c r="AE125" s="3">
        <v>254</v>
      </c>
      <c r="AF125" s="3" t="str">
        <f>IFERROR(MID(VLOOKUP($B125,Seqs!$A:$B,2,0),AG125,1),"")</f>
        <v/>
      </c>
      <c r="AG125" s="3" t="s">
        <v>23</v>
      </c>
      <c r="AH125" s="3" t="str">
        <f>IFERROR(MID(VLOOKUP($B125,Seqs!$A:$B,2,0),AI125,1),"")</f>
        <v/>
      </c>
      <c r="AI125" s="3" t="s">
        <v>23</v>
      </c>
      <c r="AJ125" s="3" t="str">
        <f>IFERROR(MID(VLOOKUP($B125,Seqs!$A:$B,2,0),AK125,1),"")</f>
        <v>D</v>
      </c>
      <c r="AK125" s="3">
        <v>272</v>
      </c>
      <c r="AL125" s="3" t="str">
        <f>IFERROR(MID(VLOOKUP($B125,Seqs!$A:$B,2,0),AM125,1),"")</f>
        <v>H</v>
      </c>
      <c r="AM125" s="3">
        <v>304</v>
      </c>
      <c r="AN125" s="3" t="str">
        <f>IFERROR(MID(VLOOKUP($B125,Seqs!$A:$B,2,0),AO125,1),"")</f>
        <v>P</v>
      </c>
      <c r="AO125" s="3">
        <v>332</v>
      </c>
      <c r="AP125" s="3" t="str">
        <f>IFERROR(MID(VLOOKUP($B125,Seqs!$A:$B,2,0),AQ125,1),"")</f>
        <v>F</v>
      </c>
      <c r="AQ125" s="3">
        <v>368</v>
      </c>
      <c r="AR125" s="3" t="str">
        <f>IFERROR(MID(VLOOKUP($B125,Seqs!$A:$B,2,0),AS125,1),"")</f>
        <v>N</v>
      </c>
      <c r="AS125" s="3">
        <v>372</v>
      </c>
      <c r="AT125" s="3" t="str">
        <f>IFERROR(MID(VLOOKUP($B125,Seqs!$A:$B,2,0),AU125,1),"")</f>
        <v>R</v>
      </c>
      <c r="AU125" s="3">
        <v>400</v>
      </c>
      <c r="AV125" s="3" t="str">
        <f>IFERROR(MID(VLOOKUP($B125,Seqs!$A:$B,2,0),AW125,1),"")</f>
        <v>S</v>
      </c>
      <c r="AW125" s="3">
        <v>401</v>
      </c>
      <c r="AX125" s="3" t="str">
        <f>IFERROR(MID(VLOOKUP($B125,Seqs!$A:$B,2,0),AY125,1),"")</f>
        <v>M</v>
      </c>
      <c r="AY125" s="3">
        <v>411</v>
      </c>
      <c r="AZ125" s="77" t="str">
        <f>VLOOKUP(B125,Classification!A:D,2,0)</f>
        <v>A</v>
      </c>
      <c r="BA125" s="94" t="str">
        <f>VLOOKUP(B125,Classification!A:D,4,0)</f>
        <v>Cannabinoid</v>
      </c>
      <c r="BB125" s="27" t="b">
        <f t="shared" si="168"/>
        <v>1</v>
      </c>
      <c r="BC125" s="23">
        <f t="shared" si="141"/>
        <v>248</v>
      </c>
      <c r="BD125" s="16" t="s">
        <v>1383</v>
      </c>
      <c r="BE125" s="3" t="s">
        <v>1381</v>
      </c>
      <c r="BF125" s="119">
        <v>2.8</v>
      </c>
      <c r="BG125" s="49" t="s">
        <v>1384</v>
      </c>
      <c r="BH125" s="49" t="s">
        <v>1384</v>
      </c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142"/>
        <v>113</v>
      </c>
      <c r="BW125" s="71">
        <f t="shared" si="143"/>
        <v>145</v>
      </c>
      <c r="BX125" s="72">
        <f t="shared" si="144"/>
        <v>150</v>
      </c>
      <c r="BY125" s="71" t="str">
        <f t="shared" si="145"/>
        <v>-</v>
      </c>
      <c r="BZ125" s="72">
        <f t="shared" si="146"/>
        <v>185</v>
      </c>
      <c r="CA125" s="71">
        <f t="shared" si="147"/>
        <v>221</v>
      </c>
      <c r="CB125" s="72">
        <f t="shared" si="148"/>
        <v>229</v>
      </c>
      <c r="CC125" s="71" t="str">
        <f t="shared" si="149"/>
        <v>-</v>
      </c>
      <c r="CD125" s="72">
        <f t="shared" si="150"/>
        <v>272</v>
      </c>
      <c r="CE125" s="71">
        <f t="shared" si="151"/>
        <v>332</v>
      </c>
      <c r="CF125" s="72">
        <f t="shared" si="152"/>
        <v>372</v>
      </c>
      <c r="CG125" s="71">
        <f t="shared" si="153"/>
        <v>401</v>
      </c>
      <c r="CH125" s="70">
        <f t="shared" si="154"/>
        <v>144</v>
      </c>
      <c r="CI125" s="71">
        <f t="shared" si="155"/>
        <v>148</v>
      </c>
      <c r="CJ125" s="72">
        <f t="shared" si="156"/>
        <v>179</v>
      </c>
      <c r="CK125" s="72" t="str">
        <f t="shared" si="157"/>
        <v>-</v>
      </c>
      <c r="CL125" s="72">
        <f t="shared" si="158"/>
        <v>220</v>
      </c>
      <c r="CM125" s="72">
        <f t="shared" si="159"/>
        <v>228</v>
      </c>
      <c r="CN125" s="72">
        <f t="shared" si="160"/>
        <v>254</v>
      </c>
      <c r="CO125" s="72" t="str">
        <f t="shared" si="161"/>
        <v>-</v>
      </c>
      <c r="CP125" s="72">
        <f t="shared" si="162"/>
        <v>304</v>
      </c>
      <c r="CQ125" s="72">
        <f t="shared" si="163"/>
        <v>368</v>
      </c>
      <c r="CR125" s="72">
        <f t="shared" si="164"/>
        <v>400</v>
      </c>
      <c r="CS125" s="72">
        <f t="shared" si="165"/>
        <v>411</v>
      </c>
      <c r="CT125" s="23">
        <f t="shared" si="166"/>
        <v>2</v>
      </c>
      <c r="AMP125" s="1"/>
    </row>
    <row r="126" spans="1:1030" x14ac:dyDescent="0.2">
      <c r="A126" s="3" t="str">
        <f t="shared" si="167"/>
        <v>cnr1_human_5U09</v>
      </c>
      <c r="B126" s="3" t="s">
        <v>182</v>
      </c>
      <c r="C126" s="3" t="s">
        <v>1371</v>
      </c>
      <c r="D126" s="3" t="str">
        <f>IFERROR(MID(VLOOKUP($B126,Seqs!$A:$B,2,0),E126,1),"")</f>
        <v>N</v>
      </c>
      <c r="E126" s="3">
        <v>112</v>
      </c>
      <c r="F126" s="3" t="str">
        <f>IFERROR(MID(VLOOKUP($B126,Seqs!$A:$B,2,0),G126,1),"")</f>
        <v>S</v>
      </c>
      <c r="G126" s="3">
        <v>144</v>
      </c>
      <c r="H126" s="3" t="str">
        <f>IFERROR(MID(VLOOKUP($B126,Seqs!$A:$B,2,0),I126,1),"")</f>
        <v>R</v>
      </c>
      <c r="I126" s="23">
        <v>145</v>
      </c>
      <c r="J126" s="3" t="str">
        <f>IFERROR(MID(VLOOKUP($B126,Seqs!$A:$B,2,0),K126,1),"")</f>
        <v>R</v>
      </c>
      <c r="K126" s="23">
        <v>148</v>
      </c>
      <c r="L126" s="3" t="str">
        <f>IFERROR(MID(VLOOKUP($B126,Seqs!$A:$B,2,0),M126,1),"")</f>
        <v>R</v>
      </c>
      <c r="M126" s="3">
        <v>150</v>
      </c>
      <c r="N126" s="3" t="str">
        <f>IFERROR(MID(VLOOKUP($B126,Seqs!$A:$B,2,0),O126,1),"")</f>
        <v>V</v>
      </c>
      <c r="O126" s="3">
        <v>179</v>
      </c>
      <c r="P126" s="3" t="str">
        <f>IFERROR(MID(VLOOKUP($B126,Seqs!$A:$B,2,0),Q126,1),"")</f>
        <v/>
      </c>
      <c r="Q126" s="3" t="s">
        <v>23</v>
      </c>
      <c r="R126" s="3" t="str">
        <f>IFERROR(MID(VLOOKUP($B126,Seqs!$A:$B,2,0),S126,1),"")</f>
        <v/>
      </c>
      <c r="S126" s="3" t="s">
        <v>23</v>
      </c>
      <c r="T126" s="3" t="str">
        <f>IFERROR(MID(VLOOKUP($B126,Seqs!$A:$B,2,0),U126,1),"")</f>
        <v>S</v>
      </c>
      <c r="U126" s="3">
        <v>185</v>
      </c>
      <c r="V126" s="3" t="str">
        <f>IFERROR(MID(VLOOKUP($B126,Seqs!$A:$B,2,0),W126,1),"")</f>
        <v>R</v>
      </c>
      <c r="W126" s="3">
        <v>220</v>
      </c>
      <c r="X126" s="3" t="str">
        <f>IFERROR(MID(VLOOKUP($B126,Seqs!$A:$B,2,0),Y126,1),"")</f>
        <v>P</v>
      </c>
      <c r="Y126" s="3">
        <v>221</v>
      </c>
      <c r="Z126" s="3" t="str">
        <f>IFERROR(MID(VLOOKUP($B126,Seqs!$A:$B,2,0),AA126,1),"")</f>
        <v>V</v>
      </c>
      <c r="AA126" s="3">
        <v>228</v>
      </c>
      <c r="AB126" s="3" t="str">
        <f>IFERROR(MID(VLOOKUP($B126,Seqs!$A:$B,2,0),AC126,1),"")</f>
        <v>T</v>
      </c>
      <c r="AC126" s="9">
        <v>229</v>
      </c>
      <c r="AD126" s="3" t="str">
        <f>IFERROR(MID(VLOOKUP($B126,Seqs!$A:$B,2,0),AE126,1),"")</f>
        <v>G</v>
      </c>
      <c r="AE126" s="3">
        <v>254</v>
      </c>
      <c r="AF126" s="3" t="str">
        <f>IFERROR(MID(VLOOKUP($B126,Seqs!$A:$B,2,0),AG126,1),"")</f>
        <v/>
      </c>
      <c r="AG126" s="3" t="s">
        <v>23</v>
      </c>
      <c r="AH126" s="3" t="str">
        <f>IFERROR(MID(VLOOKUP($B126,Seqs!$A:$B,2,0),AI126,1),"")</f>
        <v/>
      </c>
      <c r="AI126" s="3" t="s">
        <v>23</v>
      </c>
      <c r="AJ126" s="3" t="str">
        <f>IFERROR(MID(VLOOKUP($B126,Seqs!$A:$B,2,0),AK126,1),"")</f>
        <v>D</v>
      </c>
      <c r="AK126" s="3">
        <v>272</v>
      </c>
      <c r="AL126" s="3" t="str">
        <f>IFERROR(MID(VLOOKUP($B126,Seqs!$A:$B,2,0),AM126,1),"")</f>
        <v>A</v>
      </c>
      <c r="AM126" s="3">
        <v>301</v>
      </c>
      <c r="AN126" s="3" t="str">
        <f>IFERROR(MID(VLOOKUP($B126,Seqs!$A:$B,2,0),AO126,1),"")</f>
        <v>D</v>
      </c>
      <c r="AO126" s="3">
        <v>333</v>
      </c>
      <c r="AP126" s="3" t="str">
        <f>IFERROR(MID(VLOOKUP($B126,Seqs!$A:$B,2,0),AQ126,1),"")</f>
        <v>F</v>
      </c>
      <c r="AQ126" s="3">
        <v>368</v>
      </c>
      <c r="AR126" s="3" t="str">
        <f>IFERROR(MID(VLOOKUP($B126,Seqs!$A:$B,2,0),AS126,1),"")</f>
        <v>L</v>
      </c>
      <c r="AS126" s="3">
        <v>374</v>
      </c>
      <c r="AT126" s="3" t="str">
        <f>IFERROR(MID(VLOOKUP($B126,Seqs!$A:$B,2,0),AU126,1),"")</f>
        <v>R</v>
      </c>
      <c r="AU126" s="3">
        <v>400</v>
      </c>
      <c r="AV126" s="3" t="str">
        <f>IFERROR(MID(VLOOKUP($B126,Seqs!$A:$B,2,0),AW126,1),"")</f>
        <v>S</v>
      </c>
      <c r="AW126" s="3">
        <v>401</v>
      </c>
      <c r="AX126" s="3" t="str">
        <f>IFERROR(MID(VLOOKUP($B126,Seqs!$A:$B,2,0),AY126,1),"")</f>
        <v>M</v>
      </c>
      <c r="AY126" s="3">
        <v>411</v>
      </c>
      <c r="AZ126" s="77" t="str">
        <f>VLOOKUP(B126,Classification!A:D,2,0)</f>
        <v>A</v>
      </c>
      <c r="BA126" s="94" t="str">
        <f>VLOOKUP(B126,Classification!A:D,4,0)</f>
        <v>Cannabinoid</v>
      </c>
      <c r="BB126" s="27" t="b">
        <f t="shared" si="168"/>
        <v>1</v>
      </c>
      <c r="BC126" s="23">
        <f t="shared" si="141"/>
        <v>243</v>
      </c>
      <c r="BD126" s="2" t="s">
        <v>23</v>
      </c>
      <c r="BE126" s="3" t="s">
        <v>1381</v>
      </c>
      <c r="BF126" s="119">
        <v>2.6</v>
      </c>
      <c r="BG126" s="49" t="s">
        <v>1384</v>
      </c>
      <c r="BH126" s="49" t="s">
        <v>1384</v>
      </c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142"/>
        <v>112</v>
      </c>
      <c r="BW126" s="71">
        <f t="shared" si="143"/>
        <v>145</v>
      </c>
      <c r="BX126" s="72">
        <f t="shared" si="144"/>
        <v>150</v>
      </c>
      <c r="BY126" s="71" t="str">
        <f t="shared" si="145"/>
        <v>-</v>
      </c>
      <c r="BZ126" s="72">
        <f t="shared" si="146"/>
        <v>185</v>
      </c>
      <c r="CA126" s="71">
        <f t="shared" si="147"/>
        <v>221</v>
      </c>
      <c r="CB126" s="72">
        <f t="shared" si="148"/>
        <v>229</v>
      </c>
      <c r="CC126" s="71" t="str">
        <f t="shared" si="149"/>
        <v>-</v>
      </c>
      <c r="CD126" s="72">
        <f t="shared" si="150"/>
        <v>272</v>
      </c>
      <c r="CE126" s="71">
        <f t="shared" si="151"/>
        <v>333</v>
      </c>
      <c r="CF126" s="72">
        <f t="shared" si="152"/>
        <v>374</v>
      </c>
      <c r="CG126" s="71">
        <f t="shared" si="153"/>
        <v>401</v>
      </c>
      <c r="CH126" s="70">
        <f t="shared" si="154"/>
        <v>144</v>
      </c>
      <c r="CI126" s="71">
        <f t="shared" si="155"/>
        <v>148</v>
      </c>
      <c r="CJ126" s="72">
        <f t="shared" si="156"/>
        <v>179</v>
      </c>
      <c r="CK126" s="72" t="str">
        <f t="shared" si="157"/>
        <v>-</v>
      </c>
      <c r="CL126" s="72">
        <f t="shared" si="158"/>
        <v>220</v>
      </c>
      <c r="CM126" s="72">
        <f t="shared" si="159"/>
        <v>228</v>
      </c>
      <c r="CN126" s="72">
        <f t="shared" si="160"/>
        <v>254</v>
      </c>
      <c r="CO126" s="72" t="str">
        <f t="shared" si="161"/>
        <v>-</v>
      </c>
      <c r="CP126" s="72">
        <f t="shared" si="162"/>
        <v>301</v>
      </c>
      <c r="CQ126" s="72">
        <f t="shared" si="163"/>
        <v>368</v>
      </c>
      <c r="CR126" s="72">
        <f t="shared" si="164"/>
        <v>400</v>
      </c>
      <c r="CS126" s="72">
        <f t="shared" si="165"/>
        <v>411</v>
      </c>
      <c r="CT126" s="23">
        <f t="shared" si="166"/>
        <v>2</v>
      </c>
    </row>
    <row r="127" spans="1:1030" x14ac:dyDescent="0.2">
      <c r="A127" s="3" t="str">
        <f>CONCATENATE(B127,"_",C127)</f>
        <v>cnr1_human_5XR8</v>
      </c>
      <c r="B127" s="3" t="s">
        <v>182</v>
      </c>
      <c r="C127" s="3" t="s">
        <v>1435</v>
      </c>
      <c r="D127" s="3" t="str">
        <f>IFERROR(MID(VLOOKUP($B127,Seqs!$A:$B,2,0),E127,1),"")</f>
        <v>N</v>
      </c>
      <c r="E127" s="3">
        <v>112</v>
      </c>
      <c r="F127" s="3" t="str">
        <f>IFERROR(MID(VLOOKUP($B127,Seqs!$A:$B,2,0),G127,1),"")</f>
        <v>S</v>
      </c>
      <c r="G127" s="3">
        <v>146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Y</v>
      </c>
      <c r="M127" s="3">
        <v>153</v>
      </c>
      <c r="N127" s="3" t="str">
        <f>IFERROR(MID(VLOOKUP($B127,Seqs!$A:$B,2,0),O127,1),"")</f>
        <v>F</v>
      </c>
      <c r="O127" s="3">
        <v>180</v>
      </c>
      <c r="P127" s="3" t="str">
        <f>IFERROR(MID(VLOOKUP($B127,Seqs!$A:$B,2,0),Q127,1),"")</f>
        <v/>
      </c>
      <c r="Q127" s="3" t="s">
        <v>23</v>
      </c>
      <c r="R127" s="3" t="str">
        <f>IFERROR(MID(VLOOKUP($B127,Seqs!$A:$B,2,0),S127,1),"")</f>
        <v/>
      </c>
      <c r="S127" s="3" t="s">
        <v>23</v>
      </c>
      <c r="T127" s="3" t="str">
        <f>IFERROR(MID(VLOOKUP($B127,Seqs!$A:$B,2,0),U127,1),"")</f>
        <v>S</v>
      </c>
      <c r="U127" s="3">
        <v>185</v>
      </c>
      <c r="V127" s="3" t="str">
        <f>IFERROR(MID(VLOOKUP($B127,Seqs!$A:$B,2,0),W127,1),"")</f>
        <v>R</v>
      </c>
      <c r="W127" s="3">
        <v>220</v>
      </c>
      <c r="X127" s="3" t="str">
        <f>IFERROR(MID(VLOOKUP($B127,Seqs!$A:$B,2,0),Y127,1),"")</f>
        <v>P</v>
      </c>
      <c r="Y127" s="3">
        <v>221</v>
      </c>
      <c r="Z127" s="3" t="str">
        <f>IFERROR(MID(VLOOKUP($B127,Seqs!$A:$B,2,0),AA127,1),"")</f>
        <v>V</v>
      </c>
      <c r="AA127" s="3">
        <v>228</v>
      </c>
      <c r="AB127" s="3" t="str">
        <f>IFERROR(MID(VLOOKUP($B127,Seqs!$A:$B,2,0),AC127,1),"")</f>
        <v>T</v>
      </c>
      <c r="AC127" s="3">
        <v>229</v>
      </c>
      <c r="AD127" s="3" t="str">
        <f>IFERROR(MID(VLOOKUP($B127,Seqs!$A:$B,2,0),AE127,1),"")</f>
        <v>G</v>
      </c>
      <c r="AE127" s="3">
        <v>254</v>
      </c>
      <c r="AF127" s="3" t="str">
        <f>IFERROR(MID(VLOOKUP($B127,Seqs!$A:$B,2,0),AG127,1),"")</f>
        <v/>
      </c>
      <c r="AG127" s="3" t="s">
        <v>23</v>
      </c>
      <c r="AH127" s="3" t="str">
        <f>IFERROR(MID(VLOOKUP($B127,Seqs!$A:$B,2,0),AI127,1),"")</f>
        <v/>
      </c>
      <c r="AI127" s="3" t="s">
        <v>23</v>
      </c>
      <c r="AJ127" s="3" t="str">
        <f>IFERROR(MID(VLOOKUP($B127,Seqs!$A:$B,2,0),AK127,1),"")</f>
        <v>D</v>
      </c>
      <c r="AK127" s="3">
        <v>272</v>
      </c>
      <c r="AL127" s="3" t="str">
        <f>IFERROR(MID(VLOOKUP($B127,Seqs!$A:$B,2,0),AM127,1),"")</f>
        <v>S</v>
      </c>
      <c r="AM127" s="3">
        <v>303</v>
      </c>
      <c r="AN127" s="3" t="str">
        <f>IFERROR(MID(VLOOKUP($B127,Seqs!$A:$B,2,0),AO127,1),"")</f>
        <v>D</v>
      </c>
      <c r="AO127" s="3">
        <v>338</v>
      </c>
      <c r="AP127" s="3" t="str">
        <f>IFERROR(MID(VLOOKUP($B127,Seqs!$A:$B,2,0),AQ127,1),"")</f>
        <v>F</v>
      </c>
      <c r="AQ127" s="3">
        <v>368</v>
      </c>
      <c r="AR127" s="3" t="str">
        <f>IFERROR(MID(VLOOKUP($B127,Seqs!$A:$B,2,0),AS127,1),"")</f>
        <v>N</v>
      </c>
      <c r="AS127" s="3">
        <v>372</v>
      </c>
      <c r="AT127" s="3" t="str">
        <f>IFERROR(MID(VLOOKUP($B127,Seqs!$A:$B,2,0),AU127,1),"")</f>
        <v>Y</v>
      </c>
      <c r="AU127" s="3">
        <v>397</v>
      </c>
      <c r="AV127" s="3" t="str">
        <f>IFERROR(MID(VLOOKUP($B127,Seqs!$A:$B,2,0),AW127,1),"")</f>
        <v>S</v>
      </c>
      <c r="AW127" s="3">
        <v>401</v>
      </c>
      <c r="AX127" s="3" t="str">
        <f>IFERROR(MID(VLOOKUP($B127,Seqs!$A:$B,2,0),AY127,1),"")</f>
        <v>F</v>
      </c>
      <c r="AY127" s="3">
        <v>412</v>
      </c>
      <c r="AZ127" s="77" t="str">
        <f>VLOOKUP(B127,Classification!A:D,2,0)</f>
        <v>A</v>
      </c>
      <c r="BA127" s="94" t="str">
        <f>VLOOKUP(B127,Classification!A:D,4,0)</f>
        <v>Cannabinoid</v>
      </c>
      <c r="BB127" s="27" t="b">
        <f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>_xlfn.AGGREGATE(9,6,CH127:CS127)-_xlfn.AGGREGATE(9,6,BV127:CG127)+12</f>
        <v>237</v>
      </c>
      <c r="BD127" s="2" t="s">
        <v>23</v>
      </c>
      <c r="BE127" s="3" t="s">
        <v>1297</v>
      </c>
      <c r="BF127" s="119">
        <v>2.95</v>
      </c>
      <c r="BG127" s="49" t="s">
        <v>1</v>
      </c>
      <c r="BH127" s="49" t="s">
        <v>1</v>
      </c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>E127</f>
        <v>112</v>
      </c>
      <c r="BW127" s="71" t="str">
        <f>I127</f>
        <v>-</v>
      </c>
      <c r="BX127" s="72">
        <f>M127</f>
        <v>153</v>
      </c>
      <c r="BY127" s="71" t="str">
        <f>Q127</f>
        <v>-</v>
      </c>
      <c r="BZ127" s="72">
        <f>U127</f>
        <v>185</v>
      </c>
      <c r="CA127" s="71">
        <f>Y127</f>
        <v>221</v>
      </c>
      <c r="CB127" s="72">
        <f>AC127</f>
        <v>229</v>
      </c>
      <c r="CC127" s="71" t="str">
        <f>AG127</f>
        <v>-</v>
      </c>
      <c r="CD127" s="72">
        <f>AK127</f>
        <v>272</v>
      </c>
      <c r="CE127" s="71">
        <f>AO127</f>
        <v>338</v>
      </c>
      <c r="CF127" s="72">
        <f>AS127</f>
        <v>372</v>
      </c>
      <c r="CG127" s="71">
        <f>AW127</f>
        <v>401</v>
      </c>
      <c r="CH127" s="70">
        <f>G127</f>
        <v>146</v>
      </c>
      <c r="CI127" s="71" t="str">
        <f>K127</f>
        <v>-</v>
      </c>
      <c r="CJ127" s="72">
        <f>O127</f>
        <v>180</v>
      </c>
      <c r="CK127" s="72" t="str">
        <f>S127</f>
        <v>-</v>
      </c>
      <c r="CL127" s="72">
        <f>W127</f>
        <v>220</v>
      </c>
      <c r="CM127" s="72">
        <f>AA127</f>
        <v>228</v>
      </c>
      <c r="CN127" s="72">
        <f>AE127</f>
        <v>254</v>
      </c>
      <c r="CO127" s="72" t="str">
        <f>AI127</f>
        <v>-</v>
      </c>
      <c r="CP127" s="72">
        <f>AM127</f>
        <v>303</v>
      </c>
      <c r="CQ127" s="72">
        <f>AQ127</f>
        <v>368</v>
      </c>
      <c r="CR127" s="72">
        <f>AU127</f>
        <v>397</v>
      </c>
      <c r="CS127" s="72">
        <f>AY127</f>
        <v>412</v>
      </c>
      <c r="CT127" s="23" t="e">
        <f>M127-K127</f>
        <v>#VALUE!</v>
      </c>
    </row>
    <row r="128" spans="1:1030" x14ac:dyDescent="0.2">
      <c r="A128" s="3" t="str">
        <f>CONCATENATE(B128,"_",C128)</f>
        <v>cnr1_human_5XRA</v>
      </c>
      <c r="B128" s="3" t="s">
        <v>182</v>
      </c>
      <c r="C128" s="3" t="s">
        <v>1436</v>
      </c>
      <c r="D128" s="3" t="str">
        <f>IFERROR(MID(VLOOKUP($B128,Seqs!$A:$B,2,0),E128,1),"")</f>
        <v>N</v>
      </c>
      <c r="E128" s="3">
        <v>112</v>
      </c>
      <c r="F128" s="3" t="str">
        <f>IFERROR(MID(VLOOKUP($B128,Seqs!$A:$B,2,0),G128,1),"")</f>
        <v>S</v>
      </c>
      <c r="G128" s="3">
        <v>146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Y</v>
      </c>
      <c r="M128" s="3">
        <v>153</v>
      </c>
      <c r="N128" s="3" t="str">
        <f>IFERROR(MID(VLOOKUP($B128,Seqs!$A:$B,2,0),O128,1),"")</f>
        <v>F</v>
      </c>
      <c r="O128" s="3">
        <v>180</v>
      </c>
      <c r="P128" s="3" t="str">
        <f>IFERROR(MID(VLOOKUP($B128,Seqs!$A:$B,2,0),Q128,1),"")</f>
        <v/>
      </c>
      <c r="Q128" s="3" t="s">
        <v>23</v>
      </c>
      <c r="R128" s="3" t="str">
        <f>IFERROR(MID(VLOOKUP($B128,Seqs!$A:$B,2,0),S128,1),"")</f>
        <v/>
      </c>
      <c r="S128" s="3" t="s">
        <v>23</v>
      </c>
      <c r="T128" s="3" t="str">
        <f>IFERROR(MID(VLOOKUP($B128,Seqs!$A:$B,2,0),U128,1),"")</f>
        <v>S</v>
      </c>
      <c r="U128" s="3">
        <v>185</v>
      </c>
      <c r="V128" s="3" t="str">
        <f>IFERROR(MID(VLOOKUP($B128,Seqs!$A:$B,2,0),W128,1),"")</f>
        <v>R</v>
      </c>
      <c r="W128" s="3">
        <v>220</v>
      </c>
      <c r="X128" s="3" t="str">
        <f>IFERROR(MID(VLOOKUP($B128,Seqs!$A:$B,2,0),Y128,1),"")</f>
        <v>P</v>
      </c>
      <c r="Y128" s="3">
        <v>221</v>
      </c>
      <c r="Z128" s="3" t="str">
        <f>IFERROR(MID(VLOOKUP($B128,Seqs!$A:$B,2,0),AA128,1),"")</f>
        <v>V</v>
      </c>
      <c r="AA128" s="3">
        <v>228</v>
      </c>
      <c r="AB128" s="3" t="str">
        <f>IFERROR(MID(VLOOKUP($B128,Seqs!$A:$B,2,0),AC128,1),"")</f>
        <v>T</v>
      </c>
      <c r="AC128" s="3">
        <v>229</v>
      </c>
      <c r="AD128" s="3" t="str">
        <f>IFERROR(MID(VLOOKUP($B128,Seqs!$A:$B,2,0),AE128,1),"")</f>
        <v>G</v>
      </c>
      <c r="AE128" s="3">
        <v>254</v>
      </c>
      <c r="AF128" s="3" t="str">
        <f>IFERROR(MID(VLOOKUP($B128,Seqs!$A:$B,2,0),AG128,1),"")</f>
        <v/>
      </c>
      <c r="AG128" s="3" t="s">
        <v>23</v>
      </c>
      <c r="AH128" s="3" t="str">
        <f>IFERROR(MID(VLOOKUP($B128,Seqs!$A:$B,2,0),AI128,1),"")</f>
        <v/>
      </c>
      <c r="AI128" s="3" t="s">
        <v>23</v>
      </c>
      <c r="AJ128" s="3" t="str">
        <f>IFERROR(MID(VLOOKUP($B128,Seqs!$A:$B,2,0),AK128,1),"")</f>
        <v>D</v>
      </c>
      <c r="AK128" s="3">
        <v>272</v>
      </c>
      <c r="AL128" s="3" t="str">
        <f>IFERROR(MID(VLOOKUP($B128,Seqs!$A:$B,2,0),AM128,1),"")</f>
        <v>A</v>
      </c>
      <c r="AM128" s="3">
        <v>305</v>
      </c>
      <c r="AN128" s="3" t="str">
        <f>IFERROR(MID(VLOOKUP($B128,Seqs!$A:$B,2,0),AO128,1),"")</f>
        <v>D</v>
      </c>
      <c r="AO128" s="3">
        <v>338</v>
      </c>
      <c r="AP128" s="3" t="str">
        <f>IFERROR(MID(VLOOKUP($B128,Seqs!$A:$B,2,0),AQ128,1),"")</f>
        <v>G</v>
      </c>
      <c r="AQ128" s="3">
        <v>369</v>
      </c>
      <c r="AR128" s="3" t="str">
        <f>IFERROR(MID(VLOOKUP($B128,Seqs!$A:$B,2,0),AS128,1),"")</f>
        <v>N</v>
      </c>
      <c r="AS128" s="3">
        <v>372</v>
      </c>
      <c r="AT128" s="3" t="str">
        <f>IFERROR(MID(VLOOKUP($B128,Seqs!$A:$B,2,0),AU128,1),"")</f>
        <v>Y</v>
      </c>
      <c r="AU128" s="3">
        <v>397</v>
      </c>
      <c r="AV128" s="3" t="str">
        <f>IFERROR(MID(VLOOKUP($B128,Seqs!$A:$B,2,0),AW128,1),"")</f>
        <v>S</v>
      </c>
      <c r="AW128" s="3">
        <v>401</v>
      </c>
      <c r="AX128" s="3" t="str">
        <f>IFERROR(MID(VLOOKUP($B128,Seqs!$A:$B,2,0),AY128,1),"")</f>
        <v>F</v>
      </c>
      <c r="AY128" s="3">
        <v>412</v>
      </c>
      <c r="AZ128" s="77" t="str">
        <f>VLOOKUP(B128,Classification!A:D,2,0)</f>
        <v>A</v>
      </c>
      <c r="BA128" s="94" t="str">
        <f>VLOOKUP(B128,Classification!A:D,4,0)</f>
        <v>Cannabinoid</v>
      </c>
      <c r="BB128" s="27" t="b">
        <f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>_xlfn.AGGREGATE(9,6,CH128:CS128)-_xlfn.AGGREGATE(9,6,BV128:CG128)+12</f>
        <v>240</v>
      </c>
      <c r="BD128" s="2" t="s">
        <v>1382</v>
      </c>
      <c r="BE128" s="3" t="s">
        <v>1297</v>
      </c>
      <c r="BF128" s="119">
        <v>2.8</v>
      </c>
      <c r="BG128" s="49" t="s">
        <v>1</v>
      </c>
      <c r="BH128" s="49" t="s">
        <v>1</v>
      </c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>E128</f>
        <v>112</v>
      </c>
      <c r="BW128" s="71" t="str">
        <f>I128</f>
        <v>-</v>
      </c>
      <c r="BX128" s="72">
        <f>M128</f>
        <v>153</v>
      </c>
      <c r="BY128" s="71" t="str">
        <f>Q128</f>
        <v>-</v>
      </c>
      <c r="BZ128" s="72">
        <f>U128</f>
        <v>185</v>
      </c>
      <c r="CA128" s="71">
        <f>Y128</f>
        <v>221</v>
      </c>
      <c r="CB128" s="72">
        <f>AC128</f>
        <v>229</v>
      </c>
      <c r="CC128" s="71" t="str">
        <f>AG128</f>
        <v>-</v>
      </c>
      <c r="CD128" s="72">
        <f>AK128</f>
        <v>272</v>
      </c>
      <c r="CE128" s="71">
        <f>AO128</f>
        <v>338</v>
      </c>
      <c r="CF128" s="72">
        <f>AS128</f>
        <v>372</v>
      </c>
      <c r="CG128" s="71">
        <f>AW128</f>
        <v>401</v>
      </c>
      <c r="CH128" s="70">
        <f>G128</f>
        <v>146</v>
      </c>
      <c r="CI128" s="71" t="str">
        <f>K128</f>
        <v>-</v>
      </c>
      <c r="CJ128" s="72">
        <f>O128</f>
        <v>180</v>
      </c>
      <c r="CK128" s="72" t="str">
        <f>S128</f>
        <v>-</v>
      </c>
      <c r="CL128" s="72">
        <f>W128</f>
        <v>220</v>
      </c>
      <c r="CM128" s="72">
        <f>AA128</f>
        <v>228</v>
      </c>
      <c r="CN128" s="72">
        <f>AE128</f>
        <v>254</v>
      </c>
      <c r="CO128" s="72" t="str">
        <f>AI128</f>
        <v>-</v>
      </c>
      <c r="CP128" s="72">
        <f>AM128</f>
        <v>305</v>
      </c>
      <c r="CQ128" s="72">
        <f>AQ128</f>
        <v>369</v>
      </c>
      <c r="CR128" s="72">
        <f>AU128</f>
        <v>397</v>
      </c>
      <c r="CS128" s="72">
        <f>AY128</f>
        <v>412</v>
      </c>
      <c r="CT128" s="23" t="e">
        <f>M128-K128</f>
        <v>#VALUE!</v>
      </c>
    </row>
    <row r="129" spans="1:1029" x14ac:dyDescent="0.2">
      <c r="A129" s="3" t="str">
        <f t="shared" si="167"/>
        <v>cxcr4_human__wt</v>
      </c>
      <c r="B129" s="3" t="s">
        <v>1172</v>
      </c>
      <c r="C129" s="3" t="s">
        <v>100</v>
      </c>
      <c r="D129" s="3" t="str">
        <f>IFERROR(MID(VLOOKUP($B129,Seqs!$A:$B,2,0),E129,1),"")</f>
        <v>R</v>
      </c>
      <c r="E129" s="3">
        <v>30</v>
      </c>
      <c r="F129" s="3" t="str">
        <f>IFERROR(MID(VLOOKUP($B129,Seqs!$A:$B,2,0),G129,1),"")</f>
        <v>Q</v>
      </c>
      <c r="G129" s="3">
        <v>66</v>
      </c>
      <c r="H129" s="3" t="str">
        <f>IFERROR(MID(VLOOKUP($B129,Seqs!$A:$B,2,0),I129,1),"")</f>
        <v>K</v>
      </c>
      <c r="I129" s="23">
        <v>67</v>
      </c>
      <c r="J129" s="3" t="str">
        <f>IFERROR(MID(VLOOKUP($B129,Seqs!$A:$B,2,0),K129,1),"")</f>
        <v>R</v>
      </c>
      <c r="K129" s="23">
        <v>70</v>
      </c>
      <c r="L129" s="3" t="str">
        <f>IFERROR(MID(VLOOKUP($B129,Seqs!$A:$B,2,0),M129,1),"")</f>
        <v>S</v>
      </c>
      <c r="M129" s="3">
        <v>71</v>
      </c>
      <c r="N129" s="3" t="str">
        <f>IFERROR(MID(VLOOKUP($B129,Seqs!$A:$B,2,0),O129,1),"")</f>
        <v>A</v>
      </c>
      <c r="O129" s="3">
        <v>100</v>
      </c>
      <c r="P129" s="3" t="str">
        <f>IFERROR(MID(VLOOKUP($B129,Seqs!$A:$B,2,0),Q129,1),"")</f>
        <v>N</v>
      </c>
      <c r="Q129" s="3">
        <v>101</v>
      </c>
      <c r="R129" s="3" t="str">
        <f>IFERROR(MID(VLOOKUP($B129,Seqs!$A:$B,2,0),S129,1),"")</f>
        <v>F</v>
      </c>
      <c r="S129" s="3">
        <v>104</v>
      </c>
      <c r="T129" s="3" t="str">
        <f>IFERROR(MID(VLOOKUP($B129,Seqs!$A:$B,2,0),U129,1),"")</f>
        <v>G</v>
      </c>
      <c r="U129" s="3">
        <v>105</v>
      </c>
      <c r="V129" s="3" t="str">
        <f>IFERROR(MID(VLOOKUP($B129,Seqs!$A:$B,2,0),W129,1),"")</f>
        <v>H</v>
      </c>
      <c r="W129" s="3">
        <v>140</v>
      </c>
      <c r="X129" s="3" t="str">
        <f>IFERROR(MID(VLOOKUP($B129,Seqs!$A:$B,2,0),Y129,1),"")</f>
        <v>A</v>
      </c>
      <c r="Y129" s="3">
        <v>141</v>
      </c>
      <c r="Z129" s="3" t="str">
        <f>IFERROR(MID(VLOOKUP($B129,Seqs!$A:$B,2,0),AA129,1),"")</f>
        <v>R</v>
      </c>
      <c r="AA129" s="3">
        <v>148</v>
      </c>
      <c r="AB129" s="3" t="str">
        <f>IFERROR(MID(VLOOKUP($B129,Seqs!$A:$B,2,0),AC129,1),"")</f>
        <v>K</v>
      </c>
      <c r="AC129" s="9">
        <v>149</v>
      </c>
      <c r="AD129" s="3" t="str">
        <f>IFERROR(MID(VLOOKUP($B129,Seqs!$A:$B,2,0),AE129,1),"")</f>
        <v>A</v>
      </c>
      <c r="AE129" s="3">
        <v>175</v>
      </c>
      <c r="AF129" s="3" t="str">
        <f>IFERROR(MID(VLOOKUP($B129,Seqs!$A:$B,2,0),AG129,1),"")</f>
        <v>C</v>
      </c>
      <c r="AG129" s="3">
        <v>186</v>
      </c>
      <c r="AH129" s="3" t="str">
        <f>IFERROR(MID(VLOOKUP($B129,Seqs!$A:$B,2,0),AI129,1),"")</f>
        <v>R</v>
      </c>
      <c r="AI129" s="3">
        <v>188</v>
      </c>
      <c r="AJ129" s="3" t="str">
        <f>IFERROR(MID(VLOOKUP($B129,Seqs!$A:$B,2,0),AK129,1),"")</f>
        <v>D</v>
      </c>
      <c r="AK129" s="3">
        <v>193</v>
      </c>
      <c r="AL129" s="3" t="str">
        <f>IFERROR(MID(VLOOKUP($B129,Seqs!$A:$B,2,0),AM129,1),"")</f>
        <v>S</v>
      </c>
      <c r="AM129" s="3">
        <v>229</v>
      </c>
      <c r="AN129" s="3" t="str">
        <f>IFERROR(MID(VLOOKUP($B129,Seqs!$A:$B,2,0),AO129,1),"")</f>
        <v>K</v>
      </c>
      <c r="AO129" s="3">
        <v>234</v>
      </c>
      <c r="AP129" s="3" t="str">
        <f>IFERROR(MID(VLOOKUP($B129,Seqs!$A:$B,2,0),AQ129,1),"")</f>
        <v>E</v>
      </c>
      <c r="AQ129" s="3">
        <v>268</v>
      </c>
      <c r="AR129" s="3" t="str">
        <f>IFERROR(MID(VLOOKUP($B129,Seqs!$A:$B,2,0),AS129,1),"")</f>
        <v>G</v>
      </c>
      <c r="AS129" s="3">
        <v>273</v>
      </c>
      <c r="AT129" s="3" t="str">
        <f>IFERROR(MID(VLOOKUP($B129,Seqs!$A:$B,2,0),AU129,1),"")</f>
        <v>L</v>
      </c>
      <c r="AU129" s="3">
        <v>305</v>
      </c>
      <c r="AV129" s="3" t="str">
        <f>IFERROR(MID(VLOOKUP($B129,Seqs!$A:$B,2,0),AW129,1),"")</f>
        <v>G</v>
      </c>
      <c r="AW129" s="3">
        <v>306</v>
      </c>
      <c r="AX129" s="3" t="str">
        <f>IFERROR(MID(VLOOKUP($B129,Seqs!$A:$B,2,0),AY129,1),"")</f>
        <v>T</v>
      </c>
      <c r="AY129" s="3">
        <v>318</v>
      </c>
      <c r="AZ129" s="77" t="str">
        <f>VLOOKUP(B129,Classification!A:D,2,0)</f>
        <v>A</v>
      </c>
      <c r="BA129" s="94" t="str">
        <f>VLOOKUP(B129,Classification!A:D,4,0)</f>
        <v>Chemokine</v>
      </c>
      <c r="BB129" s="27" t="b">
        <f t="shared" si="168"/>
        <v>1</v>
      </c>
      <c r="BC129" s="23">
        <f t="shared" ref="BC129:BC136" si="197">_xlfn.AGGREGATE(9,6,CH129:CS129)-_xlfn.AGGREGATE(9,6,BV129:CG129)+12</f>
        <v>267</v>
      </c>
      <c r="BD129" s="34" t="s">
        <v>1379</v>
      </c>
      <c r="BE129" s="3" t="s">
        <v>23</v>
      </c>
      <c r="BF129" s="119" t="s">
        <v>23</v>
      </c>
      <c r="BG129" s="49" t="s">
        <v>1379</v>
      </c>
      <c r="BH129" s="49" t="s">
        <v>1384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ref="BV129:BV136" si="198">E129</f>
        <v>30</v>
      </c>
      <c r="BW129" s="71">
        <f t="shared" ref="BW129:BW136" si="199">I129</f>
        <v>67</v>
      </c>
      <c r="BX129" s="72">
        <f t="shared" ref="BX129:BX136" si="200">M129</f>
        <v>71</v>
      </c>
      <c r="BY129" s="71">
        <f t="shared" ref="BY129:BY136" si="201">Q129</f>
        <v>101</v>
      </c>
      <c r="BZ129" s="72">
        <f t="shared" ref="BZ129:BZ136" si="202">U129</f>
        <v>105</v>
      </c>
      <c r="CA129" s="71">
        <f t="shared" ref="CA129:CA136" si="203">Y129</f>
        <v>141</v>
      </c>
      <c r="CB129" s="72">
        <f t="shared" ref="CB129:CB136" si="204">AC129</f>
        <v>149</v>
      </c>
      <c r="CC129" s="71">
        <f t="shared" ref="CC129:CC136" si="205">AG129</f>
        <v>186</v>
      </c>
      <c r="CD129" s="72">
        <f t="shared" ref="CD129:CD136" si="206">AK129</f>
        <v>193</v>
      </c>
      <c r="CE129" s="71">
        <f t="shared" ref="CE129:CE136" si="207">AO129</f>
        <v>234</v>
      </c>
      <c r="CF129" s="72">
        <f t="shared" ref="CF129:CF136" si="208">AS129</f>
        <v>273</v>
      </c>
      <c r="CG129" s="71">
        <f t="shared" ref="CG129:CG136" si="209">AW129</f>
        <v>306</v>
      </c>
      <c r="CH129" s="70">
        <f t="shared" ref="CH129:CH136" si="210">G129</f>
        <v>66</v>
      </c>
      <c r="CI129" s="71">
        <f t="shared" ref="CI129:CI136" si="211">K129</f>
        <v>70</v>
      </c>
      <c r="CJ129" s="72">
        <f t="shared" ref="CJ129:CJ136" si="212">O129</f>
        <v>100</v>
      </c>
      <c r="CK129" s="72">
        <f t="shared" ref="CK129:CK136" si="213">S129</f>
        <v>104</v>
      </c>
      <c r="CL129" s="72">
        <f t="shared" ref="CL129:CL136" si="214">W129</f>
        <v>140</v>
      </c>
      <c r="CM129" s="72">
        <f t="shared" ref="CM129:CM136" si="215">AA129</f>
        <v>148</v>
      </c>
      <c r="CN129" s="72">
        <f t="shared" ref="CN129:CN136" si="216">AE129</f>
        <v>175</v>
      </c>
      <c r="CO129" s="72">
        <f t="shared" ref="CO129:CO136" si="217">AI129</f>
        <v>188</v>
      </c>
      <c r="CP129" s="72">
        <f t="shared" ref="CP129:CP136" si="218">AM129</f>
        <v>229</v>
      </c>
      <c r="CQ129" s="72">
        <f t="shared" ref="CQ129:CQ136" si="219">AQ129</f>
        <v>268</v>
      </c>
      <c r="CR129" s="72">
        <f t="shared" ref="CR129:CR136" si="220">AU129</f>
        <v>305</v>
      </c>
      <c r="CS129" s="72">
        <f t="shared" ref="CS129:CS136" si="221">AY129</f>
        <v>318</v>
      </c>
      <c r="CT129" s="23">
        <f t="shared" ref="CT129:CT136" si="222">M129-K129</f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167"/>
        <v>cxcr4_human_3ODU</v>
      </c>
      <c r="B130" s="3" t="s">
        <v>1172</v>
      </c>
      <c r="C130" s="3" t="s">
        <v>63</v>
      </c>
      <c r="D130" s="3" t="str">
        <f>IFERROR(MID(VLOOKUP($B130,Seqs!$A:$B,2,0),E130,1),"")</f>
        <v>A</v>
      </c>
      <c r="E130" s="3">
        <v>34</v>
      </c>
      <c r="F130" s="3" t="str">
        <f>IFERROR(MID(VLOOKUP($B130,Seqs!$A:$B,2,0),G130,1),"")</f>
        <v>Q</v>
      </c>
      <c r="G130" s="3">
        <v>66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S</v>
      </c>
      <c r="M130" s="3">
        <v>71</v>
      </c>
      <c r="N130" s="3" t="str">
        <f>IFERROR(MID(VLOOKUP($B130,Seqs!$A:$B,2,0),O130,1),"")</f>
        <v>A</v>
      </c>
      <c r="O130" s="3">
        <v>100</v>
      </c>
      <c r="P130" s="3" t="str">
        <f>IFERROR(MID(VLOOKUP($B130,Seqs!$A:$B,2,0),Q130,1),"")</f>
        <v>N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H</v>
      </c>
      <c r="W130" s="3">
        <v>140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S</v>
      </c>
      <c r="AC130" s="9">
        <v>144</v>
      </c>
      <c r="AD130" s="3" t="str">
        <f>IFERROR(MID(VLOOKUP($B130,Seqs!$A:$B,2,0),AE130,1),"")</f>
        <v>A</v>
      </c>
      <c r="AE130" s="3">
        <v>175</v>
      </c>
      <c r="AF130" s="3" t="str">
        <f>IFERROR(MID(VLOOKUP($B130,Seqs!$A:$B,2,0),AG130,1),"")</f>
        <v>C</v>
      </c>
      <c r="AG130" s="3">
        <v>186</v>
      </c>
      <c r="AH130" s="3" t="str">
        <f>IFERROR(MID(VLOOKUP($B130,Seqs!$A:$B,2,0),AI130,1),"")</f>
        <v>R</v>
      </c>
      <c r="AI130" s="3">
        <v>188</v>
      </c>
      <c r="AJ130" s="3" t="str">
        <f>IFERROR(MID(VLOOKUP($B130,Seqs!$A:$B,2,0),AK130,1),"")</f>
        <v>D</v>
      </c>
      <c r="AK130" s="3">
        <v>193</v>
      </c>
      <c r="AL130" s="3" t="str">
        <f>IFERROR(MID(VLOOKUP($B130,Seqs!$A:$B,2,0),AM130,1),"")</f>
        <v>K</v>
      </c>
      <c r="AM130" s="3">
        <v>225</v>
      </c>
      <c r="AN130" s="3" t="str">
        <f>IFERROR(MID(VLOOKUP($B130,Seqs!$A:$B,2,0),AO130,1),"")</f>
        <v>G</v>
      </c>
      <c r="AO130" s="3">
        <v>231</v>
      </c>
      <c r="AP130" s="3" t="str">
        <f>IFERROR(MID(VLOOKUP($B130,Seqs!$A:$B,2,0),AQ130,1),"")</f>
        <v>E</v>
      </c>
      <c r="AQ130" s="3">
        <v>268</v>
      </c>
      <c r="AR130" s="3" t="str">
        <f>IFERROR(MID(VLOOKUP($B130,Seqs!$A:$B,2,0),AS130,1),"")</f>
        <v>G</v>
      </c>
      <c r="AS130" s="3">
        <v>273</v>
      </c>
      <c r="AT130" s="3" t="str">
        <f>IFERROR(MID(VLOOKUP($B130,Seqs!$A:$B,2,0),AU130,1),"")</f>
        <v>I</v>
      </c>
      <c r="AU130" s="3">
        <v>300</v>
      </c>
      <c r="AV130" s="3" t="str">
        <f>IFERROR(MID(VLOOKUP($B130,Seqs!$A:$B,2,0),AW130,1),"")</f>
        <v/>
      </c>
      <c r="AW130" s="3" t="s">
        <v>23</v>
      </c>
      <c r="AX130" s="3" t="str">
        <f>IFERROR(MID(VLOOKUP($B130,Seqs!$A:$B,2,0),AY130,1),"")</f>
        <v/>
      </c>
      <c r="AY130" s="3" t="s">
        <v>23</v>
      </c>
      <c r="AZ130" s="77" t="str">
        <f>VLOOKUP(B130,Classification!A:D,2,0)</f>
        <v>A</v>
      </c>
      <c r="BA130" s="94" t="str">
        <f>VLOOKUP(B130,Classification!A:D,4,0)</f>
        <v>Chemokine</v>
      </c>
      <c r="BB130" s="27" t="b">
        <f t="shared" si="168"/>
        <v>1</v>
      </c>
      <c r="BC130" s="23">
        <f t="shared" si="197"/>
        <v>240</v>
      </c>
      <c r="BD130" s="2" t="s">
        <v>1383</v>
      </c>
      <c r="BE130" s="3" t="s">
        <v>1381</v>
      </c>
      <c r="BF130" s="119">
        <v>2.5</v>
      </c>
      <c r="BG130" s="49" t="s">
        <v>1384</v>
      </c>
      <c r="BH130" s="49" t="s">
        <v>1384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198"/>
        <v>34</v>
      </c>
      <c r="BW130" s="71" t="str">
        <f t="shared" si="199"/>
        <v>-</v>
      </c>
      <c r="BX130" s="72">
        <f t="shared" si="200"/>
        <v>71</v>
      </c>
      <c r="BY130" s="71">
        <f t="shared" si="201"/>
        <v>101</v>
      </c>
      <c r="BZ130" s="72">
        <f t="shared" si="202"/>
        <v>105</v>
      </c>
      <c r="CA130" s="71" t="str">
        <f t="shared" si="203"/>
        <v>-</v>
      </c>
      <c r="CB130" s="72">
        <f t="shared" si="204"/>
        <v>144</v>
      </c>
      <c r="CC130" s="71">
        <f t="shared" si="205"/>
        <v>186</v>
      </c>
      <c r="CD130" s="72">
        <f t="shared" si="206"/>
        <v>193</v>
      </c>
      <c r="CE130" s="71">
        <f t="shared" si="207"/>
        <v>231</v>
      </c>
      <c r="CF130" s="72">
        <f t="shared" si="208"/>
        <v>273</v>
      </c>
      <c r="CG130" s="71" t="str">
        <f t="shared" si="209"/>
        <v>-</v>
      </c>
      <c r="CH130" s="70">
        <f t="shared" si="210"/>
        <v>66</v>
      </c>
      <c r="CI130" s="71" t="str">
        <f t="shared" si="211"/>
        <v>-</v>
      </c>
      <c r="CJ130" s="72">
        <f t="shared" si="212"/>
        <v>100</v>
      </c>
      <c r="CK130" s="72">
        <f t="shared" si="213"/>
        <v>104</v>
      </c>
      <c r="CL130" s="72">
        <f t="shared" si="214"/>
        <v>140</v>
      </c>
      <c r="CM130" s="72" t="str">
        <f t="shared" si="215"/>
        <v>-</v>
      </c>
      <c r="CN130" s="72">
        <f t="shared" si="216"/>
        <v>175</v>
      </c>
      <c r="CO130" s="72">
        <f t="shared" si="217"/>
        <v>188</v>
      </c>
      <c r="CP130" s="72">
        <f t="shared" si="218"/>
        <v>225</v>
      </c>
      <c r="CQ130" s="72">
        <f t="shared" si="219"/>
        <v>268</v>
      </c>
      <c r="CR130" s="72">
        <f t="shared" si="220"/>
        <v>300</v>
      </c>
      <c r="CS130" s="72" t="str">
        <f t="shared" si="221"/>
        <v>-</v>
      </c>
      <c r="CT130" s="23" t="e">
        <f t="shared" si="222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167"/>
        <v>cxcr4_human_3OE0</v>
      </c>
      <c r="B131" s="3" t="s">
        <v>1172</v>
      </c>
      <c r="C131" s="3" t="s">
        <v>1032</v>
      </c>
      <c r="D131" s="3" t="str">
        <f>IFERROR(MID(VLOOKUP($B131,Seqs!$A:$B,2,0),E131,1),"")</f>
        <v>A</v>
      </c>
      <c r="E131" s="3">
        <v>34</v>
      </c>
      <c r="F131" s="3" t="str">
        <f>IFERROR(MID(VLOOKUP($B131,Seqs!$A:$B,2,0),G131,1),"")</f>
        <v>Q</v>
      </c>
      <c r="G131" s="3">
        <v>66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S</v>
      </c>
      <c r="M131" s="3">
        <v>71</v>
      </c>
      <c r="N131" s="3" t="str">
        <f>IFERROR(MID(VLOOKUP($B131,Seqs!$A:$B,2,0),O131,1),"")</f>
        <v>A</v>
      </c>
      <c r="O131" s="3">
        <v>100</v>
      </c>
      <c r="P131" s="3" t="str">
        <f>IFERROR(MID(VLOOKUP($B131,Seqs!$A:$B,2,0),Q131,1),"")</f>
        <v>N</v>
      </c>
      <c r="Q131" s="3">
        <v>101</v>
      </c>
      <c r="R131" s="3" t="str">
        <f>IFERROR(MID(VLOOKUP($B131,Seqs!$A:$B,2,0),S131,1),"")</f>
        <v>F</v>
      </c>
      <c r="S131" s="3">
        <v>104</v>
      </c>
      <c r="T131" s="3" t="str">
        <f>IFERROR(MID(VLOOKUP($B131,Seqs!$A:$B,2,0),U131,1),"")</f>
        <v>G</v>
      </c>
      <c r="U131" s="3">
        <v>105</v>
      </c>
      <c r="V131" s="3" t="str">
        <f>IFERROR(MID(VLOOKUP($B131,Seqs!$A:$B,2,0),W131,1),"")</f>
        <v>H</v>
      </c>
      <c r="W131" s="3">
        <v>140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S</v>
      </c>
      <c r="AC131" s="9">
        <v>144</v>
      </c>
      <c r="AD131" s="3" t="str">
        <f>IFERROR(MID(VLOOKUP($B131,Seqs!$A:$B,2,0),AE131,1),"")</f>
        <v>A</v>
      </c>
      <c r="AE131" s="3">
        <v>175</v>
      </c>
      <c r="AF131" s="3" t="str">
        <f>IFERROR(MID(VLOOKUP($B131,Seqs!$A:$B,2,0),AG131,1),"")</f>
        <v>C</v>
      </c>
      <c r="AG131" s="3">
        <v>186</v>
      </c>
      <c r="AH131" s="3" t="str">
        <f>IFERROR(MID(VLOOKUP($B131,Seqs!$A:$B,2,0),AI131,1),"")</f>
        <v>R</v>
      </c>
      <c r="AI131" s="3">
        <v>188</v>
      </c>
      <c r="AJ131" s="3" t="str">
        <f>IFERROR(MID(VLOOKUP($B131,Seqs!$A:$B,2,0),AK131,1),"")</f>
        <v>D</v>
      </c>
      <c r="AK131" s="3">
        <v>193</v>
      </c>
      <c r="AL131" s="3" t="str">
        <f>IFERROR(MID(VLOOKUP($B131,Seqs!$A:$B,2,0),AM131,1),"")</f>
        <v>H</v>
      </c>
      <c r="AM131" s="3">
        <v>228</v>
      </c>
      <c r="AN131" s="3" t="str">
        <f>IFERROR(MID(VLOOKUP($B131,Seqs!$A:$B,2,0),AO131,1),"")</f>
        <v>K</v>
      </c>
      <c r="AO131" s="3">
        <v>239</v>
      </c>
      <c r="AP131" s="3" t="str">
        <f>IFERROR(MID(VLOOKUP($B131,Seqs!$A:$B,2,0),AQ131,1),"")</f>
        <v>E</v>
      </c>
      <c r="AQ131" s="3">
        <v>268</v>
      </c>
      <c r="AR131" s="3" t="str">
        <f>IFERROR(MID(VLOOKUP($B131,Seqs!$A:$B,2,0),AS131,1),"")</f>
        <v>G</v>
      </c>
      <c r="AS131" s="3">
        <v>273</v>
      </c>
      <c r="AT131" s="3" t="str">
        <f>IFERROR(MID(VLOOKUP($B131,Seqs!$A:$B,2,0),AU131,1),"")</f>
        <v>I</v>
      </c>
      <c r="AU131" s="3">
        <v>300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7" t="str">
        <f>VLOOKUP(B131,Classification!A:D,2,0)</f>
        <v>A</v>
      </c>
      <c r="BA131" s="94" t="str">
        <f>VLOOKUP(B131,Classification!A:D,4,0)</f>
        <v>Chemokine</v>
      </c>
      <c r="BB131" s="27" t="b">
        <f t="shared" si="168"/>
        <v>1</v>
      </c>
      <c r="BC131" s="23">
        <f t="shared" si="197"/>
        <v>235</v>
      </c>
      <c r="BD131" s="4" t="s">
        <v>23</v>
      </c>
      <c r="BE131" s="3" t="s">
        <v>1381</v>
      </c>
      <c r="BF131" s="119">
        <v>2.9</v>
      </c>
      <c r="BG131" s="49" t="s">
        <v>1384</v>
      </c>
      <c r="BH131" s="49" t="s">
        <v>1384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198"/>
        <v>34</v>
      </c>
      <c r="BW131" s="71" t="str">
        <f t="shared" si="199"/>
        <v>-</v>
      </c>
      <c r="BX131" s="72">
        <f t="shared" si="200"/>
        <v>71</v>
      </c>
      <c r="BY131" s="71">
        <f t="shared" si="201"/>
        <v>101</v>
      </c>
      <c r="BZ131" s="72">
        <f t="shared" si="202"/>
        <v>105</v>
      </c>
      <c r="CA131" s="71" t="str">
        <f t="shared" si="203"/>
        <v>-</v>
      </c>
      <c r="CB131" s="72">
        <f t="shared" si="204"/>
        <v>144</v>
      </c>
      <c r="CC131" s="71">
        <f t="shared" si="205"/>
        <v>186</v>
      </c>
      <c r="CD131" s="72">
        <f t="shared" si="206"/>
        <v>193</v>
      </c>
      <c r="CE131" s="71">
        <f t="shared" si="207"/>
        <v>239</v>
      </c>
      <c r="CF131" s="72">
        <f t="shared" si="208"/>
        <v>273</v>
      </c>
      <c r="CG131" s="71" t="str">
        <f t="shared" si="209"/>
        <v>-</v>
      </c>
      <c r="CH131" s="70">
        <f t="shared" si="210"/>
        <v>66</v>
      </c>
      <c r="CI131" s="71" t="str">
        <f t="shared" si="211"/>
        <v>-</v>
      </c>
      <c r="CJ131" s="72">
        <f t="shared" si="212"/>
        <v>100</v>
      </c>
      <c r="CK131" s="72">
        <f t="shared" si="213"/>
        <v>104</v>
      </c>
      <c r="CL131" s="72">
        <f t="shared" si="214"/>
        <v>140</v>
      </c>
      <c r="CM131" s="72" t="str">
        <f t="shared" si="215"/>
        <v>-</v>
      </c>
      <c r="CN131" s="72">
        <f t="shared" si="216"/>
        <v>175</v>
      </c>
      <c r="CO131" s="72">
        <f t="shared" si="217"/>
        <v>188</v>
      </c>
      <c r="CP131" s="72">
        <f t="shared" si="218"/>
        <v>228</v>
      </c>
      <c r="CQ131" s="72">
        <f t="shared" si="219"/>
        <v>268</v>
      </c>
      <c r="CR131" s="72">
        <f t="shared" si="220"/>
        <v>300</v>
      </c>
      <c r="CS131" s="72" t="str">
        <f t="shared" si="221"/>
        <v>-</v>
      </c>
      <c r="CT131" s="23" t="e">
        <f t="shared" si="222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167"/>
        <v>cxcr4_human_4RWS</v>
      </c>
      <c r="B132" s="3" t="s">
        <v>1172</v>
      </c>
      <c r="C132" s="3" t="s">
        <v>1053</v>
      </c>
      <c r="D132" s="3" t="str">
        <f>IFERROR(MID(VLOOKUP($B132,Seqs!$A:$B,2,0),E132,1),"")</f>
        <v>R</v>
      </c>
      <c r="E132" s="3">
        <v>30</v>
      </c>
      <c r="F132" s="3" t="str">
        <f>IFERROR(MID(VLOOKUP($B132,Seqs!$A:$B,2,0),G132,1),"")</f>
        <v>Q</v>
      </c>
      <c r="G132" s="3">
        <v>66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S</v>
      </c>
      <c r="M132" s="3">
        <v>71</v>
      </c>
      <c r="N132" s="3" t="str">
        <f>IFERROR(MID(VLOOKUP($B132,Seqs!$A:$B,2,0),O132,1),"")</f>
        <v>A</v>
      </c>
      <c r="O132" s="3">
        <v>100</v>
      </c>
      <c r="P132" s="3" t="str">
        <f>IFERROR(MID(VLOOKUP($B132,Seqs!$A:$B,2,0),Q132,1),"")</f>
        <v>N</v>
      </c>
      <c r="Q132" s="3">
        <v>101</v>
      </c>
      <c r="R132" s="3" t="str">
        <f>IFERROR(MID(VLOOKUP($B132,Seqs!$A:$B,2,0),S132,1),"")</f>
        <v>F</v>
      </c>
      <c r="S132" s="3">
        <v>104</v>
      </c>
      <c r="T132" s="3" t="str">
        <f>IFERROR(MID(VLOOKUP($B132,Seqs!$A:$B,2,0),U132,1),"")</f>
        <v>G</v>
      </c>
      <c r="U132" s="3">
        <v>105</v>
      </c>
      <c r="V132" s="3" t="str">
        <f>IFERROR(MID(VLOOKUP($B132,Seqs!$A:$B,2,0),W132,1),"")</f>
        <v>H</v>
      </c>
      <c r="W132" s="3">
        <v>140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S</v>
      </c>
      <c r="AC132" s="9">
        <v>144</v>
      </c>
      <c r="AD132" s="3" t="str">
        <f>IFERROR(MID(VLOOKUP($B132,Seqs!$A:$B,2,0),AE132,1),"")</f>
        <v>A</v>
      </c>
      <c r="AE132" s="3">
        <v>175</v>
      </c>
      <c r="AF132" s="3" t="str">
        <f>IFERROR(MID(VLOOKUP($B132,Seqs!$A:$B,2,0),AG132,1),"")</f>
        <v>C</v>
      </c>
      <c r="AG132" s="3">
        <v>186</v>
      </c>
      <c r="AH132" s="3" t="str">
        <f>IFERROR(MID(VLOOKUP($B132,Seqs!$A:$B,2,0),AI132,1),"")</f>
        <v>R</v>
      </c>
      <c r="AI132" s="3">
        <v>188</v>
      </c>
      <c r="AJ132" s="3" t="str">
        <f>IFERROR(MID(VLOOKUP($B132,Seqs!$A:$B,2,0),AK132,1),"")</f>
        <v>D</v>
      </c>
      <c r="AK132" s="3">
        <v>193</v>
      </c>
      <c r="AL132" s="3" t="str">
        <f>IFERROR(MID(VLOOKUP($B132,Seqs!$A:$B,2,0),AM132,1),"")</f>
        <v>S</v>
      </c>
      <c r="AM132" s="3">
        <v>227</v>
      </c>
      <c r="AN132" s="3" t="str">
        <f>IFERROR(MID(VLOOKUP($B132,Seqs!$A:$B,2,0),AO132,1),"")</f>
        <v>K</v>
      </c>
      <c r="AO132" s="3">
        <v>239</v>
      </c>
      <c r="AP132" s="3" t="str">
        <f>IFERROR(MID(VLOOKUP($B132,Seqs!$A:$B,2,0),AQ132,1),"")</f>
        <v>E</v>
      </c>
      <c r="AQ132" s="3">
        <v>268</v>
      </c>
      <c r="AR132" s="3" t="str">
        <f>IFERROR(MID(VLOOKUP($B132,Seqs!$A:$B,2,0),AS132,1),"")</f>
        <v>G</v>
      </c>
      <c r="AS132" s="3">
        <v>273</v>
      </c>
      <c r="AT132" s="3" t="str">
        <f>IFERROR(MID(VLOOKUP($B132,Seqs!$A:$B,2,0),AU132,1),"")</f>
        <v>I</v>
      </c>
      <c r="AU132" s="3">
        <v>300</v>
      </c>
      <c r="AV132" s="3" t="str">
        <f>IFERROR(MID(VLOOKUP($B132,Seqs!$A:$B,2,0),AW132,1),"")</f>
        <v/>
      </c>
      <c r="AW132" s="3" t="s">
        <v>23</v>
      </c>
      <c r="AX132" s="3" t="str">
        <f>IFERROR(MID(VLOOKUP($B132,Seqs!$A:$B,2,0),AY132,1),"")</f>
        <v/>
      </c>
      <c r="AY132" s="3" t="s">
        <v>23</v>
      </c>
      <c r="AZ132" s="77" t="str">
        <f>VLOOKUP(B132,Classification!A:D,2,0)</f>
        <v>A</v>
      </c>
      <c r="BA132" s="94" t="str">
        <f>VLOOKUP(B132,Classification!A:D,4,0)</f>
        <v>Chemokine</v>
      </c>
      <c r="BB132" s="27" t="b">
        <f t="shared" si="168"/>
        <v>1</v>
      </c>
      <c r="BC132" s="23">
        <f t="shared" si="197"/>
        <v>238</v>
      </c>
      <c r="BD132" s="5" t="s">
        <v>23</v>
      </c>
      <c r="BE132" s="3" t="s">
        <v>1381</v>
      </c>
      <c r="BF132" s="119">
        <v>3.1</v>
      </c>
      <c r="BG132" s="49" t="s">
        <v>1384</v>
      </c>
      <c r="BH132" s="49" t="s">
        <v>1384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198"/>
        <v>30</v>
      </c>
      <c r="BW132" s="71" t="str">
        <f t="shared" si="199"/>
        <v>-</v>
      </c>
      <c r="BX132" s="72">
        <f t="shared" si="200"/>
        <v>71</v>
      </c>
      <c r="BY132" s="71">
        <f t="shared" si="201"/>
        <v>101</v>
      </c>
      <c r="BZ132" s="72">
        <f t="shared" si="202"/>
        <v>105</v>
      </c>
      <c r="CA132" s="71" t="str">
        <f t="shared" si="203"/>
        <v>-</v>
      </c>
      <c r="CB132" s="72">
        <f t="shared" si="204"/>
        <v>144</v>
      </c>
      <c r="CC132" s="71">
        <f t="shared" si="205"/>
        <v>186</v>
      </c>
      <c r="CD132" s="72">
        <f t="shared" si="206"/>
        <v>193</v>
      </c>
      <c r="CE132" s="71">
        <f t="shared" si="207"/>
        <v>239</v>
      </c>
      <c r="CF132" s="72">
        <f t="shared" si="208"/>
        <v>273</v>
      </c>
      <c r="CG132" s="71" t="str">
        <f t="shared" si="209"/>
        <v>-</v>
      </c>
      <c r="CH132" s="70">
        <f t="shared" si="210"/>
        <v>66</v>
      </c>
      <c r="CI132" s="71" t="str">
        <f t="shared" si="211"/>
        <v>-</v>
      </c>
      <c r="CJ132" s="72">
        <f t="shared" si="212"/>
        <v>100</v>
      </c>
      <c r="CK132" s="72">
        <f t="shared" si="213"/>
        <v>104</v>
      </c>
      <c r="CL132" s="72">
        <f t="shared" si="214"/>
        <v>140</v>
      </c>
      <c r="CM132" s="72" t="str">
        <f t="shared" si="215"/>
        <v>-</v>
      </c>
      <c r="CN132" s="72">
        <f t="shared" si="216"/>
        <v>175</v>
      </c>
      <c r="CO132" s="72">
        <f t="shared" si="217"/>
        <v>188</v>
      </c>
      <c r="CP132" s="72">
        <f t="shared" si="218"/>
        <v>227</v>
      </c>
      <c r="CQ132" s="72">
        <f t="shared" si="219"/>
        <v>268</v>
      </c>
      <c r="CR132" s="72">
        <f t="shared" si="220"/>
        <v>300</v>
      </c>
      <c r="CS132" s="72" t="str">
        <f t="shared" si="221"/>
        <v>-</v>
      </c>
      <c r="CT132" s="23" t="e">
        <f t="shared" si="222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>CONCATENATE(B133,"_",C133)</f>
        <v>drd2_human__wt</v>
      </c>
      <c r="B133" s="3" t="s">
        <v>191</v>
      </c>
      <c r="C133" s="3" t="s">
        <v>100</v>
      </c>
      <c r="D133" s="3" t="str">
        <f>IFERROR(MID(VLOOKUP($B133,Seqs!$A:$B,2,0),E133,1),"")</f>
        <v>R</v>
      </c>
      <c r="E133" s="3">
        <v>31</v>
      </c>
      <c r="F133" s="3" t="str">
        <f>IFERROR(MID(VLOOKUP($B133,Seqs!$A:$B,2,0),G133,1),"")</f>
        <v>E</v>
      </c>
      <c r="G133" s="3">
        <v>62</v>
      </c>
      <c r="H133" s="3" t="str">
        <f>IFERROR(MID(VLOOKUP($B133,Seqs!$A:$B,2,0),I133,1),"")</f>
        <v>K</v>
      </c>
      <c r="I133" s="23">
        <v>63</v>
      </c>
      <c r="J133" s="3" t="str">
        <f>IFERROR(MID(VLOOKUP($B133,Seqs!$A:$B,2,0),K133,1),"")</f>
        <v>Q</v>
      </c>
      <c r="K133" s="23">
        <v>66</v>
      </c>
      <c r="L133" s="3" t="str">
        <f>IFERROR(MID(VLOOKUP($B133,Seqs!$A:$B,2,0),M133,1),"")</f>
        <v>T</v>
      </c>
      <c r="M133" s="3">
        <v>67</v>
      </c>
      <c r="N133" s="3" t="str">
        <f>IFERROR(MID(VLOOKUP($B133,Seqs!$A:$B,2,0),O133,1),"")</f>
        <v>G</v>
      </c>
      <c r="O133" s="3">
        <v>98</v>
      </c>
      <c r="P133" s="3" t="str">
        <f>IFERROR(MID(VLOOKUP($B133,Seqs!$A:$B,2,0),Q133,1),"")</f>
        <v>E</v>
      </c>
      <c r="Q133" s="3">
        <v>99</v>
      </c>
      <c r="R133" s="3" t="str">
        <f>IFERROR(MID(VLOOKUP($B133,Seqs!$A:$B,2,0),S133,1),"")</f>
        <v>F</v>
      </c>
      <c r="S133" s="3">
        <v>102</v>
      </c>
      <c r="T133" s="3" t="str">
        <f>IFERROR(MID(VLOOKUP($B133,Seqs!$A:$B,2,0),U133,1),"")</f>
        <v>S</v>
      </c>
      <c r="U133" s="3">
        <v>103</v>
      </c>
      <c r="V133" s="3" t="str">
        <f>IFERROR(MID(VLOOKUP($B133,Seqs!$A:$B,2,0),W133,1),"")</f>
        <v>M</v>
      </c>
      <c r="W133" s="3">
        <v>138</v>
      </c>
      <c r="X133" s="3" t="str">
        <f>IFERROR(MID(VLOOKUP($B133,Seqs!$A:$B,2,0),Y133,1),"")</f>
        <v>P</v>
      </c>
      <c r="Y133" s="3">
        <v>139</v>
      </c>
      <c r="Z133" s="3" t="str">
        <f>IFERROR(MID(VLOOKUP($B133,Seqs!$A:$B,2,0),AA133,1),"")</f>
        <v>S</v>
      </c>
      <c r="AA133" s="3">
        <v>147</v>
      </c>
      <c r="AB133" s="3" t="str">
        <f>IFERROR(MID(VLOOKUP($B133,Seqs!$A:$B,2,0),AC133,1),"")</f>
        <v>S</v>
      </c>
      <c r="AC133" s="3">
        <v>148</v>
      </c>
      <c r="AD133" s="3" t="str">
        <f>IFERROR(MID(VLOOKUP($B133,Seqs!$A:$B,2,0),AE133,1),"")</f>
        <v>F</v>
      </c>
      <c r="AE133" s="3">
        <v>172</v>
      </c>
      <c r="AF133" s="3" t="str">
        <f>IFERROR(MID(VLOOKUP($B133,Seqs!$A:$B,2,0),AG133,1),"")</f>
        <v>C</v>
      </c>
      <c r="AG133" s="3">
        <v>182</v>
      </c>
      <c r="AH133" s="3" t="str">
        <f>IFERROR(MID(VLOOKUP($B133,Seqs!$A:$B,2,0),AI133,1),"")</f>
        <v>I</v>
      </c>
      <c r="AI133" s="3">
        <v>184</v>
      </c>
      <c r="AJ133" s="3" t="str">
        <f>IFERROR(MID(VLOOKUP($B133,Seqs!$A:$B,2,0),AK133,1),"")</f>
        <v>N</v>
      </c>
      <c r="AK133" s="3">
        <v>186</v>
      </c>
      <c r="AL133" s="3" t="str">
        <f>IFERROR(MID(VLOOKUP($B133,Seqs!$A:$B,2,0),AM133,1),"")</f>
        <v>K</v>
      </c>
      <c r="AM133" s="3">
        <v>226</v>
      </c>
      <c r="AN133" s="3" t="str">
        <f>IFERROR(MID(VLOOKUP($B133,Seqs!$A:$B,2,0),AO133,1),"")</f>
        <v>K</v>
      </c>
      <c r="AO133" s="3">
        <v>362</v>
      </c>
      <c r="AP133" s="3" t="str">
        <f>IFERROR(MID(VLOOKUP($B133,Seqs!$A:$B,2,0),AQ133,1),"")</f>
        <v>C</v>
      </c>
      <c r="AQ133" s="3">
        <v>399</v>
      </c>
      <c r="AR133" s="3" t="str">
        <f>IFERROR(MID(VLOOKUP($B133,Seqs!$A:$B,2,0),AS133,1),"")</f>
        <v>P</v>
      </c>
      <c r="AS133" s="3">
        <v>404</v>
      </c>
      <c r="AT133" s="3" t="str">
        <f>IFERROR(MID(VLOOKUP($B133,Seqs!$A:$B,2,0),AU133,1),"")</f>
        <v>F</v>
      </c>
      <c r="AU133" s="3">
        <v>429</v>
      </c>
      <c r="AV133" s="3" t="str">
        <f>IFERROR(MID(VLOOKUP($B133,Seqs!$A:$B,2,0),AW133,1),"")</f>
        <v>N</v>
      </c>
      <c r="AW133" s="3">
        <v>430</v>
      </c>
      <c r="AX133" s="3" t="str">
        <f>IFERROR(MID(VLOOKUP($B133,Seqs!$A:$B,2,0),AY133,1),"")</f>
        <v>H</v>
      </c>
      <c r="AY133" s="3">
        <v>442</v>
      </c>
      <c r="AZ133" s="77" t="str">
        <f>VLOOKUP(B133,Classification!A:D,2,0)</f>
        <v>A</v>
      </c>
      <c r="BA133" s="94" t="str">
        <f>VLOOKUP(B133,Classification!A:D,4,0)</f>
        <v>Dopamine</v>
      </c>
      <c r="BB133" s="27" t="b">
        <f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>_xlfn.AGGREGATE(9,6,CH133:CS133)-_xlfn.AGGREGATE(9,6,BV133:CG133)+12</f>
        <v>263</v>
      </c>
      <c r="BD133" s="56" t="s">
        <v>1379</v>
      </c>
      <c r="BE133" s="3" t="s">
        <v>23</v>
      </c>
      <c r="BF133" s="119" t="s">
        <v>23</v>
      </c>
      <c r="BG133" s="49" t="s">
        <v>1379</v>
      </c>
      <c r="BH133" s="49" t="s">
        <v>1384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>E133</f>
        <v>31</v>
      </c>
      <c r="BW133" s="71">
        <f>I133</f>
        <v>63</v>
      </c>
      <c r="BX133" s="72">
        <f>M133</f>
        <v>67</v>
      </c>
      <c r="BY133" s="71">
        <f>Q133</f>
        <v>99</v>
      </c>
      <c r="BZ133" s="72">
        <f>U133</f>
        <v>103</v>
      </c>
      <c r="CA133" s="71">
        <f>Y133</f>
        <v>139</v>
      </c>
      <c r="CB133" s="72">
        <f>AC133</f>
        <v>148</v>
      </c>
      <c r="CC133" s="71">
        <f>AG133</f>
        <v>182</v>
      </c>
      <c r="CD133" s="72">
        <f>AK133</f>
        <v>186</v>
      </c>
      <c r="CE133" s="71">
        <f>AO133</f>
        <v>362</v>
      </c>
      <c r="CF133" s="72">
        <f>AS133</f>
        <v>404</v>
      </c>
      <c r="CG133" s="71">
        <f>AW133</f>
        <v>430</v>
      </c>
      <c r="CH133" s="70">
        <f>G133</f>
        <v>62</v>
      </c>
      <c r="CI133" s="71">
        <f>K133</f>
        <v>66</v>
      </c>
      <c r="CJ133" s="72">
        <f>O133</f>
        <v>98</v>
      </c>
      <c r="CK133" s="72">
        <f>S133</f>
        <v>102</v>
      </c>
      <c r="CL133" s="72">
        <f>W133</f>
        <v>138</v>
      </c>
      <c r="CM133" s="72">
        <f>AA133</f>
        <v>147</v>
      </c>
      <c r="CN133" s="72">
        <f>AE133</f>
        <v>172</v>
      </c>
      <c r="CO133" s="72">
        <f>AI133</f>
        <v>184</v>
      </c>
      <c r="CP133" s="72">
        <f>AM133</f>
        <v>226</v>
      </c>
      <c r="CQ133" s="72">
        <f>AQ133</f>
        <v>399</v>
      </c>
      <c r="CR133" s="72">
        <f>AU133</f>
        <v>429</v>
      </c>
      <c r="CS133" s="72">
        <f>AY133</f>
        <v>442</v>
      </c>
      <c r="CT133" s="23">
        <f>M133-K133</f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>CONCATENATE(B134,"_",C134)</f>
        <v>drd2_human_6CM4</v>
      </c>
      <c r="B134" s="3" t="s">
        <v>191</v>
      </c>
      <c r="C134" s="3" t="s">
        <v>1489</v>
      </c>
      <c r="D134" s="3" t="str">
        <f>IFERROR(MID(VLOOKUP($B134,Seqs!$A:$B,2,0),E134,1),"")</f>
        <v>N</v>
      </c>
      <c r="E134" s="3">
        <v>35</v>
      </c>
      <c r="F134" s="3" t="str">
        <f>IFERROR(MID(VLOOKUP($B134,Seqs!$A:$B,2,0),G134,1),"")</f>
        <v>E</v>
      </c>
      <c r="G134" s="3">
        <v>62</v>
      </c>
      <c r="H134" s="3" t="str">
        <f>IFERROR(MID(VLOOKUP($B134,Seqs!$A:$B,2,0),I134,1),"")</f>
        <v>K</v>
      </c>
      <c r="I134" s="23">
        <v>63</v>
      </c>
      <c r="J134" s="3" t="str">
        <f>IFERROR(MID(VLOOKUP($B134,Seqs!$A:$B,2,0),K134,1),"")</f>
        <v>Q</v>
      </c>
      <c r="K134" s="23">
        <v>66</v>
      </c>
      <c r="L134" s="3" t="str">
        <f>IFERROR(MID(VLOOKUP($B134,Seqs!$A:$B,2,0),M134,1),"")</f>
        <v>T</v>
      </c>
      <c r="M134" s="3">
        <v>67</v>
      </c>
      <c r="N134" s="3" t="str">
        <f>IFERROR(MID(VLOOKUP($B134,Seqs!$A:$B,2,0),O134,1),"")</f>
        <v>G</v>
      </c>
      <c r="O134" s="3">
        <v>98</v>
      </c>
      <c r="P134" s="3" t="str">
        <f>IFERROR(MID(VLOOKUP($B134,Seqs!$A:$B,2,0),Q134,1),"")</f>
        <v>E</v>
      </c>
      <c r="Q134" s="3">
        <v>99</v>
      </c>
      <c r="R134" s="3" t="str">
        <f>IFERROR(MID(VLOOKUP($B134,Seqs!$A:$B,2,0),S134,1),"")</f>
        <v>F</v>
      </c>
      <c r="S134" s="3">
        <v>102</v>
      </c>
      <c r="T134" s="3" t="str">
        <f>IFERROR(MID(VLOOKUP($B134,Seqs!$A:$B,2,0),U134,1),"")</f>
        <v>S</v>
      </c>
      <c r="U134" s="3">
        <v>103</v>
      </c>
      <c r="V134" s="3" t="str">
        <f>IFERROR(MID(VLOOKUP($B134,Seqs!$A:$B,2,0),W134,1),"")</f>
        <v>M</v>
      </c>
      <c r="W134" s="3">
        <v>138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Y</v>
      </c>
      <c r="AC134" s="3">
        <v>146</v>
      </c>
      <c r="AD134" s="3" t="str">
        <f>IFERROR(MID(VLOOKUP($B134,Seqs!$A:$B,2,0),AE134,1),"")</f>
        <v>F</v>
      </c>
      <c r="AE134" s="3">
        <v>172</v>
      </c>
      <c r="AF134" s="3" t="str">
        <f>IFERROR(MID(VLOOKUP($B134,Seqs!$A:$B,2,0),AG134,1),"")</f>
        <v>C</v>
      </c>
      <c r="AG134" s="3">
        <v>182</v>
      </c>
      <c r="AH134" s="3" t="str">
        <f>IFERROR(MID(VLOOKUP($B134,Seqs!$A:$B,2,0),AI134,1),"")</f>
        <v>I</v>
      </c>
      <c r="AI134" s="3">
        <v>184</v>
      </c>
      <c r="AJ134" s="3" t="str">
        <f>IFERROR(MID(VLOOKUP($B134,Seqs!$A:$B,2,0),AK134,1),"")</f>
        <v>A</v>
      </c>
      <c r="AK134" s="3">
        <v>188</v>
      </c>
      <c r="AL134" s="3" t="str">
        <f>IFERROR(MID(VLOOKUP($B134,Seqs!$A:$B,2,0),AM134,1),"")</f>
        <v>R</v>
      </c>
      <c r="AM134" s="3">
        <v>222</v>
      </c>
      <c r="AN134" s="3" t="str">
        <f>IFERROR(MID(VLOOKUP($B134,Seqs!$A:$B,2,0),AO134,1),"")</f>
        <v>E</v>
      </c>
      <c r="AO134" s="3">
        <v>368</v>
      </c>
      <c r="AP134" s="3" t="str">
        <f>IFERROR(MID(VLOOKUP($B134,Seqs!$A:$B,2,0),AQ134,1),"")</f>
        <v>C</v>
      </c>
      <c r="AQ134" s="3">
        <v>399</v>
      </c>
      <c r="AR134" s="3" t="str">
        <f>IFERROR(MID(VLOOKUP($B134,Seqs!$A:$B,2,0),AS134,1),"")</f>
        <v>P</v>
      </c>
      <c r="AS134" s="3">
        <v>404</v>
      </c>
      <c r="AT134" s="3" t="str">
        <f>IFERROR(MID(VLOOKUP($B134,Seqs!$A:$B,2,0),AU134,1),"")</f>
        <v>F</v>
      </c>
      <c r="AU134" s="3">
        <v>429</v>
      </c>
      <c r="AV134" s="3" t="str">
        <f>IFERROR(MID(VLOOKUP($B134,Seqs!$A:$B,2,0),AW134,1),"")</f>
        <v>N</v>
      </c>
      <c r="AW134" s="3">
        <v>430</v>
      </c>
      <c r="AX134" s="3" t="str">
        <f>IFERROR(MID(VLOOKUP($B134,Seqs!$A:$B,2,0),AY134,1),"")</f>
        <v>H</v>
      </c>
      <c r="AY134" s="3">
        <v>442</v>
      </c>
      <c r="AZ134" s="77" t="str">
        <f>VLOOKUP(B134,Classification!A:D,2,0)</f>
        <v>A</v>
      </c>
      <c r="BA134" s="94" t="str">
        <f>VLOOKUP(B134,Classification!A:D,4,0)</f>
        <v>Dopamine</v>
      </c>
      <c r="BB134" s="27" t="b">
        <f>AND(E134&lt;G134,OR(G134&lt;I134,I134="-"),OR(I134&lt;K134,I134="-"),OR(K134&lt;M134,K134="-"),M134&lt;O134,OR(O134&lt;Q134,Q134="-"),OR(Q134&lt;S134,Q134="-"),OR(S134&lt;U134,S134="-"),U134&lt;W134,OR(W134&lt;Y134,Y134="-"),OR(Y134&lt;AA134,Y134="-"),OR(AA134&lt;AC134,AA134="-"),AC134&lt;AE134,OR(AE134&lt;AG134,AG134="-"),OR(AG134&lt;AI134,AG134="-"),OR(AI134&lt;AK134,AI134="-"),AK134&lt;AM134,AM134&lt;AO134,AO134&lt;AQ134,AQ134&lt;AS134,AS134&lt;AU134,OR(AU134&lt;AW134,AW134="-"),OR(AW134&lt;AY134,AW134="-"))</f>
        <v>1</v>
      </c>
      <c r="BC134" s="23">
        <f>_xlfn.AGGREGATE(9,6,CH134:CS134)-_xlfn.AGGREGATE(9,6,BV134:CG134)+12</f>
        <v>241</v>
      </c>
      <c r="BD134" s="56" t="s">
        <v>1383</v>
      </c>
      <c r="BE134" s="3" t="s">
        <v>1381</v>
      </c>
      <c r="BF134" s="119">
        <v>2.87</v>
      </c>
      <c r="BG134" s="49" t="s">
        <v>1</v>
      </c>
      <c r="BH134" s="49" t="s">
        <v>1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>E134</f>
        <v>35</v>
      </c>
      <c r="BW134" s="71">
        <f>I134</f>
        <v>63</v>
      </c>
      <c r="BX134" s="72">
        <f>M134</f>
        <v>67</v>
      </c>
      <c r="BY134" s="71">
        <f>Q134</f>
        <v>99</v>
      </c>
      <c r="BZ134" s="72">
        <f>U134</f>
        <v>103</v>
      </c>
      <c r="CA134" s="71" t="str">
        <f>Y134</f>
        <v>-</v>
      </c>
      <c r="CB134" s="72">
        <f>AC134</f>
        <v>146</v>
      </c>
      <c r="CC134" s="71">
        <f>AG134</f>
        <v>182</v>
      </c>
      <c r="CD134" s="72">
        <f>AK134</f>
        <v>188</v>
      </c>
      <c r="CE134" s="71">
        <f>AO134</f>
        <v>368</v>
      </c>
      <c r="CF134" s="72">
        <f>AS134</f>
        <v>404</v>
      </c>
      <c r="CG134" s="71">
        <f>AW134</f>
        <v>430</v>
      </c>
      <c r="CH134" s="70">
        <f>G134</f>
        <v>62</v>
      </c>
      <c r="CI134" s="71">
        <f>K134</f>
        <v>66</v>
      </c>
      <c r="CJ134" s="72">
        <f>O134</f>
        <v>98</v>
      </c>
      <c r="CK134" s="72">
        <f>S134</f>
        <v>102</v>
      </c>
      <c r="CL134" s="72">
        <f>W134</f>
        <v>138</v>
      </c>
      <c r="CM134" s="72" t="str">
        <f>AA134</f>
        <v>-</v>
      </c>
      <c r="CN134" s="72">
        <f>AE134</f>
        <v>172</v>
      </c>
      <c r="CO134" s="72">
        <f>AI134</f>
        <v>184</v>
      </c>
      <c r="CP134" s="72">
        <f>AM134</f>
        <v>222</v>
      </c>
      <c r="CQ134" s="72">
        <f>AQ134</f>
        <v>399</v>
      </c>
      <c r="CR134" s="72">
        <f>AU134</f>
        <v>429</v>
      </c>
      <c r="CS134" s="72">
        <f>AY134</f>
        <v>442</v>
      </c>
      <c r="CT134" s="23">
        <f>M134-K134</f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167"/>
        <v>drd3_human__wt</v>
      </c>
      <c r="B135" s="3" t="s">
        <v>192</v>
      </c>
      <c r="C135" s="3" t="s">
        <v>100</v>
      </c>
      <c r="D135" s="3" t="str">
        <f>IFERROR(MID(VLOOKUP($B135,Seqs!$A:$B,2,0),E135,1),"")</f>
        <v>A</v>
      </c>
      <c r="E135" s="3">
        <v>26</v>
      </c>
      <c r="F135" s="3" t="str">
        <f>IFERROR(MID(VLOOKUP($B135,Seqs!$A:$B,2,0),G135,1),"")</f>
        <v>E</v>
      </c>
      <c r="G135" s="3">
        <v>57</v>
      </c>
      <c r="H135" s="3" t="str">
        <f>IFERROR(MID(VLOOKUP($B135,Seqs!$A:$B,2,0),I135,1),"")</f>
        <v>R</v>
      </c>
      <c r="I135" s="23">
        <v>58</v>
      </c>
      <c r="J135" s="3" t="str">
        <f>IFERROR(MID(VLOOKUP($B135,Seqs!$A:$B,2,0),K135,1),"")</f>
        <v>Q</v>
      </c>
      <c r="K135" s="23">
        <v>61</v>
      </c>
      <c r="L135" s="3" t="str">
        <f>IFERROR(MID(VLOOKUP($B135,Seqs!$A:$B,2,0),M135,1),"")</f>
        <v>T</v>
      </c>
      <c r="M135" s="3">
        <v>62</v>
      </c>
      <c r="N135" s="3" t="str">
        <f>IFERROR(MID(VLOOKUP($B135,Seqs!$A:$B,2,0),O135,1),"")</f>
        <v>T</v>
      </c>
      <c r="O135" s="3">
        <v>92</v>
      </c>
      <c r="P135" s="3" t="str">
        <f>IFERROR(MID(VLOOKUP($B135,Seqs!$A:$B,2,0),Q135,1),"")</f>
        <v>V</v>
      </c>
      <c r="Q135" s="3">
        <v>95</v>
      </c>
      <c r="R135" s="3" t="str">
        <f>IFERROR(MID(VLOOKUP($B135,Seqs!$A:$B,2,0),S135,1),"")</f>
        <v>F</v>
      </c>
      <c r="S135" s="3">
        <v>98</v>
      </c>
      <c r="T135" s="3" t="str">
        <f>IFERROR(MID(VLOOKUP($B135,Seqs!$A:$B,2,0),U135,1),"")</f>
        <v>S</v>
      </c>
      <c r="U135" s="3">
        <v>99</v>
      </c>
      <c r="V135" s="3" t="str">
        <f>IFERROR(MID(VLOOKUP($B135,Seqs!$A:$B,2,0),W135,1),"")</f>
        <v>M</v>
      </c>
      <c r="W135" s="3">
        <v>134</v>
      </c>
      <c r="X135" s="3" t="str">
        <f>IFERROR(MID(VLOOKUP($B135,Seqs!$A:$B,2,0),Y135,1),"")</f>
        <v>P</v>
      </c>
      <c r="Y135" s="3">
        <v>135</v>
      </c>
      <c r="Z135" s="3" t="str">
        <f>IFERROR(MID(VLOOKUP($B135,Seqs!$A:$B,2,0),AA135,1),"")</f>
        <v>G</v>
      </c>
      <c r="AA135" s="3">
        <v>143</v>
      </c>
      <c r="AB135" s="3" t="str">
        <f>IFERROR(MID(VLOOKUP($B135,Seqs!$A:$B,2,0),AC135,1),"")</f>
        <v>S</v>
      </c>
      <c r="AC135" s="3">
        <v>146</v>
      </c>
      <c r="AD135" s="3" t="str">
        <f>IFERROR(MID(VLOOKUP($B135,Seqs!$A:$B,2,0),AE135,1),"")</f>
        <v>G</v>
      </c>
      <c r="AE135" s="3">
        <v>171</v>
      </c>
      <c r="AF135" s="3" t="str">
        <f>IFERROR(MID(VLOOKUP($B135,Seqs!$A:$B,2,0),AG135,1),"")</f>
        <v>C</v>
      </c>
      <c r="AG135" s="3">
        <v>181</v>
      </c>
      <c r="AH135" s="3" t="str">
        <f>IFERROR(MID(VLOOKUP($B135,Seqs!$A:$B,2,0),AI135,1),"")</f>
        <v>I</v>
      </c>
      <c r="AI135" s="3">
        <v>183</v>
      </c>
      <c r="AJ135" s="3" t="str">
        <f>IFERROR(MID(VLOOKUP($B135,Seqs!$A:$B,2,0),AK135,1),"")</f>
        <v>N</v>
      </c>
      <c r="AK135" s="3">
        <v>185</v>
      </c>
      <c r="AL135" s="3" t="str">
        <f>IFERROR(MID(VLOOKUP($B135,Seqs!$A:$B,2,0),AM135,1),"")</f>
        <v>R</v>
      </c>
      <c r="AM135" s="3">
        <v>226</v>
      </c>
      <c r="AN135" s="3" t="str">
        <f>IFERROR(MID(VLOOKUP($B135,Seqs!$A:$B,2,0),AO135,1),"")</f>
        <v>R</v>
      </c>
      <c r="AO135" s="3">
        <v>318</v>
      </c>
      <c r="AP135" s="3" t="str">
        <f>IFERROR(MID(VLOOKUP($B135,Seqs!$A:$B,2,0),AQ135,1),"")</f>
        <v>H</v>
      </c>
      <c r="AQ135" s="3">
        <v>354</v>
      </c>
      <c r="AR135" s="3" t="str">
        <f>IFERROR(MID(VLOOKUP($B135,Seqs!$A:$B,2,0),AS135,1),"")</f>
        <v>S</v>
      </c>
      <c r="AS135" s="3">
        <v>361</v>
      </c>
      <c r="AT135" s="3" t="str">
        <f>IFERROR(MID(VLOOKUP($B135,Seqs!$A:$B,2,0),AU135,1),"")</f>
        <v>F</v>
      </c>
      <c r="AU135" s="3">
        <v>386</v>
      </c>
      <c r="AV135" s="3" t="str">
        <f>IFERROR(MID(VLOOKUP($B135,Seqs!$A:$B,2,0),AW135,1),"")</f>
        <v>N</v>
      </c>
      <c r="AW135" s="3">
        <v>387</v>
      </c>
      <c r="AX135" s="3" t="str">
        <f>IFERROR(MID(VLOOKUP($B135,Seqs!$A:$B,2,0),AY135,1),"")</f>
        <v>S</v>
      </c>
      <c r="AY135" s="3">
        <v>399</v>
      </c>
      <c r="AZ135" s="77" t="str">
        <f>VLOOKUP(B135,Classification!A:D,2,0)</f>
        <v>A</v>
      </c>
      <c r="BA135" s="94" t="str">
        <f>VLOOKUP(B135,Classification!A:D,4,0)</f>
        <v>Dopamine</v>
      </c>
      <c r="BB135" s="27" t="b">
        <f t="shared" si="168"/>
        <v>1</v>
      </c>
      <c r="BC135" s="23">
        <f t="shared" si="197"/>
        <v>263</v>
      </c>
      <c r="BD135" s="56" t="s">
        <v>1379</v>
      </c>
      <c r="BE135" s="3" t="s">
        <v>23</v>
      </c>
      <c r="BF135" s="119" t="s">
        <v>23</v>
      </c>
      <c r="BG135" s="49" t="s">
        <v>1379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198"/>
        <v>26</v>
      </c>
      <c r="BW135" s="71">
        <f t="shared" si="199"/>
        <v>58</v>
      </c>
      <c r="BX135" s="72">
        <f t="shared" si="200"/>
        <v>62</v>
      </c>
      <c r="BY135" s="71">
        <f t="shared" si="201"/>
        <v>95</v>
      </c>
      <c r="BZ135" s="72">
        <f t="shared" si="202"/>
        <v>99</v>
      </c>
      <c r="CA135" s="71">
        <f t="shared" si="203"/>
        <v>135</v>
      </c>
      <c r="CB135" s="72">
        <f t="shared" si="204"/>
        <v>146</v>
      </c>
      <c r="CC135" s="71">
        <f t="shared" si="205"/>
        <v>181</v>
      </c>
      <c r="CD135" s="72">
        <f t="shared" si="206"/>
        <v>185</v>
      </c>
      <c r="CE135" s="71">
        <f t="shared" si="207"/>
        <v>318</v>
      </c>
      <c r="CF135" s="72">
        <f t="shared" si="208"/>
        <v>361</v>
      </c>
      <c r="CG135" s="71">
        <f t="shared" si="209"/>
        <v>387</v>
      </c>
      <c r="CH135" s="70">
        <f t="shared" si="210"/>
        <v>57</v>
      </c>
      <c r="CI135" s="71">
        <f t="shared" si="211"/>
        <v>61</v>
      </c>
      <c r="CJ135" s="72">
        <f t="shared" si="212"/>
        <v>92</v>
      </c>
      <c r="CK135" s="72">
        <f t="shared" si="213"/>
        <v>98</v>
      </c>
      <c r="CL135" s="72">
        <f t="shared" si="214"/>
        <v>134</v>
      </c>
      <c r="CM135" s="72">
        <f t="shared" si="215"/>
        <v>143</v>
      </c>
      <c r="CN135" s="72">
        <f t="shared" si="216"/>
        <v>171</v>
      </c>
      <c r="CO135" s="72">
        <f t="shared" si="217"/>
        <v>183</v>
      </c>
      <c r="CP135" s="72">
        <f t="shared" si="218"/>
        <v>226</v>
      </c>
      <c r="CQ135" s="72">
        <f t="shared" si="219"/>
        <v>354</v>
      </c>
      <c r="CR135" s="72">
        <f t="shared" si="220"/>
        <v>386</v>
      </c>
      <c r="CS135" s="72">
        <f t="shared" si="221"/>
        <v>399</v>
      </c>
      <c r="CT135" s="23">
        <f t="shared" si="222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167"/>
        <v>drd3_human_3PBL</v>
      </c>
      <c r="B136" s="3" t="s">
        <v>192</v>
      </c>
      <c r="C136" s="3" t="s">
        <v>72</v>
      </c>
      <c r="D136" s="3" t="str">
        <f>IFERROR(MID(VLOOKUP($B136,Seqs!$A:$B,2,0),E136,1),"")</f>
        <v>Y</v>
      </c>
      <c r="E136" s="3">
        <v>32</v>
      </c>
      <c r="F136" s="3" t="str">
        <f>IFERROR(MID(VLOOKUP($B136,Seqs!$A:$B,2,0),G136,1),"")</f>
        <v>E</v>
      </c>
      <c r="G136" s="3">
        <v>57</v>
      </c>
      <c r="H136" s="3" t="str">
        <f>IFERROR(MID(VLOOKUP($B136,Seqs!$A:$B,2,0),I136,1),"")</f>
        <v>R</v>
      </c>
      <c r="I136" s="23">
        <v>58</v>
      </c>
      <c r="J136" s="3" t="str">
        <f>IFERROR(MID(VLOOKUP($B136,Seqs!$A:$B,2,0),K136,1),"")</f>
        <v>Q</v>
      </c>
      <c r="K136" s="23">
        <v>61</v>
      </c>
      <c r="L136" s="3" t="str">
        <f>IFERROR(MID(VLOOKUP($B136,Seqs!$A:$B,2,0),M136,1),"")</f>
        <v>T</v>
      </c>
      <c r="M136" s="3">
        <v>62</v>
      </c>
      <c r="N136" s="3" t="str">
        <f>IFERROR(MID(VLOOKUP($B136,Seqs!$A:$B,2,0),O136,1),"")</f>
        <v>T</v>
      </c>
      <c r="O136" s="3">
        <v>92</v>
      </c>
      <c r="P136" s="3" t="str">
        <f>IFERROR(MID(VLOOKUP($B136,Seqs!$A:$B,2,0),Q136,1),"")</f>
        <v>V</v>
      </c>
      <c r="Q136" s="3">
        <v>95</v>
      </c>
      <c r="R136" s="3" t="str">
        <f>IFERROR(MID(VLOOKUP($B136,Seqs!$A:$B,2,0),S136,1),"")</f>
        <v>F</v>
      </c>
      <c r="S136" s="3">
        <v>98</v>
      </c>
      <c r="T136" s="3" t="str">
        <f>IFERROR(MID(VLOOKUP($B136,Seqs!$A:$B,2,0),U136,1),"")</f>
        <v>S</v>
      </c>
      <c r="U136" s="3">
        <v>99</v>
      </c>
      <c r="V136" s="3" t="str">
        <f>IFERROR(MID(VLOOKUP($B136,Seqs!$A:$B,2,0),W136,1),"")</f>
        <v>M</v>
      </c>
      <c r="W136" s="3">
        <v>134</v>
      </c>
      <c r="X136" s="3" t="str">
        <f>IFERROR(MID(VLOOKUP($B136,Seqs!$A:$B,2,0),Y136,1),"")</f>
        <v>P</v>
      </c>
      <c r="Y136" s="3">
        <v>135</v>
      </c>
      <c r="Z136" s="3" t="str">
        <f>IFERROR(MID(VLOOKUP($B136,Seqs!$A:$B,2,0),AA136,1),"")</f>
        <v>G</v>
      </c>
      <c r="AA136" s="3">
        <v>143</v>
      </c>
      <c r="AB136" s="3" t="str">
        <f>IFERROR(MID(VLOOKUP($B136,Seqs!$A:$B,2,0),AC136,1),"")</f>
        <v>S</v>
      </c>
      <c r="AC136" s="3">
        <v>146</v>
      </c>
      <c r="AD136" s="3" t="str">
        <f>IFERROR(MID(VLOOKUP($B136,Seqs!$A:$B,2,0),AE136,1),"")</f>
        <v>G</v>
      </c>
      <c r="AE136" s="3">
        <v>171</v>
      </c>
      <c r="AF136" s="3" t="str">
        <f>IFERROR(MID(VLOOKUP($B136,Seqs!$A:$B,2,0),AG136,1),"")</f>
        <v>C</v>
      </c>
      <c r="AG136" s="3">
        <v>181</v>
      </c>
      <c r="AH136" s="3" t="str">
        <f>IFERROR(MID(VLOOKUP($B136,Seqs!$A:$B,2,0),AI136,1),"")</f>
        <v>I</v>
      </c>
      <c r="AI136" s="3">
        <v>183</v>
      </c>
      <c r="AJ136" s="3" t="str">
        <f>IFERROR(MID(VLOOKUP($B136,Seqs!$A:$B,2,0),AK136,1),"")</f>
        <v>N</v>
      </c>
      <c r="AK136" s="3">
        <v>185</v>
      </c>
      <c r="AL136" s="3" t="str">
        <f>IFERROR(MID(VLOOKUP($B136,Seqs!$A:$B,2,0),AM136,1),"")</f>
        <v>K</v>
      </c>
      <c r="AM136" s="3">
        <v>216</v>
      </c>
      <c r="AN136" s="3" t="str">
        <f>IFERROR(MID(VLOOKUP($B136,Seqs!$A:$B,2,0),AO136,1),"")</f>
        <v>R</v>
      </c>
      <c r="AO136" s="3">
        <v>323</v>
      </c>
      <c r="AP136" s="3" t="str">
        <f>IFERROR(MID(VLOOKUP($B136,Seqs!$A:$B,2,0),AQ136,1),"")</f>
        <v>H</v>
      </c>
      <c r="AQ136" s="3">
        <v>354</v>
      </c>
      <c r="AR136" s="3" t="str">
        <f>IFERROR(MID(VLOOKUP($B136,Seqs!$A:$B,2,0),AS136,1),"")</f>
        <v>S</v>
      </c>
      <c r="AS136" s="3">
        <v>361</v>
      </c>
      <c r="AT136" s="3" t="str">
        <f>IFERROR(MID(VLOOKUP($B136,Seqs!$A:$B,2,0),AU136,1),"")</f>
        <v>F</v>
      </c>
      <c r="AU136" s="3">
        <v>386</v>
      </c>
      <c r="AV136" s="3" t="str">
        <f>IFERROR(MID(VLOOKUP($B136,Seqs!$A:$B,2,0),AW136,1),"")</f>
        <v>N</v>
      </c>
      <c r="AW136" s="3">
        <v>387</v>
      </c>
      <c r="AX136" s="3" t="str">
        <f>IFERROR(MID(VLOOKUP($B136,Seqs!$A:$B,2,0),AY136,1),"")</f>
        <v>S</v>
      </c>
      <c r="AY136" s="3">
        <v>399</v>
      </c>
      <c r="AZ136" s="77" t="str">
        <f>VLOOKUP(B136,Classification!A:D,2,0)</f>
        <v>A</v>
      </c>
      <c r="BA136" s="94" t="str">
        <f>VLOOKUP(B136,Classification!A:D,4,0)</f>
        <v>Dopamine</v>
      </c>
      <c r="BB136" s="27" t="b">
        <f t="shared" si="168"/>
        <v>1</v>
      </c>
      <c r="BC136" s="23">
        <f t="shared" si="197"/>
        <v>242</v>
      </c>
      <c r="BD136" s="2" t="s">
        <v>1383</v>
      </c>
      <c r="BE136" s="3" t="s">
        <v>1381</v>
      </c>
      <c r="BF136" s="119">
        <v>2.89</v>
      </c>
      <c r="BG136" s="49" t="s">
        <v>1384</v>
      </c>
      <c r="BH136" s="49" t="s">
        <v>1384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198"/>
        <v>32</v>
      </c>
      <c r="BW136" s="71">
        <f t="shared" si="199"/>
        <v>58</v>
      </c>
      <c r="BX136" s="72">
        <f t="shared" si="200"/>
        <v>62</v>
      </c>
      <c r="BY136" s="71">
        <f t="shared" si="201"/>
        <v>95</v>
      </c>
      <c r="BZ136" s="72">
        <f t="shared" si="202"/>
        <v>99</v>
      </c>
      <c r="CA136" s="71">
        <f t="shared" si="203"/>
        <v>135</v>
      </c>
      <c r="CB136" s="72">
        <f t="shared" si="204"/>
        <v>146</v>
      </c>
      <c r="CC136" s="71">
        <f t="shared" si="205"/>
        <v>181</v>
      </c>
      <c r="CD136" s="72">
        <f t="shared" si="206"/>
        <v>185</v>
      </c>
      <c r="CE136" s="71">
        <f t="shared" si="207"/>
        <v>323</v>
      </c>
      <c r="CF136" s="72">
        <f t="shared" si="208"/>
        <v>361</v>
      </c>
      <c r="CG136" s="71">
        <f t="shared" si="209"/>
        <v>387</v>
      </c>
      <c r="CH136" s="70">
        <f t="shared" si="210"/>
        <v>57</v>
      </c>
      <c r="CI136" s="71">
        <f t="shared" si="211"/>
        <v>61</v>
      </c>
      <c r="CJ136" s="72">
        <f t="shared" si="212"/>
        <v>92</v>
      </c>
      <c r="CK136" s="72">
        <f t="shared" si="213"/>
        <v>98</v>
      </c>
      <c r="CL136" s="72">
        <f t="shared" si="214"/>
        <v>134</v>
      </c>
      <c r="CM136" s="72">
        <f t="shared" si="215"/>
        <v>143</v>
      </c>
      <c r="CN136" s="72">
        <f t="shared" si="216"/>
        <v>171</v>
      </c>
      <c r="CO136" s="72">
        <f t="shared" si="217"/>
        <v>183</v>
      </c>
      <c r="CP136" s="72">
        <f t="shared" si="218"/>
        <v>216</v>
      </c>
      <c r="CQ136" s="72">
        <f t="shared" si="219"/>
        <v>354</v>
      </c>
      <c r="CR136" s="72">
        <f t="shared" si="220"/>
        <v>386</v>
      </c>
      <c r="CS136" s="72">
        <f t="shared" si="221"/>
        <v>399</v>
      </c>
      <c r="CT136" s="23">
        <f t="shared" si="222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>CONCATENATE(B137,"_",C137)</f>
        <v>drd4_human__wt</v>
      </c>
      <c r="B137" s="3" t="s">
        <v>193</v>
      </c>
      <c r="C137" s="3" t="s">
        <v>100</v>
      </c>
      <c r="D137" s="3" t="str">
        <f>IFERROR(MID(VLOOKUP($B137,Seqs!$A:$B,2,0),E137,1),"")</f>
        <v>A</v>
      </c>
      <c r="E137" s="3">
        <v>31</v>
      </c>
      <c r="F137" s="3" t="str">
        <f>IFERROR(MID(VLOOKUP($B137,Seqs!$A:$B,2,0),G137,1),"")</f>
        <v>E</v>
      </c>
      <c r="G137" s="3">
        <v>62</v>
      </c>
      <c r="H137" s="3" t="str">
        <f>IFERROR(MID(VLOOKUP($B137,Seqs!$A:$B,2,0),I137,1),"")</f>
        <v>R</v>
      </c>
      <c r="I137" s="23">
        <v>63</v>
      </c>
      <c r="J137" s="3" t="str">
        <f>IFERROR(MID(VLOOKUP($B137,Seqs!$A:$B,2,0),K137,1),"")</f>
        <v>Q</v>
      </c>
      <c r="K137" s="23">
        <v>66</v>
      </c>
      <c r="L137" s="3" t="str">
        <f>IFERROR(MID(VLOOKUP($B137,Seqs!$A:$B,2,0),M137,1),"")</f>
        <v>T</v>
      </c>
      <c r="M137" s="3">
        <v>67</v>
      </c>
      <c r="N137" s="3" t="str">
        <f>IFERROR(MID(VLOOKUP($B137,Seqs!$A:$B,2,0),O137,1),"")</f>
        <v>Q</v>
      </c>
      <c r="O137" s="3">
        <v>97</v>
      </c>
      <c r="P137" s="3" t="str">
        <f>IFERROR(MID(VLOOKUP($B137,Seqs!$A:$B,2,0),Q137,1),"")</f>
        <v>A</v>
      </c>
      <c r="Q137" s="3">
        <v>100</v>
      </c>
      <c r="R137" s="3" t="str">
        <f>IFERROR(MID(VLOOKUP($B137,Seqs!$A:$B,2,0),S137,1),"")</f>
        <v>L</v>
      </c>
      <c r="S137" s="3">
        <v>103</v>
      </c>
      <c r="T137" s="3" t="str">
        <f>IFERROR(MID(VLOOKUP($B137,Seqs!$A:$B,2,0),U137,1),"")</f>
        <v>S</v>
      </c>
      <c r="U137" s="3">
        <v>104</v>
      </c>
      <c r="V137" s="3" t="str">
        <f>IFERROR(MID(VLOOKUP($B137,Seqs!$A:$B,2,0),W137,1),"")</f>
        <v>V</v>
      </c>
      <c r="W137" s="3">
        <v>139</v>
      </c>
      <c r="X137" s="3" t="str">
        <f>IFERROR(MID(VLOOKUP($B137,Seqs!$A:$B,2,0),Y137,1),"")</f>
        <v>P</v>
      </c>
      <c r="Y137" s="3">
        <v>140</v>
      </c>
      <c r="Z137" s="3" t="str">
        <f>IFERROR(MID(VLOOKUP($B137,Seqs!$A:$B,2,0),AA137,1),"")</f>
        <v>G</v>
      </c>
      <c r="AA137" s="3">
        <v>147</v>
      </c>
      <c r="AB137" s="3" t="str">
        <f>IFERROR(MID(VLOOKUP($B137,Seqs!$A:$B,2,0),AC137,1),"")</f>
        <v>G</v>
      </c>
      <c r="AC137" s="3">
        <v>148</v>
      </c>
      <c r="AD137" s="3" t="str">
        <f>IFERROR(MID(VLOOKUP($B137,Seqs!$A:$B,2,0),AE137,1),"")</f>
        <v>G</v>
      </c>
      <c r="AE137" s="3">
        <v>173</v>
      </c>
      <c r="AF137" s="3" t="str">
        <f>IFERROR(MID(VLOOKUP($B137,Seqs!$A:$B,2,0),AG137,1),"")</f>
        <v>C</v>
      </c>
      <c r="AG137" s="3">
        <v>185</v>
      </c>
      <c r="AH137" s="3" t="str">
        <f>IFERROR(MID(VLOOKUP($B137,Seqs!$A:$B,2,0),AI137,1),"")</f>
        <v>L</v>
      </c>
      <c r="AI137" s="3">
        <v>187</v>
      </c>
      <c r="AJ137" s="3" t="str">
        <f>IFERROR(MID(VLOOKUP($B137,Seqs!$A:$B,2,0),AK137,1),"")</f>
        <v>D</v>
      </c>
      <c r="AK137" s="3">
        <v>189</v>
      </c>
      <c r="AL137" s="3" t="str">
        <f>IFERROR(MID(VLOOKUP($B137,Seqs!$A:$B,2,0),AM137,1),"")</f>
        <v>K</v>
      </c>
      <c r="AM137" s="3">
        <v>229</v>
      </c>
      <c r="AN137" s="3" t="str">
        <f>IFERROR(MID(VLOOKUP($B137,Seqs!$A:$B,2,0),AO137,1),"")</f>
        <v>A</v>
      </c>
      <c r="AO137" s="3">
        <v>383</v>
      </c>
      <c r="AP137" s="3" t="str">
        <f>IFERROR(MID(VLOOKUP($B137,Seqs!$A:$B,2,0),AQ137,1),"")</f>
        <v>C</v>
      </c>
      <c r="AQ137" s="3">
        <v>420</v>
      </c>
      <c r="AR137" s="3" t="str">
        <f>IFERROR(MID(VLOOKUP($B137,Seqs!$A:$B,2,0),AS137,1),"")</f>
        <v>P</v>
      </c>
      <c r="AS137" s="3">
        <v>426</v>
      </c>
      <c r="AT137" s="3" t="str">
        <f>IFERROR(MID(VLOOKUP($B137,Seqs!$A:$B,2,0),AU137,1),"")</f>
        <v>F</v>
      </c>
      <c r="AU137" s="3">
        <v>451</v>
      </c>
      <c r="AV137" s="3" t="str">
        <f>IFERROR(MID(VLOOKUP($B137,Seqs!$A:$B,2,0),AW137,1),"")</f>
        <v>N</v>
      </c>
      <c r="AW137" s="3">
        <v>452</v>
      </c>
      <c r="AX137" s="3" t="str">
        <f>IFERROR(MID(VLOOKUP($B137,Seqs!$A:$B,2,0),AY137,1),"")</f>
        <v>R</v>
      </c>
      <c r="AY137" s="3">
        <v>464</v>
      </c>
      <c r="AZ137" s="77" t="str">
        <f>VLOOKUP(B137,Classification!A:D,2,0)</f>
        <v>A</v>
      </c>
      <c r="BA137" s="94" t="str">
        <f>VLOOKUP(B137,Classification!A:D,4,0)</f>
        <v>Dopamine</v>
      </c>
      <c r="BB137" s="27" t="b">
        <f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23">
        <f>_xlfn.AGGREGATE(9,6,CH137:CS137)-_xlfn.AGGREGATE(9,6,BV137:CG137)+12</f>
        <v>262</v>
      </c>
      <c r="BD137" s="2" t="s">
        <v>23</v>
      </c>
      <c r="BE137" s="3" t="s">
        <v>1381</v>
      </c>
      <c r="BF137" s="119" t="s">
        <v>23</v>
      </c>
      <c r="BG137" s="49" t="s">
        <v>1384</v>
      </c>
      <c r="BH137" s="49" t="s">
        <v>1384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>E137</f>
        <v>31</v>
      </c>
      <c r="BW137" s="71">
        <f>I137</f>
        <v>63</v>
      </c>
      <c r="BX137" s="72">
        <f>M137</f>
        <v>67</v>
      </c>
      <c r="BY137" s="71">
        <f>Q137</f>
        <v>100</v>
      </c>
      <c r="BZ137" s="72">
        <f>U137</f>
        <v>104</v>
      </c>
      <c r="CA137" s="71">
        <f>Y137</f>
        <v>140</v>
      </c>
      <c r="CB137" s="72">
        <f>AC137</f>
        <v>148</v>
      </c>
      <c r="CC137" s="71">
        <f>AG137</f>
        <v>185</v>
      </c>
      <c r="CD137" s="72">
        <f>AK137</f>
        <v>189</v>
      </c>
      <c r="CE137" s="71">
        <f>AO137</f>
        <v>383</v>
      </c>
      <c r="CF137" s="72">
        <f>AS137</f>
        <v>426</v>
      </c>
      <c r="CG137" s="71">
        <f>AW137</f>
        <v>452</v>
      </c>
      <c r="CH137" s="70">
        <f>G137</f>
        <v>62</v>
      </c>
      <c r="CI137" s="71">
        <f>K137</f>
        <v>66</v>
      </c>
      <c r="CJ137" s="72">
        <f>O137</f>
        <v>97</v>
      </c>
      <c r="CK137" s="72">
        <f>S137</f>
        <v>103</v>
      </c>
      <c r="CL137" s="72">
        <f>W137</f>
        <v>139</v>
      </c>
      <c r="CM137" s="72">
        <f>AA137</f>
        <v>147</v>
      </c>
      <c r="CN137" s="72">
        <f>AE137</f>
        <v>173</v>
      </c>
      <c r="CO137" s="72">
        <f>AI137</f>
        <v>187</v>
      </c>
      <c r="CP137" s="72">
        <f>AM137</f>
        <v>229</v>
      </c>
      <c r="CQ137" s="72">
        <f>AQ137</f>
        <v>420</v>
      </c>
      <c r="CR137" s="72">
        <f>AU137</f>
        <v>451</v>
      </c>
      <c r="CS137" s="72">
        <f>AY137</f>
        <v>464</v>
      </c>
      <c r="CT137" s="23">
        <f>M137-K137</f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x14ac:dyDescent="0.2">
      <c r="A138" s="3" t="str">
        <f>CONCATENATE(B138,"_",C138)</f>
        <v>drd4_human_5WIU</v>
      </c>
      <c r="B138" s="3" t="s">
        <v>193</v>
      </c>
      <c r="C138" s="3" t="s">
        <v>1456</v>
      </c>
      <c r="D138" s="3" t="str">
        <f>IFERROR(MID(VLOOKUP($B138,Seqs!$A:$B,2,0),E138,1),"")</f>
        <v>G</v>
      </c>
      <c r="E138" s="3">
        <v>34</v>
      </c>
      <c r="F138" s="3" t="str">
        <f>IFERROR(MID(VLOOKUP($B138,Seqs!$A:$B,2,0),G138,1),"")</f>
        <v>E</v>
      </c>
      <c r="G138" s="3">
        <v>62</v>
      </c>
      <c r="H138" s="3" t="str">
        <f>IFERROR(MID(VLOOKUP($B138,Seqs!$A:$B,2,0),I138,1),"")</f>
        <v>R</v>
      </c>
      <c r="I138" s="23">
        <v>63</v>
      </c>
      <c r="J138" s="3" t="str">
        <f>IFERROR(MID(VLOOKUP($B138,Seqs!$A:$B,2,0),K138,1),"")</f>
        <v>Q</v>
      </c>
      <c r="K138" s="23">
        <v>66</v>
      </c>
      <c r="L138" s="3" t="str">
        <f>IFERROR(MID(VLOOKUP($B138,Seqs!$A:$B,2,0),M138,1),"")</f>
        <v>T</v>
      </c>
      <c r="M138" s="3">
        <v>67</v>
      </c>
      <c r="N138" s="3" t="str">
        <f>IFERROR(MID(VLOOKUP($B138,Seqs!$A:$B,2,0),O138,1),"")</f>
        <v>Q</v>
      </c>
      <c r="O138" s="3">
        <v>97</v>
      </c>
      <c r="P138" s="3" t="str">
        <f>IFERROR(MID(VLOOKUP($B138,Seqs!$A:$B,2,0),Q138,1),"")</f>
        <v>A</v>
      </c>
      <c r="Q138" s="3">
        <v>100</v>
      </c>
      <c r="R138" s="3" t="str">
        <f>IFERROR(MID(VLOOKUP($B138,Seqs!$A:$B,2,0),S138,1),"")</f>
        <v>L</v>
      </c>
      <c r="S138" s="3">
        <v>103</v>
      </c>
      <c r="T138" s="3" t="str">
        <f>IFERROR(MID(VLOOKUP($B138,Seqs!$A:$B,2,0),U138,1),"")</f>
        <v>S</v>
      </c>
      <c r="U138" s="3">
        <v>104</v>
      </c>
      <c r="V138" s="3" t="str">
        <f>IFERROR(MID(VLOOKUP($B138,Seqs!$A:$B,2,0),W138,1),"")</f>
        <v>V</v>
      </c>
      <c r="W138" s="3">
        <v>139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R</v>
      </c>
      <c r="AC138" s="3">
        <v>150</v>
      </c>
      <c r="AD138" s="3" t="str">
        <f>IFERROR(MID(VLOOKUP($B138,Seqs!$A:$B,2,0),AE138,1),"")</f>
        <v>G</v>
      </c>
      <c r="AE138" s="3">
        <v>173</v>
      </c>
      <c r="AF138" s="3" t="str">
        <f>IFERROR(MID(VLOOKUP($B138,Seqs!$A:$B,2,0),AG138,1),"")</f>
        <v>C</v>
      </c>
      <c r="AG138" s="3">
        <v>185</v>
      </c>
      <c r="AH138" s="3" t="str">
        <f>IFERROR(MID(VLOOKUP($B138,Seqs!$A:$B,2,0),AI138,1),"")</f>
        <v>L</v>
      </c>
      <c r="AI138" s="3">
        <v>187</v>
      </c>
      <c r="AJ138" s="3" t="str">
        <f>IFERROR(MID(VLOOKUP($B138,Seqs!$A:$B,2,0),AK138,1),"")</f>
        <v>D</v>
      </c>
      <c r="AK138" s="3">
        <v>189</v>
      </c>
      <c r="AL138" s="3" t="str">
        <f>IFERROR(MID(VLOOKUP($B138,Seqs!$A:$B,2,0),AM138,1),"")</f>
        <v>W</v>
      </c>
      <c r="AM138" s="3">
        <v>222</v>
      </c>
      <c r="AN138" s="3" t="str">
        <f>IFERROR(MID(VLOOKUP($B138,Seqs!$A:$B,2,0),AO138,1),"")</f>
        <v>V</v>
      </c>
      <c r="AO138" s="3">
        <v>395</v>
      </c>
      <c r="AP138" s="3" t="str">
        <f>IFERROR(MID(VLOOKUP($B138,Seqs!$A:$B,2,0),AQ138,1),"")</f>
        <v>C</v>
      </c>
      <c r="AQ138" s="3">
        <v>420</v>
      </c>
      <c r="AR138" s="3" t="str">
        <f>IFERROR(MID(VLOOKUP($B138,Seqs!$A:$B,2,0),AS138,1),"")</f>
        <v>P</v>
      </c>
      <c r="AS138" s="3">
        <v>426</v>
      </c>
      <c r="AT138" s="3" t="str">
        <f>IFERROR(MID(VLOOKUP($B138,Seqs!$A:$B,2,0),AU138,1),"")</f>
        <v>F</v>
      </c>
      <c r="AU138" s="3">
        <v>451</v>
      </c>
      <c r="AV138" s="3" t="str">
        <f>IFERROR(MID(VLOOKUP($B138,Seqs!$A:$B,2,0),AW138,1),"")</f>
        <v>N</v>
      </c>
      <c r="AW138" s="3">
        <v>452</v>
      </c>
      <c r="AX138" s="3" t="str">
        <f>IFERROR(MID(VLOOKUP($B138,Seqs!$A:$B,2,0),AY138,1),"")</f>
        <v>R</v>
      </c>
      <c r="AY138" s="3">
        <v>460</v>
      </c>
      <c r="AZ138" s="77" t="str">
        <f>VLOOKUP(B138,Classification!A:D,2,0)</f>
        <v>A</v>
      </c>
      <c r="BA138" s="94" t="str">
        <f>VLOOKUP(B138,Classification!A:D,4,0)</f>
        <v>Dopamine</v>
      </c>
      <c r="BB138" s="27" t="b">
        <f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C138" s="23">
        <f>_xlfn.AGGREGATE(9,6,CH138:CS138)-_xlfn.AGGREGATE(9,6,BV138:CG138)+12</f>
        <v>227</v>
      </c>
      <c r="BD138" s="2" t="s">
        <v>23</v>
      </c>
      <c r="BE138" s="3" t="s">
        <v>1381</v>
      </c>
      <c r="BF138" s="119">
        <v>1.96</v>
      </c>
      <c r="BG138" s="49" t="s">
        <v>1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>E138</f>
        <v>34</v>
      </c>
      <c r="BW138" s="71">
        <f>I138</f>
        <v>63</v>
      </c>
      <c r="BX138" s="72">
        <f>M138</f>
        <v>67</v>
      </c>
      <c r="BY138" s="71">
        <f>Q138</f>
        <v>100</v>
      </c>
      <c r="BZ138" s="72">
        <f>U138</f>
        <v>104</v>
      </c>
      <c r="CA138" s="71" t="str">
        <f>Y138</f>
        <v>-</v>
      </c>
      <c r="CB138" s="72">
        <f>AC138</f>
        <v>150</v>
      </c>
      <c r="CC138" s="71">
        <f>AG138</f>
        <v>185</v>
      </c>
      <c r="CD138" s="72">
        <f>AK138</f>
        <v>189</v>
      </c>
      <c r="CE138" s="71">
        <f>AO138</f>
        <v>395</v>
      </c>
      <c r="CF138" s="72">
        <f>AS138</f>
        <v>426</v>
      </c>
      <c r="CG138" s="71">
        <f>AW138</f>
        <v>452</v>
      </c>
      <c r="CH138" s="70">
        <f>G138</f>
        <v>62</v>
      </c>
      <c r="CI138" s="71">
        <f>K138</f>
        <v>66</v>
      </c>
      <c r="CJ138" s="72">
        <f>O138</f>
        <v>97</v>
      </c>
      <c r="CK138" s="72">
        <f>S138</f>
        <v>103</v>
      </c>
      <c r="CL138" s="72">
        <f>W138</f>
        <v>139</v>
      </c>
      <c r="CM138" s="72" t="str">
        <f>AA138</f>
        <v>-</v>
      </c>
      <c r="CN138" s="72">
        <f>AE138</f>
        <v>173</v>
      </c>
      <c r="CO138" s="72">
        <f>AI138</f>
        <v>187</v>
      </c>
      <c r="CP138" s="72">
        <f>AM138</f>
        <v>222</v>
      </c>
      <c r="CQ138" s="72">
        <f>AQ138</f>
        <v>420</v>
      </c>
      <c r="CR138" s="72">
        <f>AU138</f>
        <v>451</v>
      </c>
      <c r="CS138" s="72">
        <f>AY138</f>
        <v>460</v>
      </c>
      <c r="CT138" s="23">
        <f>M138-K138</f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x14ac:dyDescent="0.2">
      <c r="A139" s="3" t="str">
        <f>CONCATENATE(B139,"_",C139)</f>
        <v>drd4_human_5WIV</v>
      </c>
      <c r="B139" s="3" t="s">
        <v>193</v>
      </c>
      <c r="C139" s="3" t="s">
        <v>1458</v>
      </c>
      <c r="D139" s="3" t="str">
        <f>IFERROR(MID(VLOOKUP($B139,Seqs!$A:$B,2,0),E139,1),"")</f>
        <v>G</v>
      </c>
      <c r="E139" s="3">
        <v>32</v>
      </c>
      <c r="F139" s="3" t="str">
        <f>IFERROR(MID(VLOOKUP($B139,Seqs!$A:$B,2,0),G139,1),"")</f>
        <v>E</v>
      </c>
      <c r="G139" s="3">
        <v>62</v>
      </c>
      <c r="H139" s="3" t="str">
        <f>IFERROR(MID(VLOOKUP($B139,Seqs!$A:$B,2,0),I139,1),"")</f>
        <v>R</v>
      </c>
      <c r="I139" s="23">
        <v>63</v>
      </c>
      <c r="J139" s="3" t="str">
        <f>IFERROR(MID(VLOOKUP($B139,Seqs!$A:$B,2,0),K139,1),"")</f>
        <v>Q</v>
      </c>
      <c r="K139" s="23">
        <v>66</v>
      </c>
      <c r="L139" s="3" t="str">
        <f>IFERROR(MID(VLOOKUP($B139,Seqs!$A:$B,2,0),M139,1),"")</f>
        <v>T</v>
      </c>
      <c r="M139" s="3">
        <v>67</v>
      </c>
      <c r="N139" s="3" t="str">
        <f>IFERROR(MID(VLOOKUP($B139,Seqs!$A:$B,2,0),O139,1),"")</f>
        <v>Q</v>
      </c>
      <c r="O139" s="3">
        <v>97</v>
      </c>
      <c r="P139" s="3" t="str">
        <f>IFERROR(MID(VLOOKUP($B139,Seqs!$A:$B,2,0),Q139,1),"")</f>
        <v>A</v>
      </c>
      <c r="Q139" s="3">
        <v>100</v>
      </c>
      <c r="R139" s="3" t="str">
        <f>IFERROR(MID(VLOOKUP($B139,Seqs!$A:$B,2,0),S139,1),"")</f>
        <v>L</v>
      </c>
      <c r="S139" s="3">
        <v>103</v>
      </c>
      <c r="T139" s="3" t="str">
        <f>IFERROR(MID(VLOOKUP($B139,Seqs!$A:$B,2,0),U139,1),"")</f>
        <v>S</v>
      </c>
      <c r="U139" s="3">
        <v>104</v>
      </c>
      <c r="V139" s="3" t="str">
        <f>IFERROR(MID(VLOOKUP($B139,Seqs!$A:$B,2,0),W139,1),"")</f>
        <v>V</v>
      </c>
      <c r="W139" s="3">
        <v>139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R</v>
      </c>
      <c r="AC139" s="3">
        <v>150</v>
      </c>
      <c r="AD139" s="3" t="str">
        <f>IFERROR(MID(VLOOKUP($B139,Seqs!$A:$B,2,0),AE139,1),"")</f>
        <v>G</v>
      </c>
      <c r="AE139" s="3">
        <v>173</v>
      </c>
      <c r="AF139" s="3" t="str">
        <f>IFERROR(MID(VLOOKUP($B139,Seqs!$A:$B,2,0),AG139,1),"")</f>
        <v>C</v>
      </c>
      <c r="AG139" s="3">
        <v>185</v>
      </c>
      <c r="AH139" s="3" t="str">
        <f>IFERROR(MID(VLOOKUP($B139,Seqs!$A:$B,2,0),AI139,1),"")</f>
        <v>L</v>
      </c>
      <c r="AI139" s="3">
        <v>187</v>
      </c>
      <c r="AJ139" s="3" t="str">
        <f>IFERROR(MID(VLOOKUP($B139,Seqs!$A:$B,2,0),AK139,1),"")</f>
        <v>D</v>
      </c>
      <c r="AK139" s="3">
        <v>189</v>
      </c>
      <c r="AL139" s="3" t="str">
        <f>IFERROR(MID(VLOOKUP($B139,Seqs!$A:$B,2,0),AM139,1),"")</f>
        <v>W</v>
      </c>
      <c r="AM139" s="3">
        <v>222</v>
      </c>
      <c r="AN139" s="3" t="str">
        <f>IFERROR(MID(VLOOKUP($B139,Seqs!$A:$B,2,0),AO139,1),"")</f>
        <v>V</v>
      </c>
      <c r="AO139" s="3">
        <v>395</v>
      </c>
      <c r="AP139" s="3" t="str">
        <f>IFERROR(MID(VLOOKUP($B139,Seqs!$A:$B,2,0),AQ139,1),"")</f>
        <v>C</v>
      </c>
      <c r="AQ139" s="3">
        <v>420</v>
      </c>
      <c r="AR139" s="3" t="str">
        <f>IFERROR(MID(VLOOKUP($B139,Seqs!$A:$B,2,0),AS139,1),"")</f>
        <v>P</v>
      </c>
      <c r="AS139" s="3">
        <v>426</v>
      </c>
      <c r="AT139" s="3" t="str">
        <f>IFERROR(MID(VLOOKUP($B139,Seqs!$A:$B,2,0),AU139,1),"")</f>
        <v>F</v>
      </c>
      <c r="AU139" s="3">
        <v>451</v>
      </c>
      <c r="AV139" s="3" t="str">
        <f>IFERROR(MID(VLOOKUP($B139,Seqs!$A:$B,2,0),AW139,1),"")</f>
        <v>N</v>
      </c>
      <c r="AW139" s="3">
        <v>452</v>
      </c>
      <c r="AX139" s="3" t="str">
        <f>IFERROR(MID(VLOOKUP($B139,Seqs!$A:$B,2,0),AY139,1),"")</f>
        <v>A</v>
      </c>
      <c r="AY139" s="3">
        <v>462</v>
      </c>
      <c r="AZ139" s="77" t="str">
        <f>VLOOKUP(B139,Classification!A:D,2,0)</f>
        <v>A</v>
      </c>
      <c r="BA139" s="94" t="str">
        <f>VLOOKUP(B139,Classification!A:D,4,0)</f>
        <v>Dopamine</v>
      </c>
      <c r="BB139" s="27" t="b">
        <f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>_xlfn.AGGREGATE(9,6,CH139:CS139)-_xlfn.AGGREGATE(9,6,BV139:CG139)+12</f>
        <v>231</v>
      </c>
      <c r="BD139" s="2" t="s">
        <v>1383</v>
      </c>
      <c r="BE139" s="3" t="s">
        <v>1381</v>
      </c>
      <c r="BF139" s="119">
        <v>2.14</v>
      </c>
      <c r="BG139" s="49" t="s">
        <v>1</v>
      </c>
      <c r="BH139" s="49" t="s">
        <v>1384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>E139</f>
        <v>32</v>
      </c>
      <c r="BW139" s="71">
        <f>I139</f>
        <v>63</v>
      </c>
      <c r="BX139" s="72">
        <f>M139</f>
        <v>67</v>
      </c>
      <c r="BY139" s="71">
        <f>Q139</f>
        <v>100</v>
      </c>
      <c r="BZ139" s="72">
        <f>U139</f>
        <v>104</v>
      </c>
      <c r="CA139" s="71" t="str">
        <f>Y139</f>
        <v>-</v>
      </c>
      <c r="CB139" s="72">
        <f>AC139</f>
        <v>150</v>
      </c>
      <c r="CC139" s="71">
        <f>AG139</f>
        <v>185</v>
      </c>
      <c r="CD139" s="72">
        <f>AK139</f>
        <v>189</v>
      </c>
      <c r="CE139" s="71">
        <f>AO139</f>
        <v>395</v>
      </c>
      <c r="CF139" s="72">
        <f>AS139</f>
        <v>426</v>
      </c>
      <c r="CG139" s="71">
        <f>AW139</f>
        <v>452</v>
      </c>
      <c r="CH139" s="70">
        <f>G139</f>
        <v>62</v>
      </c>
      <c r="CI139" s="71">
        <f>K139</f>
        <v>66</v>
      </c>
      <c r="CJ139" s="72">
        <f>O139</f>
        <v>97</v>
      </c>
      <c r="CK139" s="72">
        <f>S139</f>
        <v>103</v>
      </c>
      <c r="CL139" s="72">
        <f>W139</f>
        <v>139</v>
      </c>
      <c r="CM139" s="72" t="str">
        <f>AA139</f>
        <v>-</v>
      </c>
      <c r="CN139" s="72">
        <f>AE139</f>
        <v>173</v>
      </c>
      <c r="CO139" s="72">
        <f>AI139</f>
        <v>187</v>
      </c>
      <c r="CP139" s="72">
        <f>AM139</f>
        <v>222</v>
      </c>
      <c r="CQ139" s="72">
        <f>AQ139</f>
        <v>420</v>
      </c>
      <c r="CR139" s="72">
        <f>AU139</f>
        <v>451</v>
      </c>
      <c r="CS139" s="72">
        <f>AY139</f>
        <v>462</v>
      </c>
      <c r="CT139" s="23">
        <f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si="167"/>
        <v>ednrb_human__wt</v>
      </c>
      <c r="B140" s="2" t="s">
        <v>196</v>
      </c>
      <c r="C140" s="2" t="s">
        <v>100</v>
      </c>
      <c r="D140" s="3" t="str">
        <f>IFERROR(MID(VLOOKUP($B140,Seqs!$A:$B,2,0),E140,1),"")</f>
        <v>Q</v>
      </c>
      <c r="E140" s="2">
        <v>91</v>
      </c>
      <c r="F140" s="3" t="str">
        <f>IFERROR(MID(VLOOKUP($B140,Seqs!$A:$B,2,0),G140,1),"")</f>
        <v>N</v>
      </c>
      <c r="G140" s="2">
        <v>129</v>
      </c>
      <c r="H140" s="3" t="str">
        <f>IFERROR(MID(VLOOKUP($B140,Seqs!$A:$B,2,0),I140,1),"")</f>
        <v>K</v>
      </c>
      <c r="I140" s="56">
        <v>130</v>
      </c>
      <c r="J140" s="3" t="str">
        <f>IFERROR(MID(VLOOKUP($B140,Seqs!$A:$B,2,0),K140,1),"")</f>
        <v>N</v>
      </c>
      <c r="K140" s="56">
        <v>134</v>
      </c>
      <c r="L140" s="3" t="str">
        <f>IFERROR(MID(VLOOKUP($B140,Seqs!$A:$B,2,0),M140,1),"")</f>
        <v>G</v>
      </c>
      <c r="M140" s="2">
        <v>135</v>
      </c>
      <c r="N140" s="3" t="str">
        <f>IFERROR(MID(VLOOKUP($B140,Seqs!$A:$B,2,0),O140,1),"")</f>
        <v>A</v>
      </c>
      <c r="O140" s="2">
        <v>164</v>
      </c>
      <c r="P140" s="3" t="str">
        <f>IFERROR(MID(VLOOKUP($B140,Seqs!$A:$B,2,0),Q140,1),"")</f>
        <v>D</v>
      </c>
      <c r="Q140" s="2">
        <v>166</v>
      </c>
      <c r="R140" s="3" t="str">
        <f>IFERROR(MID(VLOOKUP($B140,Seqs!$A:$B,2,0),S140,1),"")</f>
        <v>F</v>
      </c>
      <c r="S140" s="2">
        <v>169</v>
      </c>
      <c r="T140" s="3" t="str">
        <f>IFERROR(MID(VLOOKUP($B140,Seqs!$A:$B,2,0),U140,1),"")</f>
        <v>G</v>
      </c>
      <c r="U140" s="4">
        <v>170</v>
      </c>
      <c r="V140" s="3" t="str">
        <f>IFERROR(MID(VLOOKUP($B140,Seqs!$A:$B,2,0),W140,1),"")</f>
        <v>S</v>
      </c>
      <c r="W140" s="2">
        <v>205</v>
      </c>
      <c r="X140" s="3" t="str">
        <f>IFERROR(MID(VLOOKUP($B140,Seqs!$A:$B,2,0),Y140,1),"")</f>
        <v>W</v>
      </c>
      <c r="Y140" s="2">
        <v>206</v>
      </c>
      <c r="Z140" s="3" t="str">
        <f>IFERROR(MID(VLOOKUP($B140,Seqs!$A:$B,2,0),AA140,1),"")</f>
        <v>G</v>
      </c>
      <c r="AA140" s="2">
        <v>213</v>
      </c>
      <c r="AB140" s="3" t="str">
        <f>IFERROR(MID(VLOOKUP($B140,Seqs!$A:$B,2,0),AC140,1),"")</f>
        <v>V</v>
      </c>
      <c r="AC140" s="40">
        <v>214</v>
      </c>
      <c r="AD140" s="3" t="str">
        <f>IFERROR(MID(VLOOKUP($B140,Seqs!$A:$B,2,0),AE140,1),"")</f>
        <v>F</v>
      </c>
      <c r="AE140" s="2">
        <v>240</v>
      </c>
      <c r="AF140" s="3" t="str">
        <f>IFERROR(MID(VLOOKUP($B140,Seqs!$A:$B,2,0),AG140,1),"")</f>
        <v>C</v>
      </c>
      <c r="AG140" s="2">
        <v>255</v>
      </c>
      <c r="AH140" s="3" t="str">
        <f>IFERROR(MID(VLOOKUP($B140,Seqs!$A:$B,2,0),AI140,1),"")</f>
        <v>L</v>
      </c>
      <c r="AI140" s="2">
        <v>257</v>
      </c>
      <c r="AJ140" s="3" t="str">
        <f>IFERROR(MID(VLOOKUP($B140,Seqs!$A:$B,2,0),AK140,1),"")</f>
        <v>T</v>
      </c>
      <c r="AK140" s="2">
        <v>263</v>
      </c>
      <c r="AL140" s="3" t="str">
        <f>IFERROR(MID(VLOOKUP($B140,Seqs!$A:$B,2,0),AM140,1),"")</f>
        <v>M</v>
      </c>
      <c r="AM140" s="2">
        <v>307</v>
      </c>
      <c r="AN140" s="3" t="str">
        <f>IFERROR(MID(VLOOKUP($B140,Seqs!$A:$B,2,0),AO140,1),"")</f>
        <v>N</v>
      </c>
      <c r="AO140" s="2">
        <v>312</v>
      </c>
      <c r="AP140" s="3" t="str">
        <f>IFERROR(MID(VLOOKUP($B140,Seqs!$A:$B,2,0),AQ140,1),"")</f>
        <v>Y</v>
      </c>
      <c r="AQ140" s="2">
        <v>350</v>
      </c>
      <c r="AR140" s="3" t="str">
        <f>IFERROR(MID(VLOOKUP($B140,Seqs!$A:$B,2,0),AS140,1),"")</f>
        <v>R</v>
      </c>
      <c r="AS140" s="2">
        <v>357</v>
      </c>
      <c r="AT140" s="3" t="str">
        <f>IFERROR(MID(VLOOKUP($B140,Seqs!$A:$B,2,0),AU140,1),"")</f>
        <v>V</v>
      </c>
      <c r="AU140" s="2">
        <v>389</v>
      </c>
      <c r="AV140" s="3" t="str">
        <f>IFERROR(MID(VLOOKUP($B140,Seqs!$A:$B,2,0),AW140,1),"")</f>
        <v>S</v>
      </c>
      <c r="AW140" s="2">
        <v>390</v>
      </c>
      <c r="AX140" s="3" t="str">
        <f>IFERROR(MID(VLOOKUP($B140,Seqs!$A:$B,2,0),AY140,1),"")</f>
        <v>C</v>
      </c>
      <c r="AY140" s="2">
        <v>403</v>
      </c>
      <c r="AZ140" s="77" t="str">
        <f>VLOOKUP(B140,Classification!A:D,2,0)</f>
        <v>A</v>
      </c>
      <c r="BA140" s="94" t="str">
        <f>VLOOKUP(B140,Classification!A:D,4,0)</f>
        <v>Endothelin</v>
      </c>
      <c r="BB140" s="27" t="b">
        <f t="shared" si="168"/>
        <v>1</v>
      </c>
      <c r="BC140" s="2"/>
      <c r="BD140" s="34" t="s">
        <v>1379</v>
      </c>
      <c r="BE140" s="3" t="s">
        <v>23</v>
      </c>
      <c r="BF140" s="119" t="s">
        <v>23</v>
      </c>
      <c r="BG140" s="49" t="s">
        <v>1379</v>
      </c>
      <c r="BH140" s="49" t="s">
        <v>1384</v>
      </c>
      <c r="BI140" s="2"/>
      <c r="BJ140" s="70"/>
      <c r="BU140" s="57"/>
      <c r="BV140" s="70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70"/>
      <c r="CI140" s="57"/>
      <c r="CJ140" s="57"/>
      <c r="CK140" s="57"/>
      <c r="CL140" s="57"/>
      <c r="CM140" s="57"/>
      <c r="CN140" s="57"/>
      <c r="CO140" s="57"/>
      <c r="CP140" s="57"/>
      <c r="CQ140" s="57"/>
      <c r="CR140" s="57"/>
      <c r="CS140" s="57"/>
      <c r="CT140" s="2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67"/>
        <v>ednrb_human_5GLH</v>
      </c>
      <c r="B141" s="2" t="s">
        <v>196</v>
      </c>
      <c r="C141" s="2" t="s">
        <v>1334</v>
      </c>
      <c r="D141" s="3" t="str">
        <f>IFERROR(MID(VLOOKUP($B141,Seqs!$A:$B,2,0),E141,1),"")</f>
        <v>K</v>
      </c>
      <c r="E141" s="2">
        <v>97</v>
      </c>
      <c r="F141" s="3" t="str">
        <f>IFERROR(MID(VLOOKUP($B141,Seqs!$A:$B,2,0),G141,1),"")</f>
        <v>N</v>
      </c>
      <c r="G141" s="2">
        <v>129</v>
      </c>
      <c r="H141" s="3" t="str">
        <f>IFERROR(MID(VLOOKUP($B141,Seqs!$A:$B,2,0),I141,1),"")</f>
        <v/>
      </c>
      <c r="I141" s="56" t="s">
        <v>23</v>
      </c>
      <c r="J141" s="3" t="str">
        <f>IFERROR(MID(VLOOKUP($B141,Seqs!$A:$B,2,0),K141,1),"")</f>
        <v/>
      </c>
      <c r="K141" s="56" t="s">
        <v>23</v>
      </c>
      <c r="L141" s="3" t="str">
        <f>IFERROR(MID(VLOOKUP($B141,Seqs!$A:$B,2,0),M141,1),"")</f>
        <v>P</v>
      </c>
      <c r="M141" s="2">
        <v>136</v>
      </c>
      <c r="N141" s="3" t="str">
        <f>IFERROR(MID(VLOOKUP($B141,Seqs!$A:$B,2,0),O141,1),"")</f>
        <v>A</v>
      </c>
      <c r="O141" s="2">
        <v>164</v>
      </c>
      <c r="P141" s="3" t="str">
        <f>IFERROR(MID(VLOOKUP($B141,Seqs!$A:$B,2,0),Q141,1),"")</f>
        <v>D</v>
      </c>
      <c r="Q141" s="2">
        <v>166</v>
      </c>
      <c r="R141" s="3" t="str">
        <f>IFERROR(MID(VLOOKUP($B141,Seqs!$A:$B,2,0),S141,1),"")</f>
        <v>F</v>
      </c>
      <c r="S141" s="2">
        <v>169</v>
      </c>
      <c r="T141" s="3" t="str">
        <f>IFERROR(MID(VLOOKUP($B141,Seqs!$A:$B,2,0),U141,1),"")</f>
        <v>G</v>
      </c>
      <c r="U141" s="4">
        <v>170</v>
      </c>
      <c r="V141" s="3" t="str">
        <f>IFERROR(MID(VLOOKUP($B141,Seqs!$A:$B,2,0),W141,1),"")</f>
        <v>S</v>
      </c>
      <c r="W141" s="2">
        <v>205</v>
      </c>
      <c r="X141" s="3" t="str">
        <f>IFERROR(MID(VLOOKUP($B141,Seqs!$A:$B,2,0),Y141,1),"")</f>
        <v/>
      </c>
      <c r="Y141" s="2" t="s">
        <v>23</v>
      </c>
      <c r="Z141" s="3" t="str">
        <f>IFERROR(MID(VLOOKUP($B141,Seqs!$A:$B,2,0),AA141,1),"")</f>
        <v/>
      </c>
      <c r="AA141" s="2" t="s">
        <v>23</v>
      </c>
      <c r="AB141" s="3" t="str">
        <f>IFERROR(MID(VLOOKUP($B141,Seqs!$A:$B,2,0),AC141,1),"")</f>
        <v>T</v>
      </c>
      <c r="AC141" s="40">
        <v>218</v>
      </c>
      <c r="AD141" s="3" t="str">
        <f>IFERROR(MID(VLOOKUP($B141,Seqs!$A:$B,2,0),AE141,1),"")</f>
        <v>F</v>
      </c>
      <c r="AE141" s="2">
        <v>240</v>
      </c>
      <c r="AF141" s="3" t="str">
        <f>IFERROR(MID(VLOOKUP($B141,Seqs!$A:$B,2,0),AG141,1),"")</f>
        <v>C</v>
      </c>
      <c r="AG141" s="2">
        <v>255</v>
      </c>
      <c r="AH141" s="3" t="str">
        <f>IFERROR(MID(VLOOKUP($B141,Seqs!$A:$B,2,0),AI141,1),"")</f>
        <v>L</v>
      </c>
      <c r="AI141" s="2">
        <v>257</v>
      </c>
      <c r="AJ141" s="3" t="str">
        <f>IFERROR(MID(VLOOKUP($B141,Seqs!$A:$B,2,0),AK141,1),"")</f>
        <v>T</v>
      </c>
      <c r="AK141" s="2">
        <v>263</v>
      </c>
      <c r="AL141" s="3" t="str">
        <f>IFERROR(MID(VLOOKUP($B141,Seqs!$A:$B,2,0),AM141,1),"")</f>
        <v>K</v>
      </c>
      <c r="AM141" s="2">
        <v>303</v>
      </c>
      <c r="AN141" s="3" t="str">
        <f>IFERROR(MID(VLOOKUP($B141,Seqs!$A:$B,2,0),AO141,1),"")</f>
        <v>N</v>
      </c>
      <c r="AO141" s="2">
        <v>312</v>
      </c>
      <c r="AP141" s="3" t="str">
        <f>IFERROR(MID(VLOOKUP($B141,Seqs!$A:$B,2,0),AQ141,1),"")</f>
        <v>Y</v>
      </c>
      <c r="AQ141" s="2">
        <v>350</v>
      </c>
      <c r="AR141" s="3" t="str">
        <f>IFERROR(MID(VLOOKUP($B141,Seqs!$A:$B,2,0),AS141,1),"")</f>
        <v>R</v>
      </c>
      <c r="AS141" s="2">
        <v>357</v>
      </c>
      <c r="AT141" s="3" t="str">
        <f>IFERROR(MID(VLOOKUP($B141,Seqs!$A:$B,2,0),AU141,1),"")</f>
        <v>V</v>
      </c>
      <c r="AU141" s="2">
        <v>389</v>
      </c>
      <c r="AV141" s="3" t="str">
        <f>IFERROR(MID(VLOOKUP($B141,Seqs!$A:$B,2,0),AW141,1),"")</f>
        <v>S</v>
      </c>
      <c r="AW141" s="2">
        <v>390</v>
      </c>
      <c r="AX141" s="3" t="str">
        <f>IFERROR(MID(VLOOKUP($B141,Seqs!$A:$B,2,0),AY141,1),"")</f>
        <v>L</v>
      </c>
      <c r="AY141" s="2">
        <v>401</v>
      </c>
      <c r="AZ141" s="77" t="str">
        <f>VLOOKUP(B141,Classification!A:D,2,0)</f>
        <v>A</v>
      </c>
      <c r="BA141" s="94" t="str">
        <f>VLOOKUP(B141,Classification!A:D,4,0)</f>
        <v>Endothelin</v>
      </c>
      <c r="BB141" s="27" t="b">
        <f t="shared" si="168"/>
        <v>1</v>
      </c>
      <c r="BC141" s="23">
        <f t="shared" ref="BC141:BC184" si="223">_xlfn.AGGREGATE(9,6,CH141:CS141)-_xlfn.AGGREGATE(9,6,BV141:CG141)+12</f>
        <v>255</v>
      </c>
      <c r="BD141" s="2" t="s">
        <v>23</v>
      </c>
      <c r="BE141" s="3" t="s">
        <v>1381</v>
      </c>
      <c r="BF141" s="119">
        <v>2.8</v>
      </c>
      <c r="BG141" s="49" t="s">
        <v>1384</v>
      </c>
      <c r="BH141" s="49" t="s">
        <v>1384</v>
      </c>
      <c r="BI141" s="2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ref="BV141:BV184" si="224">E141</f>
        <v>97</v>
      </c>
      <c r="BW141" s="71" t="str">
        <f t="shared" ref="BW141:BW184" si="225">I141</f>
        <v>-</v>
      </c>
      <c r="BX141" s="72">
        <f t="shared" ref="BX141:BX184" si="226">M141</f>
        <v>136</v>
      </c>
      <c r="BY141" s="71">
        <f t="shared" ref="BY141:BY184" si="227">Q141</f>
        <v>166</v>
      </c>
      <c r="BZ141" s="72">
        <f t="shared" ref="BZ141:BZ184" si="228">U141</f>
        <v>170</v>
      </c>
      <c r="CA141" s="71" t="str">
        <f t="shared" ref="CA141:CA184" si="229">Y141</f>
        <v>-</v>
      </c>
      <c r="CB141" s="72">
        <f t="shared" ref="CB141:CB184" si="230">AC141</f>
        <v>218</v>
      </c>
      <c r="CC141" s="71">
        <f t="shared" ref="CC141:CC184" si="231">AG141</f>
        <v>255</v>
      </c>
      <c r="CD141" s="72">
        <f t="shared" ref="CD141:CD184" si="232">AK141</f>
        <v>263</v>
      </c>
      <c r="CE141" s="71">
        <f t="shared" ref="CE141:CE184" si="233">AO141</f>
        <v>312</v>
      </c>
      <c r="CF141" s="72">
        <f t="shared" ref="CF141:CF184" si="234">AS141</f>
        <v>357</v>
      </c>
      <c r="CG141" s="71">
        <f t="shared" ref="CG141:CG184" si="235">AW141</f>
        <v>390</v>
      </c>
      <c r="CH141" s="70">
        <f t="shared" ref="CH141:CH184" si="236">G141</f>
        <v>129</v>
      </c>
      <c r="CI141" s="71" t="str">
        <f t="shared" ref="CI141:CI184" si="237">K141</f>
        <v>-</v>
      </c>
      <c r="CJ141" s="72">
        <f t="shared" ref="CJ141:CJ184" si="238">O141</f>
        <v>164</v>
      </c>
      <c r="CK141" s="72">
        <f t="shared" ref="CK141:CK184" si="239">S141</f>
        <v>169</v>
      </c>
      <c r="CL141" s="72">
        <f t="shared" ref="CL141:CL184" si="240">W141</f>
        <v>205</v>
      </c>
      <c r="CM141" s="72" t="str">
        <f t="shared" ref="CM141:CM184" si="241">AA141</f>
        <v>-</v>
      </c>
      <c r="CN141" s="72">
        <f t="shared" ref="CN141:CN184" si="242">AE141</f>
        <v>240</v>
      </c>
      <c r="CO141" s="72">
        <f t="shared" ref="CO141:CO184" si="243">AI141</f>
        <v>257</v>
      </c>
      <c r="CP141" s="72">
        <f t="shared" ref="CP141:CP184" si="244">AM141</f>
        <v>303</v>
      </c>
      <c r="CQ141" s="72">
        <f t="shared" ref="CQ141:CQ184" si="245">AQ141</f>
        <v>350</v>
      </c>
      <c r="CR141" s="72">
        <f t="shared" ref="CR141:CR184" si="246">AU141</f>
        <v>389</v>
      </c>
      <c r="CS141" s="72">
        <f t="shared" ref="CS141:CS184" si="247">AY141</f>
        <v>401</v>
      </c>
      <c r="CT141" s="23" t="e">
        <f t="shared" ref="CT141:CT184" si="248">M141-K141</f>
        <v>#VALUE!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x14ac:dyDescent="0.2">
      <c r="A142" s="3" t="str">
        <f t="shared" si="167"/>
        <v>ednrb_human_5GLI</v>
      </c>
      <c r="B142" s="2" t="s">
        <v>196</v>
      </c>
      <c r="C142" s="2" t="s">
        <v>1333</v>
      </c>
      <c r="D142" s="3" t="str">
        <f>IFERROR(MID(VLOOKUP($B142,Seqs!$A:$B,2,0),E142,1),"")</f>
        <v>Q</v>
      </c>
      <c r="E142" s="2">
        <v>91</v>
      </c>
      <c r="F142" s="3" t="str">
        <f>IFERROR(MID(VLOOKUP($B142,Seqs!$A:$B,2,0),G142,1),"")</f>
        <v>N</v>
      </c>
      <c r="G142" s="2">
        <v>129</v>
      </c>
      <c r="H142" s="3" t="str">
        <f>IFERROR(MID(VLOOKUP($B142,Seqs!$A:$B,2,0),I142,1),"")</f>
        <v>K</v>
      </c>
      <c r="I142" s="56">
        <v>130</v>
      </c>
      <c r="J142" s="3" t="str">
        <f>IFERROR(MID(VLOOKUP($B142,Seqs!$A:$B,2,0),K142,1),"")</f>
        <v>N</v>
      </c>
      <c r="K142" s="56">
        <v>134</v>
      </c>
      <c r="L142" s="3" t="str">
        <f>IFERROR(MID(VLOOKUP($B142,Seqs!$A:$B,2,0),M142,1),"")</f>
        <v>G</v>
      </c>
      <c r="M142" s="2">
        <v>135</v>
      </c>
      <c r="N142" s="3" t="str">
        <f>IFERROR(MID(VLOOKUP($B142,Seqs!$A:$B,2,0),O142,1),"")</f>
        <v>A</v>
      </c>
      <c r="O142" s="2">
        <v>164</v>
      </c>
      <c r="P142" s="3" t="str">
        <f>IFERROR(MID(VLOOKUP($B142,Seqs!$A:$B,2,0),Q142,1),"")</f>
        <v>D</v>
      </c>
      <c r="Q142" s="2">
        <v>166</v>
      </c>
      <c r="R142" s="3" t="str">
        <f>IFERROR(MID(VLOOKUP($B142,Seqs!$A:$B,2,0),S142,1),"")</f>
        <v>F</v>
      </c>
      <c r="S142" s="2">
        <v>169</v>
      </c>
      <c r="T142" s="3" t="str">
        <f>IFERROR(MID(VLOOKUP($B142,Seqs!$A:$B,2,0),U142,1),"")</f>
        <v>G</v>
      </c>
      <c r="U142" s="4">
        <v>170</v>
      </c>
      <c r="V142" s="3" t="str">
        <f>IFERROR(MID(VLOOKUP($B142,Seqs!$A:$B,2,0),W142,1),"")</f>
        <v>S</v>
      </c>
      <c r="W142" s="2">
        <v>205</v>
      </c>
      <c r="X142" s="3" t="str">
        <f>IFERROR(MID(VLOOKUP($B142,Seqs!$A:$B,2,0),Y142,1),"")</f>
        <v/>
      </c>
      <c r="Y142" s="2" t="s">
        <v>23</v>
      </c>
      <c r="Z142" s="3" t="str">
        <f>IFERROR(MID(VLOOKUP($B142,Seqs!$A:$B,2,0),AA142,1),"")</f>
        <v/>
      </c>
      <c r="AA142" s="2" t="s">
        <v>23</v>
      </c>
      <c r="AB142" s="3" t="str">
        <f>IFERROR(MID(VLOOKUP($B142,Seqs!$A:$B,2,0),AC142,1),"")</f>
        <v>K</v>
      </c>
      <c r="AC142" s="40">
        <v>216</v>
      </c>
      <c r="AD142" s="3" t="str">
        <f>IFERROR(MID(VLOOKUP($B142,Seqs!$A:$B,2,0),AE142,1),"")</f>
        <v>F</v>
      </c>
      <c r="AE142" s="2">
        <v>240</v>
      </c>
      <c r="AF142" s="3" t="str">
        <f>IFERROR(MID(VLOOKUP($B142,Seqs!$A:$B,2,0),AG142,1),"")</f>
        <v>C</v>
      </c>
      <c r="AG142" s="2">
        <v>255</v>
      </c>
      <c r="AH142" s="3" t="str">
        <f>IFERROR(MID(VLOOKUP($B142,Seqs!$A:$B,2,0),AI142,1),"")</f>
        <v>L</v>
      </c>
      <c r="AI142" s="2">
        <v>257</v>
      </c>
      <c r="AJ142" s="3" t="str">
        <f>IFERROR(MID(VLOOKUP($B142,Seqs!$A:$B,2,0),AK142,1),"")</f>
        <v>T</v>
      </c>
      <c r="AK142" s="2">
        <v>263</v>
      </c>
      <c r="AL142" s="3" t="str">
        <f>IFERROR(MID(VLOOKUP($B142,Seqs!$A:$B,2,0),AM142,1),"")</f>
        <v>K</v>
      </c>
      <c r="AM142" s="2">
        <v>303</v>
      </c>
      <c r="AN142" s="3" t="str">
        <f>IFERROR(MID(VLOOKUP($B142,Seqs!$A:$B,2,0),AO142,1),"")</f>
        <v>N</v>
      </c>
      <c r="AO142" s="2">
        <v>312</v>
      </c>
      <c r="AP142" s="3" t="str">
        <f>IFERROR(MID(VLOOKUP($B142,Seqs!$A:$B,2,0),AQ142,1),"")</f>
        <v>Y</v>
      </c>
      <c r="AQ142" s="2">
        <v>350</v>
      </c>
      <c r="AR142" s="3" t="str">
        <f>IFERROR(MID(VLOOKUP($B142,Seqs!$A:$B,2,0),AS142,1),"")</f>
        <v>R</v>
      </c>
      <c r="AS142" s="2">
        <v>357</v>
      </c>
      <c r="AT142" s="3" t="str">
        <f>IFERROR(MID(VLOOKUP($B142,Seqs!$A:$B,2,0),AU142,1),"")</f>
        <v>V</v>
      </c>
      <c r="AU142" s="2">
        <v>389</v>
      </c>
      <c r="AV142" s="3" t="str">
        <f>IFERROR(MID(VLOOKUP($B142,Seqs!$A:$B,2,0),AW142,1),"")</f>
        <v>S</v>
      </c>
      <c r="AW142" s="2">
        <v>390</v>
      </c>
      <c r="AX142" s="3" t="str">
        <f>IFERROR(MID(VLOOKUP($B142,Seqs!$A:$B,2,0),AY142,1),"")</f>
        <v>C</v>
      </c>
      <c r="AY142" s="2">
        <v>403</v>
      </c>
      <c r="AZ142" s="77" t="str">
        <f>VLOOKUP(B142,Classification!A:D,2,0)</f>
        <v>A</v>
      </c>
      <c r="BA142" s="94" t="str">
        <f>VLOOKUP(B142,Classification!A:D,4,0)</f>
        <v>Endothelin</v>
      </c>
      <c r="BB142" s="27" t="b">
        <f t="shared" si="168"/>
        <v>1</v>
      </c>
      <c r="BC142" s="23">
        <f t="shared" si="223"/>
        <v>270</v>
      </c>
      <c r="BD142" s="2" t="s">
        <v>23</v>
      </c>
      <c r="BE142" s="3" t="s">
        <v>1381</v>
      </c>
      <c r="BF142" s="119">
        <v>2.5</v>
      </c>
      <c r="BG142" s="49" t="s">
        <v>1384</v>
      </c>
      <c r="BH142" s="49" t="s">
        <v>1384</v>
      </c>
      <c r="BI142" s="2"/>
      <c r="BJ142" s="70" t="s">
        <v>1293</v>
      </c>
      <c r="BK142" s="57" t="s">
        <v>1293</v>
      </c>
      <c r="BL142" s="57" t="s">
        <v>1293</v>
      </c>
      <c r="BM142" s="57" t="s">
        <v>1293</v>
      </c>
      <c r="BN142" s="57" t="s">
        <v>1293</v>
      </c>
      <c r="BO142" s="57" t="s">
        <v>1293</v>
      </c>
      <c r="BP142" s="57" t="s">
        <v>1293</v>
      </c>
      <c r="BQ142" s="57" t="s">
        <v>1293</v>
      </c>
      <c r="BR142" s="57" t="s">
        <v>1293</v>
      </c>
      <c r="BS142" s="57" t="s">
        <v>1293</v>
      </c>
      <c r="BT142" s="57" t="s">
        <v>1293</v>
      </c>
      <c r="BU142" s="57" t="s">
        <v>1293</v>
      </c>
      <c r="BV142" s="70">
        <f t="shared" si="224"/>
        <v>91</v>
      </c>
      <c r="BW142" s="71">
        <f t="shared" si="225"/>
        <v>130</v>
      </c>
      <c r="BX142" s="72">
        <f t="shared" si="226"/>
        <v>135</v>
      </c>
      <c r="BY142" s="71">
        <f t="shared" si="227"/>
        <v>166</v>
      </c>
      <c r="BZ142" s="72">
        <f t="shared" si="228"/>
        <v>170</v>
      </c>
      <c r="CA142" s="71" t="str">
        <f t="shared" si="229"/>
        <v>-</v>
      </c>
      <c r="CB142" s="72">
        <f t="shared" si="230"/>
        <v>216</v>
      </c>
      <c r="CC142" s="71">
        <f t="shared" si="231"/>
        <v>255</v>
      </c>
      <c r="CD142" s="72">
        <f t="shared" si="232"/>
        <v>263</v>
      </c>
      <c r="CE142" s="71">
        <f t="shared" si="233"/>
        <v>312</v>
      </c>
      <c r="CF142" s="72">
        <f t="shared" si="234"/>
        <v>357</v>
      </c>
      <c r="CG142" s="71">
        <f t="shared" si="235"/>
        <v>390</v>
      </c>
      <c r="CH142" s="70">
        <f t="shared" si="236"/>
        <v>129</v>
      </c>
      <c r="CI142" s="71">
        <f t="shared" si="237"/>
        <v>134</v>
      </c>
      <c r="CJ142" s="72">
        <f t="shared" si="238"/>
        <v>164</v>
      </c>
      <c r="CK142" s="72">
        <f t="shared" si="239"/>
        <v>169</v>
      </c>
      <c r="CL142" s="72">
        <f t="shared" si="240"/>
        <v>205</v>
      </c>
      <c r="CM142" s="72" t="str">
        <f t="shared" si="241"/>
        <v>-</v>
      </c>
      <c r="CN142" s="72">
        <f t="shared" si="242"/>
        <v>240</v>
      </c>
      <c r="CO142" s="72">
        <f t="shared" si="243"/>
        <v>257</v>
      </c>
      <c r="CP142" s="72">
        <f t="shared" si="244"/>
        <v>303</v>
      </c>
      <c r="CQ142" s="72">
        <f t="shared" si="245"/>
        <v>350</v>
      </c>
      <c r="CR142" s="72">
        <f t="shared" si="246"/>
        <v>389</v>
      </c>
      <c r="CS142" s="72">
        <f t="shared" si="247"/>
        <v>403</v>
      </c>
      <c r="CT142" s="23">
        <f t="shared" si="248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>CONCATENATE(B143,"_",C143)</f>
        <v>ednrb_human_5X93</v>
      </c>
      <c r="B143" s="2" t="s">
        <v>196</v>
      </c>
      <c r="C143" s="2" t="s">
        <v>1449</v>
      </c>
      <c r="D143" s="3" t="str">
        <f>IFERROR(MID(VLOOKUP($B143,Seqs!$A:$B,2,0),E143,1),"")</f>
        <v>Q</v>
      </c>
      <c r="E143" s="2">
        <v>91</v>
      </c>
      <c r="F143" s="3" t="str">
        <f>IFERROR(MID(VLOOKUP($B143,Seqs!$A:$B,2,0),G143,1),"")</f>
        <v>N</v>
      </c>
      <c r="G143" s="2">
        <v>129</v>
      </c>
      <c r="H143" s="3" t="str">
        <f>IFERROR(MID(VLOOKUP($B143,Seqs!$A:$B,2,0),I143,1),"")</f>
        <v>K</v>
      </c>
      <c r="I143" s="56">
        <v>130</v>
      </c>
      <c r="J143" s="3" t="str">
        <f>IFERROR(MID(VLOOKUP($B143,Seqs!$A:$B,2,0),K143,1),"")</f>
        <v>N</v>
      </c>
      <c r="K143" s="56">
        <v>134</v>
      </c>
      <c r="L143" s="3" t="str">
        <f>IFERROR(MID(VLOOKUP($B143,Seqs!$A:$B,2,0),M143,1),"")</f>
        <v>G</v>
      </c>
      <c r="M143" s="2">
        <v>135</v>
      </c>
      <c r="N143" s="3" t="str">
        <f>IFERROR(MID(VLOOKUP($B143,Seqs!$A:$B,2,0),O143,1),"")</f>
        <v>A</v>
      </c>
      <c r="O143" s="2">
        <v>164</v>
      </c>
      <c r="P143" s="3" t="str">
        <f>IFERROR(MID(VLOOKUP($B143,Seqs!$A:$B,2,0),Q143,1),"")</f>
        <v>D</v>
      </c>
      <c r="Q143" s="2">
        <v>166</v>
      </c>
      <c r="R143" s="3" t="str">
        <f>IFERROR(MID(VLOOKUP($B143,Seqs!$A:$B,2,0),S143,1),"")</f>
        <v>F</v>
      </c>
      <c r="S143" s="2">
        <v>169</v>
      </c>
      <c r="T143" s="3" t="str">
        <f>IFERROR(MID(VLOOKUP($B143,Seqs!$A:$B,2,0),U143,1),"")</f>
        <v>G</v>
      </c>
      <c r="U143" s="4">
        <v>170</v>
      </c>
      <c r="V143" s="3" t="str">
        <f>IFERROR(MID(VLOOKUP($B143,Seqs!$A:$B,2,0),W143,1),"")</f>
        <v>S</v>
      </c>
      <c r="W143" s="2">
        <v>205</v>
      </c>
      <c r="X143" s="3" t="str">
        <f>IFERROR(MID(VLOOKUP($B143,Seqs!$A:$B,2,0),Y143,1),"")</f>
        <v/>
      </c>
      <c r="Y143" s="2" t="s">
        <v>23</v>
      </c>
      <c r="Z143" s="3" t="str">
        <f>IFERROR(MID(VLOOKUP($B143,Seqs!$A:$B,2,0),AA143,1),"")</f>
        <v/>
      </c>
      <c r="AA143" s="2" t="s">
        <v>23</v>
      </c>
      <c r="AB143" s="3" t="str">
        <f>IFERROR(MID(VLOOKUP($B143,Seqs!$A:$B,2,0),AC143,1),"")</f>
        <v>K</v>
      </c>
      <c r="AC143" s="2">
        <v>216</v>
      </c>
      <c r="AD143" s="3" t="str">
        <f>IFERROR(MID(VLOOKUP($B143,Seqs!$A:$B,2,0),AE143,1),"")</f>
        <v>F</v>
      </c>
      <c r="AE143" s="2">
        <v>240</v>
      </c>
      <c r="AF143" s="3" t="str">
        <f>IFERROR(MID(VLOOKUP($B143,Seqs!$A:$B,2,0),AG143,1),"")</f>
        <v>C</v>
      </c>
      <c r="AG143" s="2">
        <v>255</v>
      </c>
      <c r="AH143" s="3" t="str">
        <f>IFERROR(MID(VLOOKUP($B143,Seqs!$A:$B,2,0),AI143,1),"")</f>
        <v>L</v>
      </c>
      <c r="AI143" s="2">
        <v>257</v>
      </c>
      <c r="AJ143" s="3" t="str">
        <f>IFERROR(MID(VLOOKUP($B143,Seqs!$A:$B,2,0),AK143,1),"")</f>
        <v>T</v>
      </c>
      <c r="AK143" s="2">
        <v>263</v>
      </c>
      <c r="AL143" s="3" t="str">
        <f>IFERROR(MID(VLOOKUP($B143,Seqs!$A:$B,2,0),AM143,1),"")</f>
        <v>K</v>
      </c>
      <c r="AM143" s="2">
        <v>303</v>
      </c>
      <c r="AN143" s="3" t="str">
        <f>IFERROR(MID(VLOOKUP($B143,Seqs!$A:$B,2,0),AO143,1),"")</f>
        <v>N</v>
      </c>
      <c r="AO143" s="2">
        <v>312</v>
      </c>
      <c r="AP143" s="3" t="str">
        <f>IFERROR(MID(VLOOKUP($B143,Seqs!$A:$B,2,0),AQ143,1),"")</f>
        <v>Y</v>
      </c>
      <c r="AQ143" s="2">
        <v>350</v>
      </c>
      <c r="AR143" s="3" t="str">
        <f>IFERROR(MID(VLOOKUP($B143,Seqs!$A:$B,2,0),AS143,1),"")</f>
        <v>R</v>
      </c>
      <c r="AS143" s="2">
        <v>357</v>
      </c>
      <c r="AT143" s="3" t="str">
        <f>IFERROR(MID(VLOOKUP($B143,Seqs!$A:$B,2,0),AU143,1),"")</f>
        <v>V</v>
      </c>
      <c r="AU143" s="2">
        <v>389</v>
      </c>
      <c r="AV143" s="3" t="str">
        <f>IFERROR(MID(VLOOKUP($B143,Seqs!$A:$B,2,0),AW143,1),"")</f>
        <v>S</v>
      </c>
      <c r="AW143" s="2">
        <v>390</v>
      </c>
      <c r="AX143" s="3" t="str">
        <f>IFERROR(MID(VLOOKUP($B143,Seqs!$A:$B,2,0),AY143,1),"")</f>
        <v>C</v>
      </c>
      <c r="AY143" s="2">
        <v>403</v>
      </c>
      <c r="AZ143" s="77" t="str">
        <f>VLOOKUP(B143,Classification!A:D,2,0)</f>
        <v>A</v>
      </c>
      <c r="BA143" s="94" t="str">
        <f>VLOOKUP(B143,Classification!A:D,4,0)</f>
        <v>Endothelin</v>
      </c>
      <c r="BB143" s="27" t="b">
        <f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23">
        <f>_xlfn.AGGREGATE(9,6,CH143:CS143)-_xlfn.AGGREGATE(9,6,BV143:CG143)+12</f>
        <v>270</v>
      </c>
      <c r="BD143" s="2" t="s">
        <v>1383</v>
      </c>
      <c r="BE143" s="3" t="s">
        <v>1381</v>
      </c>
      <c r="BF143" s="119">
        <v>2.2000000000000002</v>
      </c>
      <c r="BG143" s="49" t="s">
        <v>1</v>
      </c>
      <c r="BH143" s="49" t="s">
        <v>1</v>
      </c>
      <c r="BI143" s="2"/>
      <c r="BJ143" s="70" t="s">
        <v>1293</v>
      </c>
      <c r="BK143" s="57" t="s">
        <v>1293</v>
      </c>
      <c r="BL143" s="57" t="s">
        <v>1293</v>
      </c>
      <c r="BM143" s="57" t="s">
        <v>1293</v>
      </c>
      <c r="BN143" s="57" t="s">
        <v>1293</v>
      </c>
      <c r="BO143" s="57" t="s">
        <v>1293</v>
      </c>
      <c r="BP143" s="57" t="s">
        <v>1293</v>
      </c>
      <c r="BQ143" s="57" t="s">
        <v>1293</v>
      </c>
      <c r="BR143" s="57" t="s">
        <v>1293</v>
      </c>
      <c r="BS143" s="57" t="s">
        <v>1293</v>
      </c>
      <c r="BT143" s="57" t="s">
        <v>1293</v>
      </c>
      <c r="BU143" s="57" t="s">
        <v>1293</v>
      </c>
      <c r="BV143" s="70">
        <f>E143</f>
        <v>91</v>
      </c>
      <c r="BW143" s="71">
        <f>I143</f>
        <v>130</v>
      </c>
      <c r="BX143" s="72">
        <f>M143</f>
        <v>135</v>
      </c>
      <c r="BY143" s="71">
        <f>Q143</f>
        <v>166</v>
      </c>
      <c r="BZ143" s="72">
        <f>U143</f>
        <v>170</v>
      </c>
      <c r="CA143" s="71" t="str">
        <f>Y143</f>
        <v>-</v>
      </c>
      <c r="CB143" s="72">
        <f>AC143</f>
        <v>216</v>
      </c>
      <c r="CC143" s="71">
        <f>AG143</f>
        <v>255</v>
      </c>
      <c r="CD143" s="72">
        <f>AK143</f>
        <v>263</v>
      </c>
      <c r="CE143" s="71">
        <f>AO143</f>
        <v>312</v>
      </c>
      <c r="CF143" s="72">
        <f>AS143</f>
        <v>357</v>
      </c>
      <c r="CG143" s="71">
        <f>AW143</f>
        <v>390</v>
      </c>
      <c r="CH143" s="70">
        <f>G143</f>
        <v>129</v>
      </c>
      <c r="CI143" s="71">
        <f>K143</f>
        <v>134</v>
      </c>
      <c r="CJ143" s="72">
        <f>O143</f>
        <v>164</v>
      </c>
      <c r="CK143" s="72">
        <f>S143</f>
        <v>169</v>
      </c>
      <c r="CL143" s="72">
        <f>W143</f>
        <v>205</v>
      </c>
      <c r="CM143" s="72" t="str">
        <f>AA143</f>
        <v>-</v>
      </c>
      <c r="CN143" s="72">
        <f>AE143</f>
        <v>240</v>
      </c>
      <c r="CO143" s="72">
        <f>AI143</f>
        <v>257</v>
      </c>
      <c r="CP143" s="72">
        <f>AM143</f>
        <v>303</v>
      </c>
      <c r="CQ143" s="72">
        <f>AQ143</f>
        <v>350</v>
      </c>
      <c r="CR143" s="72">
        <f>AU143</f>
        <v>389</v>
      </c>
      <c r="CS143" s="72">
        <f>AY143</f>
        <v>403</v>
      </c>
      <c r="CT143" s="23">
        <f>M143-K143</f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>CONCATENATE(B144,"_",C144)</f>
        <v>ednrb_human_5XPR</v>
      </c>
      <c r="B144" s="2" t="s">
        <v>196</v>
      </c>
      <c r="C144" s="2" t="s">
        <v>1450</v>
      </c>
      <c r="D144" s="3" t="str">
        <f>IFERROR(MID(VLOOKUP($B144,Seqs!$A:$B,2,0),E144,1),"")</f>
        <v>G</v>
      </c>
      <c r="E144" s="2">
        <v>92</v>
      </c>
      <c r="F144" s="3" t="str">
        <f>IFERROR(MID(VLOOKUP($B144,Seqs!$A:$B,2,0),G144,1),"")</f>
        <v>N</v>
      </c>
      <c r="G144" s="2">
        <v>129</v>
      </c>
      <c r="H144" s="3" t="str">
        <f>IFERROR(MID(VLOOKUP($B144,Seqs!$A:$B,2,0),I144,1),"")</f>
        <v>K</v>
      </c>
      <c r="I144" s="56">
        <v>130</v>
      </c>
      <c r="J144" s="3" t="str">
        <f>IFERROR(MID(VLOOKUP($B144,Seqs!$A:$B,2,0),K144,1),"")</f>
        <v>N</v>
      </c>
      <c r="K144" s="56">
        <v>134</v>
      </c>
      <c r="L144" s="3" t="str">
        <f>IFERROR(MID(VLOOKUP($B144,Seqs!$A:$B,2,0),M144,1),"")</f>
        <v>G</v>
      </c>
      <c r="M144" s="2">
        <v>135</v>
      </c>
      <c r="N144" s="3" t="str">
        <f>IFERROR(MID(VLOOKUP($B144,Seqs!$A:$B,2,0),O144,1),"")</f>
        <v>A</v>
      </c>
      <c r="O144" s="2">
        <v>164</v>
      </c>
      <c r="P144" s="3" t="str">
        <f>IFERROR(MID(VLOOKUP($B144,Seqs!$A:$B,2,0),Q144,1),"")</f>
        <v>D</v>
      </c>
      <c r="Q144" s="2">
        <v>166</v>
      </c>
      <c r="R144" s="3" t="str">
        <f>IFERROR(MID(VLOOKUP($B144,Seqs!$A:$B,2,0),S144,1),"")</f>
        <v>F</v>
      </c>
      <c r="S144" s="2">
        <v>169</v>
      </c>
      <c r="T144" s="3" t="str">
        <f>IFERROR(MID(VLOOKUP($B144,Seqs!$A:$B,2,0),U144,1),"")</f>
        <v>A</v>
      </c>
      <c r="U144" s="4">
        <v>171</v>
      </c>
      <c r="V144" s="3" t="str">
        <f>IFERROR(MID(VLOOKUP($B144,Seqs!$A:$B,2,0),W144,1),"")</f>
        <v>A</v>
      </c>
      <c r="W144" s="2">
        <v>202</v>
      </c>
      <c r="X144" s="3" t="str">
        <f>IFERROR(MID(VLOOKUP($B144,Seqs!$A:$B,2,0),Y144,1),"")</f>
        <v/>
      </c>
      <c r="Y144" s="2" t="s">
        <v>23</v>
      </c>
      <c r="Z144" s="3" t="str">
        <f>IFERROR(MID(VLOOKUP($B144,Seqs!$A:$B,2,0),AA144,1),"")</f>
        <v/>
      </c>
      <c r="AA144" s="2" t="s">
        <v>23</v>
      </c>
      <c r="AB144" s="3" t="str">
        <f>IFERROR(MID(VLOOKUP($B144,Seqs!$A:$B,2,0),AC144,1),"")</f>
        <v>K</v>
      </c>
      <c r="AC144" s="2">
        <v>216</v>
      </c>
      <c r="AD144" s="3" t="str">
        <f>IFERROR(MID(VLOOKUP($B144,Seqs!$A:$B,2,0),AE144,1),"")</f>
        <v>F</v>
      </c>
      <c r="AE144" s="2">
        <v>240</v>
      </c>
      <c r="AF144" s="3" t="str">
        <f>IFERROR(MID(VLOOKUP($B144,Seqs!$A:$B,2,0),AG144,1),"")</f>
        <v>C</v>
      </c>
      <c r="AG144" s="2">
        <v>255</v>
      </c>
      <c r="AH144" s="3" t="str">
        <f>IFERROR(MID(VLOOKUP($B144,Seqs!$A:$B,2,0),AI144,1),"")</f>
        <v>L</v>
      </c>
      <c r="AI144" s="2">
        <v>257</v>
      </c>
      <c r="AJ144" s="3" t="str">
        <f>IFERROR(MID(VLOOKUP($B144,Seqs!$A:$B,2,0),AK144,1),"")</f>
        <v>T</v>
      </c>
      <c r="AK144" s="2">
        <v>263</v>
      </c>
      <c r="AL144" s="3" t="str">
        <f>IFERROR(MID(VLOOKUP($B144,Seqs!$A:$B,2,0),AM144,1),"")</f>
        <v>K</v>
      </c>
      <c r="AM144" s="2">
        <v>303</v>
      </c>
      <c r="AN144" s="3" t="str">
        <f>IFERROR(MID(VLOOKUP($B144,Seqs!$A:$B,2,0),AO144,1),"")</f>
        <v>N</v>
      </c>
      <c r="AO144" s="2">
        <v>312</v>
      </c>
      <c r="AP144" s="3" t="str">
        <f>IFERROR(MID(VLOOKUP($B144,Seqs!$A:$B,2,0),AQ144,1),"")</f>
        <v>L</v>
      </c>
      <c r="AQ144" s="2">
        <v>349</v>
      </c>
      <c r="AR144" s="3" t="str">
        <f>IFERROR(MID(VLOOKUP($B144,Seqs!$A:$B,2,0),AS144,1),"")</f>
        <v>N</v>
      </c>
      <c r="AS144" s="2">
        <v>356</v>
      </c>
      <c r="AT144" s="3" t="str">
        <f>IFERROR(MID(VLOOKUP($B144,Seqs!$A:$B,2,0),AU144,1),"")</f>
        <v>V</v>
      </c>
      <c r="AU144" s="2">
        <v>389</v>
      </c>
      <c r="AV144" s="3" t="str">
        <f>IFERROR(MID(VLOOKUP($B144,Seqs!$A:$B,2,0),AW144,1),"")</f>
        <v>S</v>
      </c>
      <c r="AW144" s="2">
        <v>390</v>
      </c>
      <c r="AX144" s="3" t="str">
        <f>IFERROR(MID(VLOOKUP($B144,Seqs!$A:$B,2,0),AY144,1),"")</f>
        <v>C</v>
      </c>
      <c r="AY144" s="2">
        <v>402</v>
      </c>
      <c r="AZ144" s="77" t="str">
        <f>VLOOKUP(B144,Classification!A:D,2,0)</f>
        <v>A</v>
      </c>
      <c r="BA144" s="94" t="str">
        <f>VLOOKUP(B144,Classification!A:D,4,0)</f>
        <v>Endothelin</v>
      </c>
      <c r="BB144" s="27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23">
        <f>_xlfn.AGGREGATE(9,6,CH144:CS144)-_xlfn.AGGREGATE(9,6,BV144:CG144)+12</f>
        <v>264</v>
      </c>
      <c r="BD144" s="2" t="s">
        <v>23</v>
      </c>
      <c r="BE144" s="3" t="s">
        <v>1381</v>
      </c>
      <c r="BF144" s="119">
        <v>3.6</v>
      </c>
      <c r="BG144" s="49" t="s">
        <v>1</v>
      </c>
      <c r="BH144" s="49" t="s">
        <v>1</v>
      </c>
      <c r="BI144" s="2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>E144</f>
        <v>92</v>
      </c>
      <c r="BW144" s="71">
        <f>I144</f>
        <v>130</v>
      </c>
      <c r="BX144" s="72">
        <f>M144</f>
        <v>135</v>
      </c>
      <c r="BY144" s="71">
        <f>Q144</f>
        <v>166</v>
      </c>
      <c r="BZ144" s="72">
        <f>U144</f>
        <v>171</v>
      </c>
      <c r="CA144" s="71" t="str">
        <f>Y144</f>
        <v>-</v>
      </c>
      <c r="CB144" s="72">
        <f>AC144</f>
        <v>216</v>
      </c>
      <c r="CC144" s="71">
        <f>AG144</f>
        <v>255</v>
      </c>
      <c r="CD144" s="72">
        <f>AK144</f>
        <v>263</v>
      </c>
      <c r="CE144" s="71">
        <f>AO144</f>
        <v>312</v>
      </c>
      <c r="CF144" s="72">
        <f>AS144</f>
        <v>356</v>
      </c>
      <c r="CG144" s="71">
        <f>AW144</f>
        <v>390</v>
      </c>
      <c r="CH144" s="70">
        <f>G144</f>
        <v>129</v>
      </c>
      <c r="CI144" s="71">
        <f>K144</f>
        <v>134</v>
      </c>
      <c r="CJ144" s="72">
        <f>O144</f>
        <v>164</v>
      </c>
      <c r="CK144" s="72">
        <f>S144</f>
        <v>169</v>
      </c>
      <c r="CL144" s="72">
        <f>W144</f>
        <v>202</v>
      </c>
      <c r="CM144" s="72" t="str">
        <f>AA144</f>
        <v>-</v>
      </c>
      <c r="CN144" s="72">
        <f>AE144</f>
        <v>240</v>
      </c>
      <c r="CO144" s="72">
        <f>AI144</f>
        <v>257</v>
      </c>
      <c r="CP144" s="72">
        <f>AM144</f>
        <v>303</v>
      </c>
      <c r="CQ144" s="72">
        <f>AQ144</f>
        <v>349</v>
      </c>
      <c r="CR144" s="72">
        <f>AU144</f>
        <v>389</v>
      </c>
      <c r="CS144" s="72">
        <f>AY144</f>
        <v>402</v>
      </c>
      <c r="CT144" s="23">
        <f>M144-K144</f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67"/>
        <v>ffar1_human__wt</v>
      </c>
      <c r="B145" s="3" t="s">
        <v>1173</v>
      </c>
      <c r="C145" s="3" t="s">
        <v>100</v>
      </c>
      <c r="D145" s="3" t="str">
        <f>IFERROR(MID(VLOOKUP($B145,Seqs!$A:$B,2,0),E145,1),"")</f>
        <v>P</v>
      </c>
      <c r="E145" s="3">
        <v>4</v>
      </c>
      <c r="F145" s="3" t="str">
        <f>IFERROR(MID(VLOOKUP($B145,Seqs!$A:$B,2,0),G145,1),"")</f>
        <v>R</v>
      </c>
      <c r="G145" s="3">
        <v>37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T</v>
      </c>
      <c r="M145" s="3">
        <v>39</v>
      </c>
      <c r="N145" s="3" t="str">
        <f>IFERROR(MID(VLOOKUP($B145,Seqs!$A:$B,2,0),O145,1),"")</f>
        <v>S</v>
      </c>
      <c r="O145" s="3">
        <v>69</v>
      </c>
      <c r="P145" s="3" t="str">
        <f>IFERROR(MID(VLOOKUP($B145,Seqs!$A:$B,2,0),Q145,1),"")</f>
        <v>A</v>
      </c>
      <c r="Q145" s="3">
        <v>71</v>
      </c>
      <c r="R145" s="3" t="str">
        <f>IFERROR(MID(VLOOKUP($B145,Seqs!$A:$B,2,0),S145,1),"")</f>
        <v>L</v>
      </c>
      <c r="S145" s="3">
        <v>74</v>
      </c>
      <c r="T145" s="3" t="str">
        <f>IFERROR(MID(VLOOKUP($B145,Seqs!$A:$B,2,0),U145,1),"")</f>
        <v>P</v>
      </c>
      <c r="U145" s="3">
        <v>75</v>
      </c>
      <c r="V145" s="3" t="str">
        <f>IFERROR(MID(VLOOKUP($B145,Seqs!$A:$B,2,0),W145,1),"")</f>
        <v>F</v>
      </c>
      <c r="W145" s="3">
        <v>110</v>
      </c>
      <c r="X145" s="3" t="str">
        <f>IFERROR(MID(VLOOKUP($B145,Seqs!$A:$B,2,0),Y145,1),"")</f>
        <v>P</v>
      </c>
      <c r="Y145" s="3">
        <v>111</v>
      </c>
      <c r="Z145" s="3" t="str">
        <f>IFERROR(MID(VLOOKUP($B145,Seqs!$A:$B,2,0),AA145,1),"")</f>
        <v>R</v>
      </c>
      <c r="AA145" s="3">
        <v>118</v>
      </c>
      <c r="AB145" s="3" t="str">
        <f>IFERROR(MID(VLOOKUP($B145,Seqs!$A:$B,2,0),AC145,1),"")</f>
        <v>R</v>
      </c>
      <c r="AC145" s="9">
        <v>119</v>
      </c>
      <c r="AD145" s="3" t="str">
        <f>IFERROR(MID(VLOOKUP($B145,Seqs!$A:$B,2,0),AE145,1),"")</f>
        <v>A</v>
      </c>
      <c r="AE145" s="3">
        <v>146</v>
      </c>
      <c r="AF145" s="3" t="str">
        <f>IFERROR(MID(VLOOKUP($B145,Seqs!$A:$B,2,0),AG145,1),"")</f>
        <v>C</v>
      </c>
      <c r="AG145" s="3">
        <v>170</v>
      </c>
      <c r="AH145" s="3" t="str">
        <f>IFERROR(MID(VLOOKUP($B145,Seqs!$A:$B,2,0),AI145,1),"")</f>
        <v>E</v>
      </c>
      <c r="AI145" s="3">
        <v>172</v>
      </c>
      <c r="AJ145" s="3" t="str">
        <f>IFERROR(MID(VLOOKUP($B145,Seqs!$A:$B,2,0),AK145,1),"")</f>
        <v>D</v>
      </c>
      <c r="AK145" s="3">
        <v>175</v>
      </c>
      <c r="AL145" s="3" t="str">
        <f>IFERROR(MID(VLOOKUP($B145,Seqs!$A:$B,2,0),AM145,1),"")</f>
        <v>R</v>
      </c>
      <c r="AM145" s="3">
        <v>211</v>
      </c>
      <c r="AN145" s="3" t="str">
        <f>IFERROR(MID(VLOOKUP($B145,Seqs!$A:$B,2,0),AO145,1),"")</f>
        <v>R</v>
      </c>
      <c r="AO145" s="3">
        <v>217</v>
      </c>
      <c r="AP145" s="3" t="str">
        <f>IFERROR(MID(VLOOKUP($B145,Seqs!$A:$B,2,0),AQ145,1),"")</f>
        <v>Y</v>
      </c>
      <c r="AQ145" s="3">
        <v>250</v>
      </c>
      <c r="AR145" s="3" t="str">
        <f>IFERROR(MID(VLOOKUP($B145,Seqs!$A:$B,2,0),AS145,1),"")</f>
        <v>G</v>
      </c>
      <c r="AS145" s="3">
        <v>255</v>
      </c>
      <c r="AT145" s="3" t="str">
        <f>IFERROR(MID(VLOOKUP($B145,Seqs!$A:$B,2,0),AU145,1),"")</f>
        <v>L</v>
      </c>
      <c r="AU145" s="3">
        <v>279</v>
      </c>
      <c r="AV145" s="3" t="str">
        <f>IFERROR(MID(VLOOKUP($B145,Seqs!$A:$B,2,0),AW145,1),"")</f>
        <v>G</v>
      </c>
      <c r="AW145" s="3">
        <v>280</v>
      </c>
      <c r="AX145" s="3" t="str">
        <f>IFERROR(MID(VLOOKUP($B145,Seqs!$A:$B,2,0),AY145,1),"")</f>
        <v>Q</v>
      </c>
      <c r="AY145" s="3">
        <v>294</v>
      </c>
      <c r="AZ145" s="77" t="str">
        <f>VLOOKUP(B145,Classification!A:D,2,0)</f>
        <v>A</v>
      </c>
      <c r="BA145" s="94" t="str">
        <f>VLOOKUP(B145,Classification!A:D,4,0)</f>
        <v>Freefattyacid</v>
      </c>
      <c r="BB145" s="27" t="b">
        <f t="shared" si="168"/>
        <v>1</v>
      </c>
      <c r="BC145" s="23">
        <f t="shared" si="223"/>
        <v>256</v>
      </c>
      <c r="BD145" s="34" t="s">
        <v>1379</v>
      </c>
      <c r="BE145" s="3" t="s">
        <v>23</v>
      </c>
      <c r="BF145" s="119" t="s">
        <v>23</v>
      </c>
      <c r="BG145" s="49" t="s">
        <v>1379</v>
      </c>
      <c r="BH145" s="49" t="s">
        <v>1384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224"/>
        <v>4</v>
      </c>
      <c r="BW145" s="71" t="str">
        <f t="shared" si="225"/>
        <v>-</v>
      </c>
      <c r="BX145" s="72">
        <f t="shared" si="226"/>
        <v>39</v>
      </c>
      <c r="BY145" s="71">
        <f t="shared" si="227"/>
        <v>71</v>
      </c>
      <c r="BZ145" s="72">
        <f t="shared" si="228"/>
        <v>75</v>
      </c>
      <c r="CA145" s="71">
        <f t="shared" si="229"/>
        <v>111</v>
      </c>
      <c r="CB145" s="72">
        <f t="shared" si="230"/>
        <v>119</v>
      </c>
      <c r="CC145" s="71">
        <f t="shared" si="231"/>
        <v>170</v>
      </c>
      <c r="CD145" s="72">
        <f t="shared" si="232"/>
        <v>175</v>
      </c>
      <c r="CE145" s="71">
        <f t="shared" si="233"/>
        <v>217</v>
      </c>
      <c r="CF145" s="72">
        <f t="shared" si="234"/>
        <v>255</v>
      </c>
      <c r="CG145" s="71">
        <f t="shared" si="235"/>
        <v>280</v>
      </c>
      <c r="CH145" s="70">
        <f t="shared" si="236"/>
        <v>37</v>
      </c>
      <c r="CI145" s="71" t="str">
        <f t="shared" si="237"/>
        <v>-</v>
      </c>
      <c r="CJ145" s="72">
        <f t="shared" si="238"/>
        <v>69</v>
      </c>
      <c r="CK145" s="72">
        <f t="shared" si="239"/>
        <v>74</v>
      </c>
      <c r="CL145" s="72">
        <f t="shared" si="240"/>
        <v>110</v>
      </c>
      <c r="CM145" s="72">
        <f t="shared" si="241"/>
        <v>118</v>
      </c>
      <c r="CN145" s="72">
        <f t="shared" si="242"/>
        <v>146</v>
      </c>
      <c r="CO145" s="72">
        <f t="shared" si="243"/>
        <v>172</v>
      </c>
      <c r="CP145" s="72">
        <f t="shared" si="244"/>
        <v>211</v>
      </c>
      <c r="CQ145" s="72">
        <f t="shared" si="245"/>
        <v>250</v>
      </c>
      <c r="CR145" s="72">
        <f t="shared" si="246"/>
        <v>279</v>
      </c>
      <c r="CS145" s="72">
        <f t="shared" si="247"/>
        <v>294</v>
      </c>
      <c r="CT145" s="23" t="e">
        <f t="shared" si="248"/>
        <v>#VALUE!</v>
      </c>
    </row>
    <row r="146" spans="1:1029" x14ac:dyDescent="0.2">
      <c r="A146" s="3" t="str">
        <f t="shared" si="167"/>
        <v>ffar1_human_4PHU</v>
      </c>
      <c r="B146" s="3" t="s">
        <v>1173</v>
      </c>
      <c r="C146" s="3" t="s">
        <v>52</v>
      </c>
      <c r="D146" s="3" t="str">
        <f>IFERROR(MID(VLOOKUP($B146,Seqs!$A:$B,2,0),E146,1),"")</f>
        <v>P</v>
      </c>
      <c r="E146" s="3">
        <v>4</v>
      </c>
      <c r="F146" s="3" t="str">
        <f>IFERROR(MID(VLOOKUP($B146,Seqs!$A:$B,2,0),G146,1),"")</f>
        <v>R</v>
      </c>
      <c r="G146" s="3">
        <v>37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39</v>
      </c>
      <c r="N146" s="3" t="str">
        <f>IFERROR(MID(VLOOKUP($B146,Seqs!$A:$B,2,0),O146,1),"")</f>
        <v>S</v>
      </c>
      <c r="O146" s="3">
        <v>69</v>
      </c>
      <c r="P146" s="3" t="str">
        <f>IFERROR(MID(VLOOKUP($B146,Seqs!$A:$B,2,0),Q146,1),"")</f>
        <v>A</v>
      </c>
      <c r="Q146" s="3">
        <v>71</v>
      </c>
      <c r="R146" s="3" t="str">
        <f>IFERROR(MID(VLOOKUP($B146,Seqs!$A:$B,2,0),S146,1),"")</f>
        <v>L</v>
      </c>
      <c r="S146" s="3">
        <v>74</v>
      </c>
      <c r="T146" s="3" t="str">
        <f>IFERROR(MID(VLOOKUP($B146,Seqs!$A:$B,2,0),U146,1),"")</f>
        <v>P</v>
      </c>
      <c r="U146" s="3">
        <v>75</v>
      </c>
      <c r="V146" s="3" t="str">
        <f>IFERROR(MID(VLOOKUP($B146,Seqs!$A:$B,2,0),W146,1),"")</f>
        <v>F</v>
      </c>
      <c r="W146" s="3">
        <v>110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C</v>
      </c>
      <c r="AC146" s="9">
        <v>121</v>
      </c>
      <c r="AD146" s="3" t="str">
        <f>IFERROR(MID(VLOOKUP($B146,Seqs!$A:$B,2,0),AE146,1),"")</f>
        <v>A</v>
      </c>
      <c r="AE146" s="3">
        <v>146</v>
      </c>
      <c r="AF146" s="3" t="str">
        <f>IFERROR(MID(VLOOKUP($B146,Seqs!$A:$B,2,0),AG146,1),"")</f>
        <v>C</v>
      </c>
      <c r="AG146" s="3">
        <v>170</v>
      </c>
      <c r="AH146" s="3" t="str">
        <f>IFERROR(MID(VLOOKUP($B146,Seqs!$A:$B,2,0),AI146,1),"")</f>
        <v>E</v>
      </c>
      <c r="AI146" s="3">
        <v>172</v>
      </c>
      <c r="AJ146" s="3" t="str">
        <f>IFERROR(MID(VLOOKUP($B146,Seqs!$A:$B,2,0),AK146,1),"")</f>
        <v>D</v>
      </c>
      <c r="AK146" s="3">
        <v>175</v>
      </c>
      <c r="AL146" s="3" t="str">
        <f>IFERROR(MID(VLOOKUP($B146,Seqs!$A:$B,2,0),AM146,1),"")</f>
        <v>R</v>
      </c>
      <c r="AM146" s="3">
        <v>211</v>
      </c>
      <c r="AN146" s="3" t="str">
        <f>IFERROR(MID(VLOOKUP($B146,Seqs!$A:$B,2,0),AO146,1),"")</f>
        <v>L</v>
      </c>
      <c r="AO146" s="3">
        <v>214</v>
      </c>
      <c r="AP146" s="3" t="str">
        <f>IFERROR(MID(VLOOKUP($B146,Seqs!$A:$B,2,0),AQ146,1),"")</f>
        <v>Y</v>
      </c>
      <c r="AQ146" s="3">
        <v>250</v>
      </c>
      <c r="AR146" s="3" t="str">
        <f>IFERROR(MID(VLOOKUP($B146,Seqs!$A:$B,2,0),AS146,1),"")</f>
        <v>G</v>
      </c>
      <c r="AS146" s="3">
        <v>255</v>
      </c>
      <c r="AT146" s="3" t="str">
        <f>IFERROR(MID(VLOOKUP($B146,Seqs!$A:$B,2,0),AU146,1),"")</f>
        <v>T</v>
      </c>
      <c r="AU146" s="3">
        <v>276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Freefattyacid</v>
      </c>
      <c r="BB146" s="27" t="b">
        <f t="shared" si="168"/>
        <v>1</v>
      </c>
      <c r="BC146" s="23">
        <f t="shared" si="223"/>
        <v>233</v>
      </c>
      <c r="BD146" s="16" t="s">
        <v>23</v>
      </c>
      <c r="BE146" s="3" t="s">
        <v>1439</v>
      </c>
      <c r="BF146" s="119">
        <v>2.33</v>
      </c>
      <c r="BG146" s="49" t="s">
        <v>1384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224"/>
        <v>4</v>
      </c>
      <c r="BW146" s="71" t="str">
        <f t="shared" si="225"/>
        <v>-</v>
      </c>
      <c r="BX146" s="72">
        <f t="shared" si="226"/>
        <v>39</v>
      </c>
      <c r="BY146" s="71">
        <f t="shared" si="227"/>
        <v>71</v>
      </c>
      <c r="BZ146" s="72">
        <f t="shared" si="228"/>
        <v>75</v>
      </c>
      <c r="CA146" s="71" t="str">
        <f t="shared" si="229"/>
        <v>-</v>
      </c>
      <c r="CB146" s="72">
        <f t="shared" si="230"/>
        <v>121</v>
      </c>
      <c r="CC146" s="71">
        <f t="shared" si="231"/>
        <v>170</v>
      </c>
      <c r="CD146" s="72">
        <f t="shared" si="232"/>
        <v>175</v>
      </c>
      <c r="CE146" s="71">
        <f t="shared" si="233"/>
        <v>214</v>
      </c>
      <c r="CF146" s="72">
        <f t="shared" si="234"/>
        <v>255</v>
      </c>
      <c r="CG146" s="71" t="str">
        <f t="shared" si="235"/>
        <v>-</v>
      </c>
      <c r="CH146" s="70">
        <f t="shared" si="236"/>
        <v>37</v>
      </c>
      <c r="CI146" s="71" t="str">
        <f t="shared" si="237"/>
        <v>-</v>
      </c>
      <c r="CJ146" s="72">
        <f t="shared" si="238"/>
        <v>69</v>
      </c>
      <c r="CK146" s="72">
        <f t="shared" si="239"/>
        <v>74</v>
      </c>
      <c r="CL146" s="72">
        <f t="shared" si="240"/>
        <v>110</v>
      </c>
      <c r="CM146" s="72" t="str">
        <f t="shared" si="241"/>
        <v>-</v>
      </c>
      <c r="CN146" s="72">
        <f t="shared" si="242"/>
        <v>146</v>
      </c>
      <c r="CO146" s="72">
        <f t="shared" si="243"/>
        <v>172</v>
      </c>
      <c r="CP146" s="72">
        <f t="shared" si="244"/>
        <v>211</v>
      </c>
      <c r="CQ146" s="72">
        <f t="shared" si="245"/>
        <v>250</v>
      </c>
      <c r="CR146" s="72">
        <f t="shared" si="246"/>
        <v>276</v>
      </c>
      <c r="CS146" s="72" t="str">
        <f t="shared" si="247"/>
        <v>-</v>
      </c>
      <c r="CT146" s="23" t="e">
        <f t="shared" si="248"/>
        <v>#VALUE!</v>
      </c>
    </row>
    <row r="147" spans="1:1029" s="12" customFormat="1" x14ac:dyDescent="0.2">
      <c r="A147" s="9" t="str">
        <f>CONCATENATE(B147,"_",C147)</f>
        <v>ffar1_human_5KW2</v>
      </c>
      <c r="B147" s="9" t="s">
        <v>1173</v>
      </c>
      <c r="C147" s="9" t="s">
        <v>1506</v>
      </c>
      <c r="D147" s="9" t="str">
        <f>IFERROR(MID(VLOOKUP($B147,Seqs!$A:$B,2,0),E147,1),"")</f>
        <v>P</v>
      </c>
      <c r="E147" s="9">
        <v>4</v>
      </c>
      <c r="F147" s="9" t="str">
        <f>IFERROR(MID(VLOOKUP($B147,Seqs!$A:$B,2,0),G147,1),"")</f>
        <v>A</v>
      </c>
      <c r="G147" s="9">
        <v>32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T</v>
      </c>
      <c r="M147" s="9">
        <v>39</v>
      </c>
      <c r="N147" s="9" t="str">
        <f>IFERROR(MID(VLOOKUP($B147,Seqs!$A:$B,2,0),O147,1),"")</f>
        <v>S</v>
      </c>
      <c r="O147" s="9">
        <v>69</v>
      </c>
      <c r="P147" s="9" t="str">
        <f>IFERROR(MID(VLOOKUP($B147,Seqs!$A:$B,2,0),Q147,1),"")</f>
        <v>A</v>
      </c>
      <c r="Q147" s="9">
        <v>71</v>
      </c>
      <c r="R147" s="9" t="str">
        <f>IFERROR(MID(VLOOKUP($B147,Seqs!$A:$B,2,0),S147,1),"")</f>
        <v>L</v>
      </c>
      <c r="S147" s="9">
        <v>74</v>
      </c>
      <c r="T147" s="9" t="str">
        <f>IFERROR(MID(VLOOKUP($B147,Seqs!$A:$B,2,0),U147,1),"")</f>
        <v>P</v>
      </c>
      <c r="U147" s="9">
        <v>75</v>
      </c>
      <c r="V147" s="9" t="str">
        <f>IFERROR(MID(VLOOKUP($B147,Seqs!$A:$B,2,0),W147,1),"")</f>
        <v>F</v>
      </c>
      <c r="W147" s="9">
        <v>110</v>
      </c>
      <c r="X147" s="9" t="str">
        <f>IFERROR(MID(VLOOKUP($B147,Seqs!$A:$B,2,0),Y147,1),"")</f>
        <v>P</v>
      </c>
      <c r="Y147" s="9">
        <v>111</v>
      </c>
      <c r="Z147" s="9" t="str">
        <f>IFERROR(MID(VLOOKUP($B147,Seqs!$A:$B,2,0),AA147,1),"")</f>
        <v>R</v>
      </c>
      <c r="AA147" s="9">
        <v>118</v>
      </c>
      <c r="AB147" s="9" t="str">
        <f>IFERROR(MID(VLOOKUP($B147,Seqs!$A:$B,2,0),AC147,1),"")</f>
        <v>R</v>
      </c>
      <c r="AC147" s="9">
        <v>119</v>
      </c>
      <c r="AD147" s="9" t="str">
        <f>IFERROR(MID(VLOOKUP($B147,Seqs!$A:$B,2,0),AE147,1),"")</f>
        <v>E</v>
      </c>
      <c r="AE147" s="9">
        <v>145</v>
      </c>
      <c r="AF147" s="9" t="str">
        <f>IFERROR(MID(VLOOKUP($B147,Seqs!$A:$B,2,0),AG147,1),"")</f>
        <v>C</v>
      </c>
      <c r="AG147" s="9">
        <v>170</v>
      </c>
      <c r="AH147" s="9" t="str">
        <f>IFERROR(MID(VLOOKUP($B147,Seqs!$A:$B,2,0),AI147,1),"")</f>
        <v>E</v>
      </c>
      <c r="AI147" s="9">
        <v>172</v>
      </c>
      <c r="AJ147" s="9" t="str">
        <f>IFERROR(MID(VLOOKUP($B147,Seqs!$A:$B,2,0),AK147,1),"")</f>
        <v>G</v>
      </c>
      <c r="AK147" s="9">
        <v>180</v>
      </c>
      <c r="AL147" s="9" t="str">
        <f>IFERROR(MID(VLOOKUP($B147,Seqs!$A:$B,2,0),AM147,1),"")</f>
        <v>R</v>
      </c>
      <c r="AM147" s="9">
        <v>211</v>
      </c>
      <c r="AN147" s="9" t="str">
        <f>IFERROR(MID(VLOOKUP($B147,Seqs!$A:$B,2,0),AO147,1),"")</f>
        <v>T</v>
      </c>
      <c r="AO147" s="9">
        <v>215</v>
      </c>
      <c r="AP147" s="9" t="str">
        <f>IFERROR(MID(VLOOKUP($B147,Seqs!$A:$B,2,0),AQ147,1),"")</f>
        <v>L</v>
      </c>
      <c r="AQ147" s="9">
        <v>249</v>
      </c>
      <c r="AR147" s="9" t="str">
        <f>IFERROR(MID(VLOOKUP($B147,Seqs!$A:$B,2,0),AS147,1),"")</f>
        <v>G</v>
      </c>
      <c r="AS147" s="9">
        <v>254</v>
      </c>
      <c r="AT147" s="9" t="str">
        <f>IFERROR(MID(VLOOKUP($B147,Seqs!$A:$B,2,0),AU147,1),"")</f>
        <v>V</v>
      </c>
      <c r="AU147" s="9">
        <v>275</v>
      </c>
      <c r="AV147" s="9" t="str">
        <f>IFERROR(MID(VLOOKUP($B147,Seqs!$A:$B,2,0),AW147,1),"")</f>
        <v/>
      </c>
      <c r="AW147" s="9" t="s">
        <v>23</v>
      </c>
      <c r="AX147" s="9" t="str">
        <f>IFERROR(MID(VLOOKUP($B147,Seqs!$A:$B,2,0),AY147,1),"")</f>
        <v/>
      </c>
      <c r="AY147" s="9" t="s">
        <v>23</v>
      </c>
      <c r="AZ147" s="110" t="str">
        <f>VLOOKUP(B147,Classification!A:D,2,0)</f>
        <v>A</v>
      </c>
      <c r="BA147" s="98" t="str">
        <f>VLOOKUP(B147,Classification!A:D,4,0)</f>
        <v>Freefattyacid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229</v>
      </c>
      <c r="BD147" s="130" t="s">
        <v>23</v>
      </c>
      <c r="BE147" s="9" t="s">
        <v>1439</v>
      </c>
      <c r="BF147" s="120">
        <v>2.76</v>
      </c>
      <c r="BG147" s="51" t="s">
        <v>1</v>
      </c>
      <c r="BH147" s="51" t="s">
        <v>1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4</v>
      </c>
      <c r="BW147" s="113" t="str">
        <f>I147</f>
        <v>-</v>
      </c>
      <c r="BX147" s="114">
        <f>M147</f>
        <v>39</v>
      </c>
      <c r="BY147" s="113">
        <f>Q147</f>
        <v>71</v>
      </c>
      <c r="BZ147" s="114">
        <f>U147</f>
        <v>75</v>
      </c>
      <c r="CA147" s="113">
        <f>Y147</f>
        <v>111</v>
      </c>
      <c r="CB147" s="114">
        <f>AC147</f>
        <v>119</v>
      </c>
      <c r="CC147" s="113">
        <f>AG147</f>
        <v>170</v>
      </c>
      <c r="CD147" s="114">
        <f>AK147</f>
        <v>180</v>
      </c>
      <c r="CE147" s="113">
        <f>AO147</f>
        <v>215</v>
      </c>
      <c r="CF147" s="114">
        <f>AS147</f>
        <v>254</v>
      </c>
      <c r="CG147" s="113" t="str">
        <f>AW147</f>
        <v>-</v>
      </c>
      <c r="CH147" s="111">
        <f>G147</f>
        <v>32</v>
      </c>
      <c r="CI147" s="113" t="str">
        <f>K147</f>
        <v>-</v>
      </c>
      <c r="CJ147" s="114">
        <f>O147</f>
        <v>69</v>
      </c>
      <c r="CK147" s="114">
        <f>S147</f>
        <v>74</v>
      </c>
      <c r="CL147" s="114">
        <f>W147</f>
        <v>110</v>
      </c>
      <c r="CM147" s="114">
        <f>AA147</f>
        <v>118</v>
      </c>
      <c r="CN147" s="114">
        <f>AE147</f>
        <v>145</v>
      </c>
      <c r="CO147" s="114">
        <f>AI147</f>
        <v>172</v>
      </c>
      <c r="CP147" s="114">
        <f>AM147</f>
        <v>211</v>
      </c>
      <c r="CQ147" s="114">
        <f>AQ147</f>
        <v>249</v>
      </c>
      <c r="CR147" s="114">
        <f>AU147</f>
        <v>275</v>
      </c>
      <c r="CS147" s="114" t="str">
        <f>AY147</f>
        <v>-</v>
      </c>
      <c r="CT147" s="109" t="e">
        <f>M147-K147</f>
        <v>#VALUE!</v>
      </c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  <c r="ZX147" s="9"/>
      <c r="ZY147" s="9"/>
      <c r="ZZ147" s="9"/>
      <c r="AAA147" s="9"/>
      <c r="AAB147" s="9"/>
      <c r="AAC147" s="9"/>
      <c r="AAD147" s="9"/>
      <c r="AAE147" s="9"/>
      <c r="AAF147" s="9"/>
      <c r="AAG147" s="9"/>
      <c r="AAH147" s="9"/>
      <c r="AAI147" s="9"/>
      <c r="AAJ147" s="9"/>
      <c r="AAK147" s="9"/>
      <c r="AAL147" s="9"/>
      <c r="AAM147" s="9"/>
      <c r="AAN147" s="9"/>
      <c r="AAO147" s="9"/>
      <c r="AAP147" s="9"/>
      <c r="AAQ147" s="9"/>
      <c r="AAR147" s="9"/>
      <c r="AAS147" s="9"/>
      <c r="AAT147" s="9"/>
      <c r="AAU147" s="9"/>
      <c r="AAV147" s="9"/>
      <c r="AAW147" s="9"/>
      <c r="AAX147" s="9"/>
      <c r="AAY147" s="9"/>
      <c r="AAZ147" s="9"/>
      <c r="ABA147" s="9"/>
      <c r="ABB147" s="9"/>
      <c r="ABC147" s="9"/>
      <c r="ABD147" s="9"/>
      <c r="ABE147" s="9"/>
      <c r="ABF147" s="9"/>
      <c r="ABG147" s="9"/>
      <c r="ABH147" s="9"/>
      <c r="ABI147" s="9"/>
      <c r="ABJ147" s="9"/>
      <c r="ABK147" s="9"/>
      <c r="ABL147" s="9"/>
      <c r="ABM147" s="9"/>
      <c r="ABN147" s="9"/>
      <c r="ABO147" s="9"/>
      <c r="ABP147" s="9"/>
      <c r="ABQ147" s="9"/>
      <c r="ABR147" s="9"/>
      <c r="ABS147" s="9"/>
      <c r="ABT147" s="9"/>
      <c r="ABU147" s="9"/>
      <c r="ABV147" s="9"/>
      <c r="ABW147" s="9"/>
      <c r="ABX147" s="9"/>
      <c r="ABY147" s="9"/>
      <c r="ABZ147" s="9"/>
      <c r="ACA147" s="9"/>
      <c r="ACB147" s="9"/>
      <c r="ACC147" s="9"/>
      <c r="ACD147" s="9"/>
      <c r="ACE147" s="9"/>
      <c r="ACF147" s="9"/>
      <c r="ACG147" s="9"/>
      <c r="ACH147" s="9"/>
      <c r="ACI147" s="9"/>
      <c r="ACJ147" s="9"/>
      <c r="ACK147" s="9"/>
      <c r="ACL147" s="9"/>
      <c r="ACM147" s="9"/>
      <c r="ACN147" s="9"/>
      <c r="ACO147" s="9"/>
      <c r="ACP147" s="9"/>
      <c r="ACQ147" s="9"/>
      <c r="ACR147" s="9"/>
      <c r="ACS147" s="9"/>
      <c r="ACT147" s="9"/>
      <c r="ACU147" s="9"/>
      <c r="ACV147" s="9"/>
      <c r="ACW147" s="9"/>
      <c r="ACX147" s="9"/>
      <c r="ACY147" s="9"/>
      <c r="ACZ147" s="9"/>
      <c r="ADA147" s="9"/>
      <c r="ADB147" s="9"/>
      <c r="ADC147" s="9"/>
      <c r="ADD147" s="9"/>
      <c r="ADE147" s="9"/>
      <c r="ADF147" s="9"/>
      <c r="ADG147" s="9"/>
      <c r="ADH147" s="9"/>
      <c r="ADI147" s="9"/>
      <c r="ADJ147" s="9"/>
      <c r="ADK147" s="9"/>
      <c r="ADL147" s="9"/>
      <c r="ADM147" s="9"/>
      <c r="ADN147" s="9"/>
      <c r="ADO147" s="9"/>
      <c r="ADP147" s="9"/>
      <c r="ADQ147" s="9"/>
      <c r="ADR147" s="9"/>
      <c r="ADS147" s="9"/>
      <c r="ADT147" s="9"/>
      <c r="ADU147" s="9"/>
      <c r="ADV147" s="9"/>
      <c r="ADW147" s="9"/>
      <c r="ADX147" s="9"/>
      <c r="ADY147" s="9"/>
      <c r="ADZ147" s="9"/>
      <c r="AEA147" s="9"/>
      <c r="AEB147" s="9"/>
      <c r="AEC147" s="9"/>
      <c r="AED147" s="9"/>
      <c r="AEE147" s="9"/>
      <c r="AEF147" s="9"/>
      <c r="AEG147" s="9"/>
      <c r="AEH147" s="9"/>
      <c r="AEI147" s="9"/>
      <c r="AEJ147" s="9"/>
      <c r="AEK147" s="9"/>
      <c r="AEL147" s="9"/>
      <c r="AEM147" s="9"/>
      <c r="AEN147" s="9"/>
      <c r="AEO147" s="9"/>
      <c r="AEP147" s="9"/>
      <c r="AEQ147" s="9"/>
      <c r="AER147" s="9"/>
      <c r="AES147" s="9"/>
      <c r="AET147" s="9"/>
      <c r="AEU147" s="9"/>
      <c r="AEV147" s="9"/>
      <c r="AEW147" s="9"/>
      <c r="AEX147" s="9"/>
      <c r="AEY147" s="9"/>
      <c r="AEZ147" s="9"/>
      <c r="AFA147" s="9"/>
      <c r="AFB147" s="9"/>
      <c r="AFC147" s="9"/>
      <c r="AFD147" s="9"/>
      <c r="AFE147" s="9"/>
      <c r="AFF147" s="9"/>
      <c r="AFG147" s="9"/>
      <c r="AFH147" s="9"/>
      <c r="AFI147" s="9"/>
      <c r="AFJ147" s="9"/>
      <c r="AFK147" s="9"/>
      <c r="AFL147" s="9"/>
      <c r="AFM147" s="9"/>
      <c r="AFN147" s="9"/>
      <c r="AFO147" s="9"/>
      <c r="AFP147" s="9"/>
      <c r="AFQ147" s="9"/>
      <c r="AFR147" s="9"/>
      <c r="AFS147" s="9"/>
      <c r="AFT147" s="9"/>
      <c r="AFU147" s="9"/>
      <c r="AFV147" s="9"/>
      <c r="AFW147" s="9"/>
      <c r="AFX147" s="9"/>
      <c r="AFY147" s="9"/>
      <c r="AFZ147" s="9"/>
      <c r="AGA147" s="9"/>
      <c r="AGB147" s="9"/>
      <c r="AGC147" s="9"/>
      <c r="AGD147" s="9"/>
      <c r="AGE147" s="9"/>
      <c r="AGF147" s="9"/>
      <c r="AGG147" s="9"/>
      <c r="AGH147" s="9"/>
      <c r="AGI147" s="9"/>
      <c r="AGJ147" s="9"/>
      <c r="AGK147" s="9"/>
      <c r="AGL147" s="9"/>
      <c r="AGM147" s="9"/>
      <c r="AGN147" s="9"/>
      <c r="AGO147" s="9"/>
      <c r="AGP147" s="9"/>
      <c r="AGQ147" s="9"/>
      <c r="AGR147" s="9"/>
      <c r="AGS147" s="9"/>
      <c r="AGT147" s="9"/>
      <c r="AGU147" s="9"/>
      <c r="AGV147" s="9"/>
      <c r="AGW147" s="9"/>
      <c r="AGX147" s="9"/>
      <c r="AGY147" s="9"/>
      <c r="AGZ147" s="9"/>
      <c r="AHA147" s="9"/>
      <c r="AHB147" s="9"/>
      <c r="AHC147" s="9"/>
      <c r="AHD147" s="9"/>
      <c r="AHE147" s="9"/>
      <c r="AHF147" s="9"/>
      <c r="AHG147" s="9"/>
      <c r="AHH147" s="9"/>
      <c r="AHI147" s="9"/>
      <c r="AHJ147" s="9"/>
      <c r="AHK147" s="9"/>
      <c r="AHL147" s="9"/>
      <c r="AHM147" s="9"/>
      <c r="AHN147" s="9"/>
      <c r="AHO147" s="9"/>
      <c r="AHP147" s="9"/>
      <c r="AHQ147" s="9"/>
      <c r="AHR147" s="9"/>
      <c r="AHS147" s="9"/>
      <c r="AHT147" s="9"/>
      <c r="AHU147" s="9"/>
      <c r="AHV147" s="9"/>
      <c r="AHW147" s="9"/>
      <c r="AHX147" s="9"/>
      <c r="AHY147" s="9"/>
      <c r="AHZ147" s="9"/>
      <c r="AIA147" s="9"/>
      <c r="AIB147" s="9"/>
      <c r="AIC147" s="9"/>
      <c r="AID147" s="9"/>
      <c r="AIE147" s="9"/>
      <c r="AIF147" s="9"/>
      <c r="AIG147" s="9"/>
      <c r="AIH147" s="9"/>
      <c r="AII147" s="9"/>
      <c r="AIJ147" s="9"/>
      <c r="AIK147" s="9"/>
      <c r="AIL147" s="9"/>
      <c r="AIM147" s="9"/>
      <c r="AIN147" s="9"/>
      <c r="AIO147" s="9"/>
      <c r="AIP147" s="9"/>
      <c r="AIQ147" s="9"/>
      <c r="AIR147" s="9"/>
      <c r="AIS147" s="9"/>
      <c r="AIT147" s="9"/>
      <c r="AIU147" s="9"/>
      <c r="AIV147" s="9"/>
      <c r="AIW147" s="9"/>
      <c r="AIX147" s="9"/>
      <c r="AIY147" s="9"/>
      <c r="AIZ147" s="9"/>
      <c r="AJA147" s="9"/>
      <c r="AJB147" s="9"/>
      <c r="AJC147" s="9"/>
      <c r="AJD147" s="9"/>
      <c r="AJE147" s="9"/>
      <c r="AJF147" s="9"/>
      <c r="AJG147" s="9"/>
      <c r="AJH147" s="9"/>
      <c r="AJI147" s="9"/>
      <c r="AJJ147" s="9"/>
      <c r="AJK147" s="9"/>
      <c r="AJL147" s="9"/>
      <c r="AJM147" s="9"/>
      <c r="AJN147" s="9"/>
      <c r="AJO147" s="9"/>
      <c r="AJP147" s="9"/>
      <c r="AJQ147" s="9"/>
      <c r="AJR147" s="9"/>
      <c r="AJS147" s="9"/>
      <c r="AJT147" s="9"/>
      <c r="AJU147" s="9"/>
      <c r="AJV147" s="9"/>
      <c r="AJW147" s="9"/>
      <c r="AJX147" s="9"/>
      <c r="AJY147" s="9"/>
      <c r="AJZ147" s="9"/>
      <c r="AKA147" s="9"/>
      <c r="AKB147" s="9"/>
      <c r="AKC147" s="9"/>
      <c r="AKD147" s="9"/>
      <c r="AKE147" s="9"/>
      <c r="AKF147" s="9"/>
      <c r="AKG147" s="9"/>
      <c r="AKH147" s="9"/>
      <c r="AKI147" s="9"/>
      <c r="AKJ147" s="9"/>
      <c r="AKK147" s="9"/>
      <c r="AKL147" s="9"/>
      <c r="AKM147" s="9"/>
      <c r="AKN147" s="9"/>
      <c r="AKO147" s="9"/>
      <c r="AKP147" s="9"/>
      <c r="AKQ147" s="9"/>
      <c r="AKR147" s="9"/>
      <c r="AKS147" s="9"/>
      <c r="AKT147" s="9"/>
      <c r="AKU147" s="9"/>
      <c r="AKV147" s="9"/>
      <c r="AKW147" s="9"/>
      <c r="AKX147" s="9"/>
      <c r="AKY147" s="9"/>
      <c r="AKZ147" s="9"/>
      <c r="ALA147" s="9"/>
      <c r="ALB147" s="9"/>
      <c r="ALC147" s="9"/>
      <c r="ALD147" s="9"/>
      <c r="ALE147" s="9"/>
      <c r="ALF147" s="9"/>
      <c r="ALG147" s="9"/>
      <c r="ALH147" s="9"/>
      <c r="ALI147" s="9"/>
      <c r="ALJ147" s="9"/>
      <c r="ALK147" s="9"/>
      <c r="ALL147" s="9"/>
      <c r="ALM147" s="9"/>
      <c r="ALN147" s="9"/>
      <c r="ALO147" s="9"/>
      <c r="ALP147" s="9"/>
      <c r="ALQ147" s="9"/>
      <c r="ALR147" s="9"/>
      <c r="ALS147" s="9"/>
      <c r="ALT147" s="9"/>
      <c r="ALU147" s="9"/>
      <c r="ALV147" s="9"/>
      <c r="ALW147" s="9"/>
      <c r="ALX147" s="9"/>
      <c r="ALY147" s="9"/>
      <c r="ALZ147" s="9"/>
      <c r="AMA147" s="9"/>
      <c r="AMB147" s="9"/>
      <c r="AMC147" s="9"/>
      <c r="AMD147" s="9"/>
      <c r="AME147" s="9"/>
      <c r="AMF147" s="9"/>
      <c r="AMG147" s="9"/>
      <c r="AMH147" s="9"/>
      <c r="AMI147" s="9"/>
      <c r="AMJ147" s="9"/>
      <c r="AMK147" s="9"/>
      <c r="AML147" s="9"/>
      <c r="AMM147" s="9"/>
      <c r="AMN147" s="9"/>
      <c r="AMO147" s="9"/>
    </row>
    <row r="148" spans="1:1029" x14ac:dyDescent="0.2">
      <c r="A148" s="3" t="str">
        <f>CONCATENATE(B148,"_",C148)</f>
        <v>ffar1_human_5TZR</v>
      </c>
      <c r="B148" s="3" t="s">
        <v>1173</v>
      </c>
      <c r="C148" s="3" t="s">
        <v>1426</v>
      </c>
      <c r="D148" s="3" t="str">
        <f>IFERROR(MID(VLOOKUP($B148,Seqs!$A:$B,2,0),E148,1),"")</f>
        <v>P</v>
      </c>
      <c r="E148" s="3">
        <v>4</v>
      </c>
      <c r="F148" s="3" t="str">
        <f>IFERROR(MID(VLOOKUP($B148,Seqs!$A:$B,2,0),G148,1),"")</f>
        <v>R</v>
      </c>
      <c r="G148" s="3">
        <v>37</v>
      </c>
      <c r="H148" s="3" t="str">
        <f>IFERROR(MID(VLOOKUP($B148,Seqs!$A:$B,2,0),I148,1),"")</f>
        <v/>
      </c>
      <c r="I148" s="23" t="s">
        <v>23</v>
      </c>
      <c r="J148" s="3" t="str">
        <f>IFERROR(MID(VLOOKUP($B148,Seqs!$A:$B,2,0),K148,1),"")</f>
        <v/>
      </c>
      <c r="K148" s="23" t="s">
        <v>23</v>
      </c>
      <c r="L148" s="3" t="str">
        <f>IFERROR(MID(VLOOKUP($B148,Seqs!$A:$B,2,0),M148,1),"")</f>
        <v>T</v>
      </c>
      <c r="M148" s="3">
        <v>39</v>
      </c>
      <c r="N148" s="3" t="str">
        <f>IFERROR(MID(VLOOKUP($B148,Seqs!$A:$B,2,0),O148,1),"")</f>
        <v>S</v>
      </c>
      <c r="O148" s="3">
        <v>69</v>
      </c>
      <c r="P148" s="3" t="str">
        <f>IFERROR(MID(VLOOKUP($B148,Seqs!$A:$B,2,0),Q148,1),"")</f>
        <v>A</v>
      </c>
      <c r="Q148" s="3">
        <v>71</v>
      </c>
      <c r="R148" s="3" t="str">
        <f>IFERROR(MID(VLOOKUP($B148,Seqs!$A:$B,2,0),S148,1),"")</f>
        <v>L</v>
      </c>
      <c r="S148" s="3">
        <v>74</v>
      </c>
      <c r="T148" s="3" t="str">
        <f>IFERROR(MID(VLOOKUP($B148,Seqs!$A:$B,2,0),U148,1),"")</f>
        <v>P</v>
      </c>
      <c r="U148" s="3">
        <v>75</v>
      </c>
      <c r="V148" s="3" t="str">
        <f>IFERROR(MID(VLOOKUP($B148,Seqs!$A:$B,2,0),W148,1),"")</f>
        <v>F</v>
      </c>
      <c r="W148" s="3">
        <v>110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C</v>
      </c>
      <c r="AC148" s="3">
        <v>121</v>
      </c>
      <c r="AD148" s="3" t="str">
        <f>IFERROR(MID(VLOOKUP($B148,Seqs!$A:$B,2,0),AE148,1),"")</f>
        <v>A</v>
      </c>
      <c r="AE148" s="3">
        <v>146</v>
      </c>
      <c r="AF148" s="3" t="str">
        <f>IFERROR(MID(VLOOKUP($B148,Seqs!$A:$B,2,0),AG148,1),"")</f>
        <v>C</v>
      </c>
      <c r="AG148" s="3">
        <v>170</v>
      </c>
      <c r="AH148" s="3" t="str">
        <f>IFERROR(MID(VLOOKUP($B148,Seqs!$A:$B,2,0),AI148,1),"")</f>
        <v>E</v>
      </c>
      <c r="AI148" s="3">
        <v>172</v>
      </c>
      <c r="AJ148" s="3" t="str">
        <f>IFERROR(MID(VLOOKUP($B148,Seqs!$A:$B,2,0),AK148,1),"")</f>
        <v>D</v>
      </c>
      <c r="AK148" s="3">
        <v>175</v>
      </c>
      <c r="AL148" s="3" t="str">
        <f>IFERROR(MID(VLOOKUP($B148,Seqs!$A:$B,2,0),AM148,1),"")</f>
        <v>R</v>
      </c>
      <c r="AM148" s="3">
        <v>211</v>
      </c>
      <c r="AN148" s="3" t="str">
        <f>IFERROR(MID(VLOOKUP($B148,Seqs!$A:$B,2,0),AO148,1),"")</f>
        <v>L</v>
      </c>
      <c r="AO148" s="3">
        <v>214</v>
      </c>
      <c r="AP148" s="3" t="str">
        <f>IFERROR(MID(VLOOKUP($B148,Seqs!$A:$B,2,0),AQ148,1),"")</f>
        <v>Y</v>
      </c>
      <c r="AQ148" s="3">
        <v>250</v>
      </c>
      <c r="AR148" s="3" t="str">
        <f>IFERROR(MID(VLOOKUP($B148,Seqs!$A:$B,2,0),AS148,1),"")</f>
        <v>G</v>
      </c>
      <c r="AS148" s="3">
        <v>255</v>
      </c>
      <c r="AT148" s="3" t="str">
        <f>IFERROR(MID(VLOOKUP($B148,Seqs!$A:$B,2,0),AU148,1),"")</f>
        <v>T</v>
      </c>
      <c r="AU148" s="3">
        <v>276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Freefattyacid</v>
      </c>
      <c r="BB148" s="27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>_xlfn.AGGREGATE(9,6,CH148:CS148)-_xlfn.AGGREGATE(9,6,BV148:CG148)+12</f>
        <v>233</v>
      </c>
      <c r="BD148" s="16" t="s">
        <v>23</v>
      </c>
      <c r="BE148" s="3" t="s">
        <v>1439</v>
      </c>
      <c r="BF148" s="119">
        <v>2.2000000000000002</v>
      </c>
      <c r="BG148" s="49" t="s">
        <v>1</v>
      </c>
      <c r="BH148" s="49" t="s">
        <v>1</v>
      </c>
      <c r="BI148" s="1"/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>E148</f>
        <v>4</v>
      </c>
      <c r="BW148" s="71" t="str">
        <f>I148</f>
        <v>-</v>
      </c>
      <c r="BX148" s="72">
        <f>M148</f>
        <v>39</v>
      </c>
      <c r="BY148" s="71">
        <f>Q148</f>
        <v>71</v>
      </c>
      <c r="BZ148" s="72">
        <f>U148</f>
        <v>75</v>
      </c>
      <c r="CA148" s="71" t="str">
        <f>Y148</f>
        <v>-</v>
      </c>
      <c r="CB148" s="72">
        <f>AC148</f>
        <v>121</v>
      </c>
      <c r="CC148" s="71">
        <f>AG148</f>
        <v>170</v>
      </c>
      <c r="CD148" s="72">
        <f>AK148</f>
        <v>175</v>
      </c>
      <c r="CE148" s="71">
        <f>AO148</f>
        <v>214</v>
      </c>
      <c r="CF148" s="72">
        <f>AS148</f>
        <v>255</v>
      </c>
      <c r="CG148" s="71" t="str">
        <f>AW148</f>
        <v>-</v>
      </c>
      <c r="CH148" s="70">
        <f>G148</f>
        <v>37</v>
      </c>
      <c r="CI148" s="71" t="str">
        <f>K148</f>
        <v>-</v>
      </c>
      <c r="CJ148" s="72">
        <f>O148</f>
        <v>69</v>
      </c>
      <c r="CK148" s="72">
        <f>S148</f>
        <v>74</v>
      </c>
      <c r="CL148" s="72">
        <f>W148</f>
        <v>110</v>
      </c>
      <c r="CM148" s="72" t="str">
        <f>AA148</f>
        <v>-</v>
      </c>
      <c r="CN148" s="72">
        <f>AE148</f>
        <v>146</v>
      </c>
      <c r="CO148" s="72">
        <f>AI148</f>
        <v>172</v>
      </c>
      <c r="CP148" s="72">
        <f>AM148</f>
        <v>211</v>
      </c>
      <c r="CQ148" s="72">
        <f>AQ148</f>
        <v>250</v>
      </c>
      <c r="CR148" s="72">
        <f>AU148</f>
        <v>276</v>
      </c>
      <c r="CS148" s="72" t="str">
        <f>AY148</f>
        <v>-</v>
      </c>
      <c r="CT148" s="23" t="e">
        <f>M148-K148</f>
        <v>#VALUE!</v>
      </c>
    </row>
    <row r="149" spans="1:1029" x14ac:dyDescent="0.2">
      <c r="A149" s="3" t="str">
        <f>CONCATENATE(B149,"_",C149)</f>
        <v>ffar1_human_5TZY</v>
      </c>
      <c r="B149" s="3" t="s">
        <v>1173</v>
      </c>
      <c r="C149" s="3" t="s">
        <v>1427</v>
      </c>
      <c r="D149" s="3" t="str">
        <f>IFERROR(MID(VLOOKUP($B149,Seqs!$A:$B,2,0),E149,1),"")</f>
        <v>P</v>
      </c>
      <c r="E149" s="3">
        <v>4</v>
      </c>
      <c r="F149" s="3" t="str">
        <f>IFERROR(MID(VLOOKUP($B149,Seqs!$A:$B,2,0),G149,1),"")</f>
        <v>R</v>
      </c>
      <c r="G149" s="3">
        <v>37</v>
      </c>
      <c r="H149" s="3" t="str">
        <f>IFERROR(MID(VLOOKUP($B149,Seqs!$A:$B,2,0),I149,1),"")</f>
        <v/>
      </c>
      <c r="I149" s="23" t="s">
        <v>23</v>
      </c>
      <c r="J149" s="3" t="str">
        <f>IFERROR(MID(VLOOKUP($B149,Seqs!$A:$B,2,0),K149,1),"")</f>
        <v/>
      </c>
      <c r="K149" s="23" t="s">
        <v>23</v>
      </c>
      <c r="L149" s="3" t="str">
        <f>IFERROR(MID(VLOOKUP($B149,Seqs!$A:$B,2,0),M149,1),"")</f>
        <v>T</v>
      </c>
      <c r="M149" s="3">
        <v>39</v>
      </c>
      <c r="N149" s="3" t="str">
        <f>IFERROR(MID(VLOOKUP($B149,Seqs!$A:$B,2,0),O149,1),"")</f>
        <v>A</v>
      </c>
      <c r="O149" s="3">
        <v>68</v>
      </c>
      <c r="P149" s="3" t="str">
        <f>IFERROR(MID(VLOOKUP($B149,Seqs!$A:$B,2,0),Q149,1),"")</f>
        <v>A</v>
      </c>
      <c r="Q149" s="3">
        <v>71</v>
      </c>
      <c r="R149" s="3" t="str">
        <f>IFERROR(MID(VLOOKUP($B149,Seqs!$A:$B,2,0),S149,1),"")</f>
        <v>L</v>
      </c>
      <c r="S149" s="3">
        <v>74</v>
      </c>
      <c r="T149" s="3" t="str">
        <f>IFERROR(MID(VLOOKUP($B149,Seqs!$A:$B,2,0),U149,1),"")</f>
        <v>P</v>
      </c>
      <c r="U149" s="3">
        <v>75</v>
      </c>
      <c r="V149" s="3" t="str">
        <f>IFERROR(MID(VLOOKUP($B149,Seqs!$A:$B,2,0),W149,1),"")</f>
        <v>F</v>
      </c>
      <c r="W149" s="3">
        <v>110</v>
      </c>
      <c r="X149" s="3" t="str">
        <f>IFERROR(MID(VLOOKUP($B149,Seqs!$A:$B,2,0),Y149,1),"")</f>
        <v>P</v>
      </c>
      <c r="Y149" s="3">
        <v>111</v>
      </c>
      <c r="Z149" s="3" t="str">
        <f>IFERROR(MID(VLOOKUP($B149,Seqs!$A:$B,2,0),AA149,1),"")</f>
        <v>R</v>
      </c>
      <c r="AA149" s="3">
        <v>118</v>
      </c>
      <c r="AB149" s="3" t="str">
        <f>IFERROR(MID(VLOOKUP($B149,Seqs!$A:$B,2,0),AC149,1),"")</f>
        <v>R</v>
      </c>
      <c r="AC149" s="3">
        <v>119</v>
      </c>
      <c r="AD149" s="3" t="str">
        <f>IFERROR(MID(VLOOKUP($B149,Seqs!$A:$B,2,0),AE149,1),"")</f>
        <v>A</v>
      </c>
      <c r="AE149" s="3">
        <v>146</v>
      </c>
      <c r="AF149" s="3" t="str">
        <f>IFERROR(MID(VLOOKUP($B149,Seqs!$A:$B,2,0),AG149,1),"")</f>
        <v>C</v>
      </c>
      <c r="AG149" s="3">
        <v>170</v>
      </c>
      <c r="AH149" s="3" t="str">
        <f>IFERROR(MID(VLOOKUP($B149,Seqs!$A:$B,2,0),AI149,1),"")</f>
        <v>E</v>
      </c>
      <c r="AI149" s="3">
        <v>172</v>
      </c>
      <c r="AJ149" s="3" t="str">
        <f>IFERROR(MID(VLOOKUP($B149,Seqs!$A:$B,2,0),AK149,1),"")</f>
        <v>D</v>
      </c>
      <c r="AK149" s="3">
        <v>175</v>
      </c>
      <c r="AL149" s="3" t="str">
        <f>IFERROR(MID(VLOOKUP($B149,Seqs!$A:$B,2,0),AM149,1),"")</f>
        <v>R</v>
      </c>
      <c r="AM149" s="3">
        <v>211</v>
      </c>
      <c r="AN149" s="3" t="str">
        <f>IFERROR(MID(VLOOKUP($B149,Seqs!$A:$B,2,0),AO149,1),"")</f>
        <v>T</v>
      </c>
      <c r="AO149" s="3">
        <v>215</v>
      </c>
      <c r="AP149" s="3" t="str">
        <f>IFERROR(MID(VLOOKUP($B149,Seqs!$A:$B,2,0),AQ149,1),"")</f>
        <v>Y</v>
      </c>
      <c r="AQ149" s="3">
        <v>250</v>
      </c>
      <c r="AR149" s="3" t="str">
        <f>IFERROR(MID(VLOOKUP($B149,Seqs!$A:$B,2,0),AS149,1),"")</f>
        <v>G</v>
      </c>
      <c r="AS149" s="3">
        <v>254</v>
      </c>
      <c r="AT149" s="3" t="str">
        <f>IFERROR(MID(VLOOKUP($B149,Seqs!$A:$B,2,0),AU149,1),"")</f>
        <v>G</v>
      </c>
      <c r="AU149" s="3">
        <v>277</v>
      </c>
      <c r="AV149" s="3" t="str">
        <f>IFERROR(MID(VLOOKUP($B149,Seqs!$A:$B,2,0),AW149,1),"")</f>
        <v/>
      </c>
      <c r="AW149" s="3" t="s">
        <v>23</v>
      </c>
      <c r="AX149" s="3" t="str">
        <f>IFERROR(MID(VLOOKUP($B149,Seqs!$A:$B,2,0),AY149,1),"")</f>
        <v/>
      </c>
      <c r="AY149" s="3" t="s">
        <v>23</v>
      </c>
      <c r="AZ149" s="77" t="str">
        <f>VLOOKUP(B149,Classification!A:D,2,0)</f>
        <v>A</v>
      </c>
      <c r="BA149" s="94" t="str">
        <f>VLOOKUP(B149,Classification!A:D,4,0)</f>
        <v>Freefattyacid</v>
      </c>
      <c r="BB149" s="27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23">
        <f>_xlfn.AGGREGATE(9,6,CH149:CS149)-_xlfn.AGGREGATE(9,6,BV149:CG149)+12</f>
        <v>242</v>
      </c>
      <c r="BD149" s="16" t="s">
        <v>1440</v>
      </c>
      <c r="BE149" s="3" t="s">
        <v>1439</v>
      </c>
      <c r="BF149" s="119">
        <v>3.22</v>
      </c>
      <c r="BG149" s="49" t="s">
        <v>1</v>
      </c>
      <c r="BH149" s="49" t="s">
        <v>1</v>
      </c>
      <c r="BI149" s="1"/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>E149</f>
        <v>4</v>
      </c>
      <c r="BW149" s="71" t="str">
        <f>I149</f>
        <v>-</v>
      </c>
      <c r="BX149" s="72">
        <f>M149</f>
        <v>39</v>
      </c>
      <c r="BY149" s="71">
        <f>Q149</f>
        <v>71</v>
      </c>
      <c r="BZ149" s="72">
        <f>U149</f>
        <v>75</v>
      </c>
      <c r="CA149" s="71">
        <f>Y149</f>
        <v>111</v>
      </c>
      <c r="CB149" s="72">
        <f>AC149</f>
        <v>119</v>
      </c>
      <c r="CC149" s="71">
        <f>AG149</f>
        <v>170</v>
      </c>
      <c r="CD149" s="72">
        <f>AK149</f>
        <v>175</v>
      </c>
      <c r="CE149" s="71">
        <f>AO149</f>
        <v>215</v>
      </c>
      <c r="CF149" s="72">
        <f>AS149</f>
        <v>254</v>
      </c>
      <c r="CG149" s="71" t="str">
        <f>AW149</f>
        <v>-</v>
      </c>
      <c r="CH149" s="70">
        <f>G149</f>
        <v>37</v>
      </c>
      <c r="CI149" s="71" t="str">
        <f>K149</f>
        <v>-</v>
      </c>
      <c r="CJ149" s="72">
        <f>O149</f>
        <v>68</v>
      </c>
      <c r="CK149" s="72">
        <f>S149</f>
        <v>74</v>
      </c>
      <c r="CL149" s="72">
        <f>W149</f>
        <v>110</v>
      </c>
      <c r="CM149" s="72">
        <f>AA149</f>
        <v>118</v>
      </c>
      <c r="CN149" s="72">
        <f>AE149</f>
        <v>146</v>
      </c>
      <c r="CO149" s="72">
        <f>AI149</f>
        <v>172</v>
      </c>
      <c r="CP149" s="72">
        <f>AM149</f>
        <v>211</v>
      </c>
      <c r="CQ149" s="72">
        <f>AQ149</f>
        <v>250</v>
      </c>
      <c r="CR149" s="72">
        <f>AU149</f>
        <v>277</v>
      </c>
      <c r="CS149" s="72" t="str">
        <f>AY149</f>
        <v>-</v>
      </c>
      <c r="CT149" s="23" t="e">
        <f>M149-K149</f>
        <v>#VALUE!</v>
      </c>
    </row>
    <row r="150" spans="1:1029" x14ac:dyDescent="0.2">
      <c r="A150" s="3" t="str">
        <f t="shared" si="167"/>
        <v>hrh1_human__wt</v>
      </c>
      <c r="B150" s="3" t="s">
        <v>278</v>
      </c>
      <c r="C150" s="3" t="s">
        <v>100</v>
      </c>
      <c r="D150" s="3" t="str">
        <f>IFERROR(MID(VLOOKUP($B150,Seqs!$A:$B,2,0),E150,1),"")</f>
        <v>P</v>
      </c>
      <c r="E150" s="3">
        <v>29</v>
      </c>
      <c r="F150" s="3" t="str">
        <f>IFERROR(MID(VLOOKUP($B150,Seqs!$A:$B,2,0),G150,1),"")</f>
        <v>E</v>
      </c>
      <c r="G150" s="3">
        <v>55</v>
      </c>
      <c r="H150" s="3" t="str">
        <f>IFERROR(MID(VLOOKUP($B150,Seqs!$A:$B,2,0),I150,1),"")</f>
        <v>R</v>
      </c>
      <c r="I150" s="23">
        <v>56</v>
      </c>
      <c r="J150" s="3" t="str">
        <f>IFERROR(MID(VLOOKUP($B150,Seqs!$A:$B,2,0),K150,1),"")</f>
        <v>H</v>
      </c>
      <c r="K150" s="23">
        <v>59</v>
      </c>
      <c r="L150" s="3" t="str">
        <f>IFERROR(MID(VLOOKUP($B150,Seqs!$A:$B,2,0),M150,1),"")</f>
        <v>T</v>
      </c>
      <c r="M150" s="3">
        <v>60</v>
      </c>
      <c r="N150" s="3" t="str">
        <f>IFERROR(MID(VLOOKUP($B150,Seqs!$A:$B,2,0),O150,1),"")</f>
        <v>M</v>
      </c>
      <c r="O150" s="3">
        <v>90</v>
      </c>
      <c r="P150" s="3" t="str">
        <f>IFERROR(MID(VLOOKUP($B150,Seqs!$A:$B,2,0),Q150,1),"")</f>
        <v>K</v>
      </c>
      <c r="Q150" s="3">
        <v>92</v>
      </c>
      <c r="R150" s="3" t="str">
        <f>IFERROR(MID(VLOOKUP($B150,Seqs!$A:$B,2,0),S150,1),"")</f>
        <v>L</v>
      </c>
      <c r="S150" s="3">
        <v>95</v>
      </c>
      <c r="T150" s="3" t="str">
        <f>IFERROR(MID(VLOOKUP($B150,Seqs!$A:$B,2,0),U150,1),"")</f>
        <v>G</v>
      </c>
      <c r="U150" s="3">
        <v>96</v>
      </c>
      <c r="V150" s="3" t="str">
        <f>IFERROR(MID(VLOOKUP($B150,Seqs!$A:$B,2,0),W150,1),"")</f>
        <v>Q</v>
      </c>
      <c r="W150" s="3">
        <v>131</v>
      </c>
      <c r="X150" s="3" t="str">
        <f>IFERROR(MID(VLOOKUP($B150,Seqs!$A:$B,2,0),Y150,1),"")</f>
        <v>P</v>
      </c>
      <c r="Y150" s="3">
        <v>132</v>
      </c>
      <c r="Z150" s="3" t="str">
        <f>IFERROR(MID(VLOOKUP($B150,Seqs!$A:$B,2,0),AA150,1),"")</f>
        <v>R</v>
      </c>
      <c r="AA150" s="3">
        <v>139</v>
      </c>
      <c r="AB150" s="3" t="str">
        <f>IFERROR(MID(VLOOKUP($B150,Seqs!$A:$B,2,0),AC150,1),"")</f>
        <v>T</v>
      </c>
      <c r="AC150" s="9">
        <v>140</v>
      </c>
      <c r="AD150" s="3" t="str">
        <f>IFERROR(MID(VLOOKUP($B150,Seqs!$A:$B,2,0),AE150,1),"")</f>
        <v>G</v>
      </c>
      <c r="AE150" s="3">
        <v>164</v>
      </c>
      <c r="AF150" s="3" t="str">
        <f>IFERROR(MID(VLOOKUP($B150,Seqs!$A:$B,2,0),AG150,1),"")</f>
        <v>C</v>
      </c>
      <c r="AG150" s="3">
        <v>180</v>
      </c>
      <c r="AH150" s="3" t="str">
        <f>IFERROR(MID(VLOOKUP($B150,Seqs!$A:$B,2,0),AI150,1),"")</f>
        <v>T</v>
      </c>
      <c r="AI150" s="3">
        <v>182</v>
      </c>
      <c r="AJ150" s="3" t="str">
        <f>IFERROR(MID(VLOOKUP($B150,Seqs!$A:$B,2,0),AK150,1),"")</f>
        <v>V</v>
      </c>
      <c r="AK150" s="3">
        <v>187</v>
      </c>
      <c r="AL150" s="3" t="str">
        <f>IFERROR(MID(VLOOKUP($B150,Seqs!$A:$B,2,0),AM150,1),"")</f>
        <v>N</v>
      </c>
      <c r="AM150" s="3">
        <v>228</v>
      </c>
      <c r="AN150" s="3" t="str">
        <f>IFERROR(MID(VLOOKUP($B150,Seqs!$A:$B,2,0),AO150,1),"")</f>
        <v>G</v>
      </c>
      <c r="AO150" s="3">
        <v>404</v>
      </c>
      <c r="AP150" s="3" t="str">
        <f>IFERROR(MID(VLOOKUP($B150,Seqs!$A:$B,2,0),AQ150,1),"")</f>
        <v>C</v>
      </c>
      <c r="AQ150" s="3">
        <v>441</v>
      </c>
      <c r="AR150" s="3" t="str">
        <f>IFERROR(MID(VLOOKUP($B150,Seqs!$A:$B,2,0),AS150,1),"")</f>
        <v>N</v>
      </c>
      <c r="AS150" s="3">
        <v>446</v>
      </c>
      <c r="AT150" s="3" t="str">
        <f>IFERROR(MID(VLOOKUP($B150,Seqs!$A:$B,2,0),AU150,1),"")</f>
        <v>C</v>
      </c>
      <c r="AU150" s="3">
        <v>471</v>
      </c>
      <c r="AV150" s="3" t="str">
        <f>IFERROR(MID(VLOOKUP($B150,Seqs!$A:$B,2,0),AW150,1),"")</f>
        <v>N</v>
      </c>
      <c r="AW150" s="3">
        <v>472</v>
      </c>
      <c r="AX150" s="3" t="str">
        <f>IFERROR(MID(VLOOKUP($B150,Seqs!$A:$B,2,0),AY150,1),"")</f>
        <v>H</v>
      </c>
      <c r="AY150" s="3">
        <v>484</v>
      </c>
      <c r="AZ150" s="77" t="str">
        <f>VLOOKUP(B150,Classification!A:D,2,0)</f>
        <v>A</v>
      </c>
      <c r="BA150" s="94" t="str">
        <f>VLOOKUP(B150,Classification!A:D,4,0)</f>
        <v>Histamine</v>
      </c>
      <c r="BB150" s="27" t="b">
        <f t="shared" si="168"/>
        <v>1</v>
      </c>
      <c r="BC150" s="23">
        <f t="shared" si="223"/>
        <v>257</v>
      </c>
      <c r="BD150" s="34" t="s">
        <v>1379</v>
      </c>
      <c r="BE150" s="3" t="s">
        <v>23</v>
      </c>
      <c r="BF150" s="119" t="s">
        <v>23</v>
      </c>
      <c r="BG150" s="49" t="s">
        <v>1379</v>
      </c>
      <c r="BH150" s="49" t="s">
        <v>1384</v>
      </c>
      <c r="BI150" s="1"/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si="224"/>
        <v>29</v>
      </c>
      <c r="BW150" s="71">
        <f t="shared" si="225"/>
        <v>56</v>
      </c>
      <c r="BX150" s="72">
        <f t="shared" si="226"/>
        <v>60</v>
      </c>
      <c r="BY150" s="71">
        <f t="shared" si="227"/>
        <v>92</v>
      </c>
      <c r="BZ150" s="72">
        <f t="shared" si="228"/>
        <v>96</v>
      </c>
      <c r="CA150" s="71">
        <f t="shared" si="229"/>
        <v>132</v>
      </c>
      <c r="CB150" s="72">
        <f t="shared" si="230"/>
        <v>140</v>
      </c>
      <c r="CC150" s="71">
        <f t="shared" si="231"/>
        <v>180</v>
      </c>
      <c r="CD150" s="72">
        <f t="shared" si="232"/>
        <v>187</v>
      </c>
      <c r="CE150" s="71">
        <f t="shared" si="233"/>
        <v>404</v>
      </c>
      <c r="CF150" s="72">
        <f t="shared" si="234"/>
        <v>446</v>
      </c>
      <c r="CG150" s="71">
        <f t="shared" si="235"/>
        <v>472</v>
      </c>
      <c r="CH150" s="70">
        <f t="shared" si="236"/>
        <v>55</v>
      </c>
      <c r="CI150" s="71">
        <f t="shared" si="237"/>
        <v>59</v>
      </c>
      <c r="CJ150" s="72">
        <f t="shared" si="238"/>
        <v>90</v>
      </c>
      <c r="CK150" s="72">
        <f t="shared" si="239"/>
        <v>95</v>
      </c>
      <c r="CL150" s="72">
        <f t="shared" si="240"/>
        <v>131</v>
      </c>
      <c r="CM150" s="72">
        <f t="shared" si="241"/>
        <v>139</v>
      </c>
      <c r="CN150" s="72">
        <f t="shared" si="242"/>
        <v>164</v>
      </c>
      <c r="CO150" s="72">
        <f t="shared" si="243"/>
        <v>182</v>
      </c>
      <c r="CP150" s="72">
        <f t="shared" si="244"/>
        <v>228</v>
      </c>
      <c r="CQ150" s="72">
        <f t="shared" si="245"/>
        <v>441</v>
      </c>
      <c r="CR150" s="72">
        <f t="shared" si="246"/>
        <v>471</v>
      </c>
      <c r="CS150" s="72">
        <f t="shared" si="247"/>
        <v>484</v>
      </c>
      <c r="CT150" s="23">
        <f t="shared" si="248"/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67"/>
        <v>hrh1_human_3RZE</v>
      </c>
      <c r="B151" s="3" t="s">
        <v>278</v>
      </c>
      <c r="C151" s="3" t="s">
        <v>73</v>
      </c>
      <c r="D151" s="3" t="str">
        <f>IFERROR(MID(VLOOKUP($B151,Seqs!$A:$B,2,0),E151,1),"")</f>
        <v>V</v>
      </c>
      <c r="E151" s="3">
        <v>33</v>
      </c>
      <c r="F151" s="3" t="str">
        <f>IFERROR(MID(VLOOKUP($B151,Seqs!$A:$B,2,0),G151,1),"")</f>
        <v>E</v>
      </c>
      <c r="G151" s="3">
        <v>55</v>
      </c>
      <c r="H151" s="3" t="str">
        <f>IFERROR(MID(VLOOKUP($B151,Seqs!$A:$B,2,0),I151,1),"")</f>
        <v>R</v>
      </c>
      <c r="I151" s="23">
        <v>56</v>
      </c>
      <c r="J151" s="3" t="str">
        <f>IFERROR(MID(VLOOKUP($B151,Seqs!$A:$B,2,0),K151,1),"")</f>
        <v>H</v>
      </c>
      <c r="K151" s="23">
        <v>59</v>
      </c>
      <c r="L151" s="3" t="str">
        <f>IFERROR(MID(VLOOKUP($B151,Seqs!$A:$B,2,0),M151,1),"")</f>
        <v>T</v>
      </c>
      <c r="M151" s="3">
        <v>60</v>
      </c>
      <c r="N151" s="3" t="str">
        <f>IFERROR(MID(VLOOKUP($B151,Seqs!$A:$B,2,0),O151,1),"")</f>
        <v>M</v>
      </c>
      <c r="O151" s="3">
        <v>90</v>
      </c>
      <c r="P151" s="3" t="str">
        <f>IFERROR(MID(VLOOKUP($B151,Seqs!$A:$B,2,0),Q151,1),"")</f>
        <v>K</v>
      </c>
      <c r="Q151" s="3">
        <v>92</v>
      </c>
      <c r="R151" s="3" t="str">
        <f>IFERROR(MID(VLOOKUP($B151,Seqs!$A:$B,2,0),S151,1),"")</f>
        <v>L</v>
      </c>
      <c r="S151" s="3">
        <v>95</v>
      </c>
      <c r="T151" s="3" t="str">
        <f>IFERROR(MID(VLOOKUP($B151,Seqs!$A:$B,2,0),U151,1),"")</f>
        <v>G</v>
      </c>
      <c r="U151" s="3">
        <v>96</v>
      </c>
      <c r="V151" s="3" t="str">
        <f>IFERROR(MID(VLOOKUP($B151,Seqs!$A:$B,2,0),W151,1),"")</f>
        <v>Q</v>
      </c>
      <c r="W151" s="3">
        <v>131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9">
        <v>140</v>
      </c>
      <c r="AD151" s="3" t="str">
        <f>IFERROR(MID(VLOOKUP($B151,Seqs!$A:$B,2,0),AE151,1),"")</f>
        <v>G</v>
      </c>
      <c r="AE151" s="3">
        <v>164</v>
      </c>
      <c r="AF151" s="3" t="str">
        <f>IFERROR(MID(VLOOKUP($B151,Seqs!$A:$B,2,0),AG151,1),"")</f>
        <v>C</v>
      </c>
      <c r="AG151" s="3">
        <v>180</v>
      </c>
      <c r="AH151" s="3" t="str">
        <f>IFERROR(MID(VLOOKUP($B151,Seqs!$A:$B,2,0),AI151,1),"")</f>
        <v>T</v>
      </c>
      <c r="AI151" s="3">
        <v>182</v>
      </c>
      <c r="AJ151" s="3" t="str">
        <f>IFERROR(MID(VLOOKUP($B151,Seqs!$A:$B,2,0),AK151,1),"")</f>
        <v>V</v>
      </c>
      <c r="AK151" s="3">
        <v>187</v>
      </c>
      <c r="AL151" s="3" t="str">
        <f>IFERROR(MID(VLOOKUP($B151,Seqs!$A:$B,2,0),AM151,1),"")</f>
        <v>V</v>
      </c>
      <c r="AM151" s="3">
        <v>217</v>
      </c>
      <c r="AN151" s="3" t="str">
        <f>IFERROR(MID(VLOOKUP($B151,Seqs!$A:$B,2,0),AO151,1),"")</f>
        <v>N</v>
      </c>
      <c r="AO151" s="3">
        <v>408</v>
      </c>
      <c r="AP151" s="3" t="str">
        <f>IFERROR(MID(VLOOKUP($B151,Seqs!$A:$B,2,0),AQ151,1),"")</f>
        <v>C</v>
      </c>
      <c r="AQ151" s="3">
        <v>441</v>
      </c>
      <c r="AR151" s="3" t="str">
        <f>IFERROR(MID(VLOOKUP($B151,Seqs!$A:$B,2,0),AS151,1),"")</f>
        <v>N</v>
      </c>
      <c r="AS151" s="3">
        <v>446</v>
      </c>
      <c r="AT151" s="3" t="str">
        <f>IFERROR(MID(VLOOKUP($B151,Seqs!$A:$B,2,0),AU151,1),"")</f>
        <v>C</v>
      </c>
      <c r="AU151" s="3">
        <v>471</v>
      </c>
      <c r="AV151" s="3" t="str">
        <f>IFERROR(MID(VLOOKUP($B151,Seqs!$A:$B,2,0),AW151,1),"")</f>
        <v>N</v>
      </c>
      <c r="AW151" s="3">
        <v>472</v>
      </c>
      <c r="AX151" s="3" t="str">
        <f>IFERROR(MID(VLOOKUP($B151,Seqs!$A:$B,2,0),AY151,1),"")</f>
        <v>H</v>
      </c>
      <c r="AY151" s="3">
        <v>484</v>
      </c>
      <c r="AZ151" s="77" t="str">
        <f>VLOOKUP(B151,Classification!A:D,2,0)</f>
        <v>A</v>
      </c>
      <c r="BA151" s="94" t="str">
        <f>VLOOKUP(B151,Classification!A:D,4,0)</f>
        <v>Histamine</v>
      </c>
      <c r="BB151" s="27" t="b">
        <f t="shared" si="168"/>
        <v>1</v>
      </c>
      <c r="BC151" s="23">
        <f t="shared" si="223"/>
        <v>231</v>
      </c>
      <c r="BD151" s="16" t="s">
        <v>1383</v>
      </c>
      <c r="BE151" s="3" t="s">
        <v>1381</v>
      </c>
      <c r="BF151" s="119">
        <v>3.1</v>
      </c>
      <c r="BG151" s="49" t="s">
        <v>1384</v>
      </c>
      <c r="BH151" s="49" t="s">
        <v>1384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224"/>
        <v>33</v>
      </c>
      <c r="BW151" s="71">
        <f t="shared" si="225"/>
        <v>56</v>
      </c>
      <c r="BX151" s="72">
        <f t="shared" si="226"/>
        <v>60</v>
      </c>
      <c r="BY151" s="71">
        <f t="shared" si="227"/>
        <v>92</v>
      </c>
      <c r="BZ151" s="72">
        <f t="shared" si="228"/>
        <v>96</v>
      </c>
      <c r="CA151" s="71" t="str">
        <f t="shared" si="229"/>
        <v>-</v>
      </c>
      <c r="CB151" s="72">
        <f t="shared" si="230"/>
        <v>140</v>
      </c>
      <c r="CC151" s="71">
        <f t="shared" si="231"/>
        <v>180</v>
      </c>
      <c r="CD151" s="72">
        <f t="shared" si="232"/>
        <v>187</v>
      </c>
      <c r="CE151" s="71">
        <f t="shared" si="233"/>
        <v>408</v>
      </c>
      <c r="CF151" s="72">
        <f t="shared" si="234"/>
        <v>446</v>
      </c>
      <c r="CG151" s="71">
        <f t="shared" si="235"/>
        <v>472</v>
      </c>
      <c r="CH151" s="70">
        <f t="shared" si="236"/>
        <v>55</v>
      </c>
      <c r="CI151" s="71">
        <f t="shared" si="237"/>
        <v>59</v>
      </c>
      <c r="CJ151" s="72">
        <f t="shared" si="238"/>
        <v>90</v>
      </c>
      <c r="CK151" s="72">
        <f t="shared" si="239"/>
        <v>95</v>
      </c>
      <c r="CL151" s="72">
        <f t="shared" si="240"/>
        <v>131</v>
      </c>
      <c r="CM151" s="72" t="str">
        <f t="shared" si="241"/>
        <v>-</v>
      </c>
      <c r="CN151" s="72">
        <f t="shared" si="242"/>
        <v>164</v>
      </c>
      <c r="CO151" s="72">
        <f t="shared" si="243"/>
        <v>182</v>
      </c>
      <c r="CP151" s="72">
        <f t="shared" si="244"/>
        <v>217</v>
      </c>
      <c r="CQ151" s="72">
        <f t="shared" si="245"/>
        <v>441</v>
      </c>
      <c r="CR151" s="72">
        <f t="shared" si="246"/>
        <v>471</v>
      </c>
      <c r="CS151" s="72">
        <f t="shared" si="247"/>
        <v>484</v>
      </c>
      <c r="CT151" s="23">
        <f t="shared" si="248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ref="A152:A190" si="249">CONCATENATE(B152,"_",C152)</f>
        <v>lpar1_human__wt</v>
      </c>
      <c r="B152" s="3" t="s">
        <v>103</v>
      </c>
      <c r="C152" s="3" t="s">
        <v>100</v>
      </c>
      <c r="D152" s="3" t="str">
        <f>IFERROR(MID(VLOOKUP($B152,Seqs!$A:$B,2,0),E152,1),"")</f>
        <v>T</v>
      </c>
      <c r="E152" s="3">
        <v>47</v>
      </c>
      <c r="F152" s="3" t="str">
        <f>IFERROR(MID(VLOOKUP($B152,Seqs!$A:$B,2,0),G152,1),"")</f>
        <v>N</v>
      </c>
      <c r="G152" s="3">
        <v>77</v>
      </c>
      <c r="H152" s="3" t="str">
        <f>IFERROR(MID(VLOOKUP($B152,Seqs!$A:$B,2,0),I152,1),"")</f>
        <v>R</v>
      </c>
      <c r="I152" s="23">
        <v>78</v>
      </c>
      <c r="J152" s="3" t="str">
        <f>IFERROR(MID(VLOOKUP($B152,Seqs!$A:$B,2,0),K152,1),"")</f>
        <v>H</v>
      </c>
      <c r="K152" s="23">
        <v>81</v>
      </c>
      <c r="L152" s="3" t="str">
        <f>IFERROR(MID(VLOOKUP($B152,Seqs!$A:$B,2,0),M152,1),"")</f>
        <v>F</v>
      </c>
      <c r="M152" s="3">
        <v>82</v>
      </c>
      <c r="N152" s="3" t="str">
        <f>IFERROR(MID(VLOOKUP($B152,Seqs!$A:$B,2,0),O152,1),"")</f>
        <v>N</v>
      </c>
      <c r="O152" s="3">
        <v>108</v>
      </c>
      <c r="P152" s="3" t="str">
        <f>IFERROR(MID(VLOOKUP($B152,Seqs!$A:$B,2,0),Q152,1),"")</f>
        <v>G</v>
      </c>
      <c r="Q152" s="3">
        <v>110</v>
      </c>
      <c r="R152" s="3" t="str">
        <f>IFERROR(MID(VLOOKUP($B152,Seqs!$A:$B,2,0),S152,1),"")</f>
        <v>L</v>
      </c>
      <c r="S152" s="3">
        <v>116</v>
      </c>
      <c r="T152" s="3" t="str">
        <f>IFERROR(MID(VLOOKUP($B152,Seqs!$A:$B,2,0),U152,1),"")</f>
        <v>T</v>
      </c>
      <c r="U152" s="3">
        <v>117</v>
      </c>
      <c r="V152" s="3" t="str">
        <f>IFERROR(MID(VLOOKUP($B152,Seqs!$A:$B,2,0),W152,1),"")</f>
        <v>R</v>
      </c>
      <c r="W152" s="3">
        <v>152</v>
      </c>
      <c r="X152" s="3" t="str">
        <f>IFERROR(MID(VLOOKUP($B152,Seqs!$A:$B,2,0),Y152,1),"")</f>
        <v>M</v>
      </c>
      <c r="Y152" s="105">
        <v>153</v>
      </c>
      <c r="Z152" s="3" t="str">
        <f>IFERROR(MID(VLOOKUP($B152,Seqs!$A:$B,2,0),AA152,1),"")</f>
        <v>M</v>
      </c>
      <c r="AA152" s="105">
        <v>159</v>
      </c>
      <c r="AB152" s="3" t="str">
        <f>IFERROR(MID(VLOOKUP($B152,Seqs!$A:$B,2,0),AC152,1),"")</f>
        <v>S</v>
      </c>
      <c r="AC152" s="105">
        <v>160</v>
      </c>
      <c r="AD152" s="3" t="str">
        <f>IFERROR(MID(VLOOKUP($B152,Seqs!$A:$B,2,0),AE152,1),"")</f>
        <v>G</v>
      </c>
      <c r="AE152" s="3">
        <v>185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>S</v>
      </c>
      <c r="AK152" s="3">
        <v>203</v>
      </c>
      <c r="AL152" s="3" t="str">
        <f>IFERROR(MID(VLOOKUP($B152,Seqs!$A:$B,2,0),AM152,1),"")</f>
        <v>S</v>
      </c>
      <c r="AM152" s="3">
        <v>240</v>
      </c>
      <c r="AN152" s="3" t="str">
        <f>IFERROR(MID(VLOOKUP($B152,Seqs!$A:$B,2,0),AO152,1),"")</f>
        <v>G</v>
      </c>
      <c r="AO152" s="3">
        <v>245</v>
      </c>
      <c r="AP152" s="3" t="str">
        <f>IFERROR(MID(VLOOKUP($B152,Seqs!$A:$B,2,0),AQ152,1),"")</f>
        <v>C</v>
      </c>
      <c r="AQ152" s="3">
        <v>284</v>
      </c>
      <c r="AR152" s="3" t="str">
        <f>IFERROR(MID(VLOOKUP($B152,Seqs!$A:$B,2,0),AS152,1),"")</f>
        <v>D</v>
      </c>
      <c r="AS152" s="3">
        <v>288</v>
      </c>
      <c r="AT152" s="3" t="str">
        <f>IFERROR(MID(VLOOKUP($B152,Seqs!$A:$B,2,0),AU152,1),"")</f>
        <v>R</v>
      </c>
      <c r="AU152" s="3">
        <v>314</v>
      </c>
      <c r="AV152" s="3" t="str">
        <f>IFERROR(MID(VLOOKUP($B152,Seqs!$A:$B,2,0),AW152,1),"")</f>
        <v>D</v>
      </c>
      <c r="AW152" s="3">
        <v>315</v>
      </c>
      <c r="AX152" s="3" t="str">
        <f>IFERROR(MID(VLOOKUP($B152,Seqs!$A:$B,2,0),AY152,1),"")</f>
        <v>C</v>
      </c>
      <c r="AY152" s="3">
        <v>327</v>
      </c>
      <c r="AZ152" s="77" t="str">
        <f>VLOOKUP(B152,Classification!A:D,2,0)</f>
        <v>A</v>
      </c>
      <c r="BA152" s="94" t="str">
        <f>VLOOKUP(B152,Classification!A:D,4,0)</f>
        <v>Lysophospholipid(LPA)</v>
      </c>
      <c r="BB152" s="27" t="b">
        <f t="shared" ref="BB152:BB190" si="250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23">
        <f t="shared" si="223"/>
        <v>257</v>
      </c>
      <c r="BD152" s="56" t="s">
        <v>1379</v>
      </c>
      <c r="BE152" s="3" t="s">
        <v>23</v>
      </c>
      <c r="BF152" s="119" t="s">
        <v>23</v>
      </c>
      <c r="BG152" s="49" t="s">
        <v>1379</v>
      </c>
      <c r="BH152" s="49" t="s">
        <v>1384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224"/>
        <v>47</v>
      </c>
      <c r="BW152" s="71">
        <f t="shared" si="225"/>
        <v>78</v>
      </c>
      <c r="BX152" s="72">
        <f t="shared" si="226"/>
        <v>82</v>
      </c>
      <c r="BY152" s="71">
        <f t="shared" si="227"/>
        <v>110</v>
      </c>
      <c r="BZ152" s="72">
        <f t="shared" si="228"/>
        <v>117</v>
      </c>
      <c r="CA152" s="71">
        <f t="shared" si="229"/>
        <v>153</v>
      </c>
      <c r="CB152" s="72">
        <f t="shared" si="230"/>
        <v>160</v>
      </c>
      <c r="CC152" s="71" t="str">
        <f t="shared" si="231"/>
        <v>-</v>
      </c>
      <c r="CD152" s="72">
        <f t="shared" si="232"/>
        <v>203</v>
      </c>
      <c r="CE152" s="71">
        <f t="shared" si="233"/>
        <v>245</v>
      </c>
      <c r="CF152" s="72">
        <f t="shared" si="234"/>
        <v>288</v>
      </c>
      <c r="CG152" s="71">
        <f t="shared" si="235"/>
        <v>315</v>
      </c>
      <c r="CH152" s="70">
        <f t="shared" si="236"/>
        <v>77</v>
      </c>
      <c r="CI152" s="71">
        <f t="shared" si="237"/>
        <v>81</v>
      </c>
      <c r="CJ152" s="72">
        <f t="shared" si="238"/>
        <v>108</v>
      </c>
      <c r="CK152" s="72">
        <f t="shared" si="239"/>
        <v>116</v>
      </c>
      <c r="CL152" s="72">
        <f t="shared" si="240"/>
        <v>152</v>
      </c>
      <c r="CM152" s="72">
        <f t="shared" si="241"/>
        <v>159</v>
      </c>
      <c r="CN152" s="72">
        <f t="shared" si="242"/>
        <v>185</v>
      </c>
      <c r="CO152" s="72" t="str">
        <f t="shared" si="243"/>
        <v>-</v>
      </c>
      <c r="CP152" s="72">
        <f t="shared" si="244"/>
        <v>240</v>
      </c>
      <c r="CQ152" s="72">
        <f t="shared" si="245"/>
        <v>284</v>
      </c>
      <c r="CR152" s="72">
        <f t="shared" si="246"/>
        <v>314</v>
      </c>
      <c r="CS152" s="72">
        <f t="shared" si="247"/>
        <v>327</v>
      </c>
      <c r="CT152" s="23">
        <f t="shared" si="248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249"/>
        <v>lpar1_human_4Z34</v>
      </c>
      <c r="B153" s="3" t="s">
        <v>103</v>
      </c>
      <c r="C153" s="3" t="s">
        <v>1057</v>
      </c>
      <c r="D153" s="3" t="str">
        <f>IFERROR(MID(VLOOKUP($B153,Seqs!$A:$B,2,0),E153,1),"")</f>
        <v>T</v>
      </c>
      <c r="E153" s="3">
        <v>47</v>
      </c>
      <c r="F153" s="3" t="str">
        <f>IFERROR(MID(VLOOKUP($B153,Seqs!$A:$B,2,0),G153,1),"")</f>
        <v>N</v>
      </c>
      <c r="G153" s="3">
        <v>77</v>
      </c>
      <c r="H153" s="3" t="str">
        <f>IFERROR(MID(VLOOKUP($B153,Seqs!$A:$B,2,0),I153,1),"")</f>
        <v>R</v>
      </c>
      <c r="I153" s="23">
        <v>78</v>
      </c>
      <c r="J153" s="3" t="str">
        <f>IFERROR(MID(VLOOKUP($B153,Seqs!$A:$B,2,0),K153,1),"")</f>
        <v>H</v>
      </c>
      <c r="K153" s="23">
        <v>81</v>
      </c>
      <c r="L153" s="3" t="str">
        <f>IFERROR(MID(VLOOKUP($B153,Seqs!$A:$B,2,0),M153,1),"")</f>
        <v>F</v>
      </c>
      <c r="M153" s="3">
        <v>82</v>
      </c>
      <c r="N153" s="3" t="str">
        <f>IFERROR(MID(VLOOKUP($B153,Seqs!$A:$B,2,0),O153,1),"")</f>
        <v>N</v>
      </c>
      <c r="O153" s="3">
        <v>108</v>
      </c>
      <c r="P153" s="3" t="str">
        <f>IFERROR(MID(VLOOKUP($B153,Seqs!$A:$B,2,0),Q153,1),"")</f>
        <v>G</v>
      </c>
      <c r="Q153" s="3">
        <v>110</v>
      </c>
      <c r="R153" s="3" t="str">
        <f>IFERROR(MID(VLOOKUP($B153,Seqs!$A:$B,2,0),S153,1),"")</f>
        <v>L</v>
      </c>
      <c r="S153" s="3">
        <v>116</v>
      </c>
      <c r="T153" s="3" t="str">
        <f>IFERROR(MID(VLOOKUP($B153,Seqs!$A:$B,2,0),U153,1),"")</f>
        <v>T</v>
      </c>
      <c r="U153" s="3">
        <v>117</v>
      </c>
      <c r="V153" s="3" t="str">
        <f>IFERROR(MID(VLOOKUP($B153,Seqs!$A:$B,2,0),W153,1),"")</f>
        <v>R</v>
      </c>
      <c r="W153" s="3">
        <v>152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9">
        <v>157</v>
      </c>
      <c r="AD153" s="3" t="str">
        <f>IFERROR(MID(VLOOKUP($B153,Seqs!$A:$B,2,0),AE153,1),"")</f>
        <v>G</v>
      </c>
      <c r="AE153" s="3">
        <v>185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S</v>
      </c>
      <c r="AK153" s="3">
        <v>203</v>
      </c>
      <c r="AL153" s="3" t="str">
        <f>IFERROR(MID(VLOOKUP($B153,Seqs!$A:$B,2,0),AM153,1),"")</f>
        <v>R</v>
      </c>
      <c r="AM153" s="3">
        <v>235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C</v>
      </c>
      <c r="AQ153" s="3">
        <v>284</v>
      </c>
      <c r="AR153" s="3" t="str">
        <f>IFERROR(MID(VLOOKUP($B153,Seqs!$A:$B,2,0),AS153,1),"")</f>
        <v>E</v>
      </c>
      <c r="AS153" s="3">
        <v>293</v>
      </c>
      <c r="AT153" s="3" t="str">
        <f>IFERROR(MID(VLOOKUP($B153,Seqs!$A:$B,2,0),AU153,1),"")</f>
        <v>R</v>
      </c>
      <c r="AU153" s="3">
        <v>314</v>
      </c>
      <c r="AV153" s="3" t="str">
        <f>IFERROR(MID(VLOOKUP($B153,Seqs!$A:$B,2,0),AW153,1),"")</f>
        <v>D</v>
      </c>
      <c r="AW153" s="3">
        <v>315</v>
      </c>
      <c r="AX153" s="3" t="str">
        <f>IFERROR(MID(VLOOKUP($B153,Seqs!$A:$B,2,0),AY153,1),"")</f>
        <v>C</v>
      </c>
      <c r="AY153" s="3">
        <v>327</v>
      </c>
      <c r="AZ153" s="77" t="str">
        <f>VLOOKUP(B153,Classification!A:D,2,0)</f>
        <v>A</v>
      </c>
      <c r="BA153" s="94" t="str">
        <f>VLOOKUP(B153,Classification!A:D,4,0)</f>
        <v>Lysophospholipid(LPA)</v>
      </c>
      <c r="BB153" s="27" t="b">
        <f t="shared" si="250"/>
        <v>1</v>
      </c>
      <c r="BC153" s="23">
        <f t="shared" si="223"/>
        <v>244</v>
      </c>
      <c r="BD153" s="16" t="s">
        <v>23</v>
      </c>
      <c r="BE153" s="3" t="s">
        <v>1381</v>
      </c>
      <c r="BF153" s="119">
        <v>3</v>
      </c>
      <c r="BG153" s="49" t="s">
        <v>1384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si="224"/>
        <v>47</v>
      </c>
      <c r="BW153" s="71">
        <f t="shared" si="225"/>
        <v>78</v>
      </c>
      <c r="BX153" s="72">
        <f t="shared" si="226"/>
        <v>82</v>
      </c>
      <c r="BY153" s="71">
        <f t="shared" si="227"/>
        <v>110</v>
      </c>
      <c r="BZ153" s="72">
        <f t="shared" si="228"/>
        <v>117</v>
      </c>
      <c r="CA153" s="71" t="str">
        <f t="shared" si="229"/>
        <v>-</v>
      </c>
      <c r="CB153" s="72">
        <f t="shared" si="230"/>
        <v>157</v>
      </c>
      <c r="CC153" s="71" t="str">
        <f t="shared" si="231"/>
        <v>-</v>
      </c>
      <c r="CD153" s="72">
        <f t="shared" si="232"/>
        <v>203</v>
      </c>
      <c r="CE153" s="71">
        <f t="shared" si="233"/>
        <v>245</v>
      </c>
      <c r="CF153" s="72">
        <f t="shared" si="234"/>
        <v>293</v>
      </c>
      <c r="CG153" s="71">
        <f t="shared" si="235"/>
        <v>315</v>
      </c>
      <c r="CH153" s="70">
        <f t="shared" si="236"/>
        <v>77</v>
      </c>
      <c r="CI153" s="71">
        <f t="shared" si="237"/>
        <v>81</v>
      </c>
      <c r="CJ153" s="72">
        <f t="shared" si="238"/>
        <v>108</v>
      </c>
      <c r="CK153" s="72">
        <f t="shared" si="239"/>
        <v>116</v>
      </c>
      <c r="CL153" s="72">
        <f t="shared" si="240"/>
        <v>152</v>
      </c>
      <c r="CM153" s="72" t="str">
        <f t="shared" si="241"/>
        <v>-</v>
      </c>
      <c r="CN153" s="72">
        <f t="shared" si="242"/>
        <v>185</v>
      </c>
      <c r="CO153" s="72" t="str">
        <f t="shared" si="243"/>
        <v>-</v>
      </c>
      <c r="CP153" s="72">
        <f t="shared" si="244"/>
        <v>235</v>
      </c>
      <c r="CQ153" s="72">
        <f t="shared" si="245"/>
        <v>284</v>
      </c>
      <c r="CR153" s="72">
        <f t="shared" si="246"/>
        <v>314</v>
      </c>
      <c r="CS153" s="72">
        <f t="shared" si="247"/>
        <v>327</v>
      </c>
      <c r="CT153" s="23">
        <f t="shared" si="248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249"/>
        <v>lpar1_human_4Z35</v>
      </c>
      <c r="B154" s="3" t="s">
        <v>103</v>
      </c>
      <c r="C154" s="3" t="s">
        <v>89</v>
      </c>
      <c r="D154" s="3" t="str">
        <f>IFERROR(MID(VLOOKUP($B154,Seqs!$A:$B,2,0),E154,1),"")</f>
        <v>T</v>
      </c>
      <c r="E154" s="3">
        <v>47</v>
      </c>
      <c r="F154" s="3" t="str">
        <f>IFERROR(MID(VLOOKUP($B154,Seqs!$A:$B,2,0),G154,1),"")</f>
        <v>N</v>
      </c>
      <c r="G154" s="3">
        <v>77</v>
      </c>
      <c r="H154" s="3" t="str">
        <f>IFERROR(MID(VLOOKUP($B154,Seqs!$A:$B,2,0),I154,1),"")</f>
        <v>R</v>
      </c>
      <c r="I154" s="23">
        <v>78</v>
      </c>
      <c r="J154" s="3" t="str">
        <f>IFERROR(MID(VLOOKUP($B154,Seqs!$A:$B,2,0),K154,1),"")</f>
        <v>H</v>
      </c>
      <c r="K154" s="23">
        <v>81</v>
      </c>
      <c r="L154" s="3" t="str">
        <f>IFERROR(MID(VLOOKUP($B154,Seqs!$A:$B,2,0),M154,1),"")</f>
        <v>F</v>
      </c>
      <c r="M154" s="3">
        <v>82</v>
      </c>
      <c r="N154" s="3" t="str">
        <f>IFERROR(MID(VLOOKUP($B154,Seqs!$A:$B,2,0),O154,1),"")</f>
        <v>N</v>
      </c>
      <c r="O154" s="3">
        <v>108</v>
      </c>
      <c r="P154" s="3" t="str">
        <f>IFERROR(MID(VLOOKUP($B154,Seqs!$A:$B,2,0),Q154,1),"")</f>
        <v>G</v>
      </c>
      <c r="Q154" s="3">
        <v>110</v>
      </c>
      <c r="R154" s="3" t="str">
        <f>IFERROR(MID(VLOOKUP($B154,Seqs!$A:$B,2,0),S154,1),"")</f>
        <v>L</v>
      </c>
      <c r="S154" s="3">
        <v>116</v>
      </c>
      <c r="T154" s="3" t="str">
        <f>IFERROR(MID(VLOOKUP($B154,Seqs!$A:$B,2,0),U154,1),"")</f>
        <v>T</v>
      </c>
      <c r="U154" s="3">
        <v>117</v>
      </c>
      <c r="V154" s="3" t="str">
        <f>IFERROR(MID(VLOOKUP($B154,Seqs!$A:$B,2,0),W154,1),"")</f>
        <v>R</v>
      </c>
      <c r="W154" s="3">
        <v>152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9">
        <v>157</v>
      </c>
      <c r="AD154" s="3" t="str">
        <f>IFERROR(MID(VLOOKUP($B154,Seqs!$A:$B,2,0),AE154,1),"")</f>
        <v>G</v>
      </c>
      <c r="AE154" s="3">
        <v>185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S</v>
      </c>
      <c r="AK154" s="3">
        <v>203</v>
      </c>
      <c r="AL154" s="3" t="str">
        <f>IFERROR(MID(VLOOKUP($B154,Seqs!$A:$B,2,0),AM154,1),"")</f>
        <v>R</v>
      </c>
      <c r="AM154" s="3">
        <v>235</v>
      </c>
      <c r="AN154" s="3" t="str">
        <f>IFERROR(MID(VLOOKUP($B154,Seqs!$A:$B,2,0),AO154,1),"")</f>
        <v>G</v>
      </c>
      <c r="AO154" s="3">
        <v>245</v>
      </c>
      <c r="AP154" s="3" t="str">
        <f>IFERROR(MID(VLOOKUP($B154,Seqs!$A:$B,2,0),AQ154,1),"")</f>
        <v>C</v>
      </c>
      <c r="AQ154" s="3">
        <v>284</v>
      </c>
      <c r="AR154" s="3" t="str">
        <f>IFERROR(MID(VLOOKUP($B154,Seqs!$A:$B,2,0),AS154,1),"")</f>
        <v>E</v>
      </c>
      <c r="AS154" s="3">
        <v>293</v>
      </c>
      <c r="AT154" s="3" t="str">
        <f>IFERROR(MID(VLOOKUP($B154,Seqs!$A:$B,2,0),AU154,1),"")</f>
        <v>R</v>
      </c>
      <c r="AU154" s="3">
        <v>314</v>
      </c>
      <c r="AV154" s="3" t="str">
        <f>IFERROR(MID(VLOOKUP($B154,Seqs!$A:$B,2,0),AW154,1),"")</f>
        <v>D</v>
      </c>
      <c r="AW154" s="3">
        <v>315</v>
      </c>
      <c r="AX154" s="3" t="str">
        <f>IFERROR(MID(VLOOKUP($B154,Seqs!$A:$B,2,0),AY154,1),"")</f>
        <v>C</v>
      </c>
      <c r="AY154" s="3">
        <v>327</v>
      </c>
      <c r="AZ154" s="77" t="str">
        <f>VLOOKUP(B154,Classification!A:D,2,0)</f>
        <v>A</v>
      </c>
      <c r="BA154" s="94" t="str">
        <f>VLOOKUP(B154,Classification!A:D,4,0)</f>
        <v>Lysophospholipid(LPA)</v>
      </c>
      <c r="BB154" s="27" t="b">
        <f t="shared" si="250"/>
        <v>1</v>
      </c>
      <c r="BC154" s="23">
        <f t="shared" si="223"/>
        <v>244</v>
      </c>
      <c r="BD154" s="5" t="s">
        <v>1383</v>
      </c>
      <c r="BE154" s="3" t="s">
        <v>1381</v>
      </c>
      <c r="BF154" s="119">
        <v>2.9</v>
      </c>
      <c r="BG154" s="49" t="s">
        <v>1384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224"/>
        <v>47</v>
      </c>
      <c r="BW154" s="71">
        <f t="shared" si="225"/>
        <v>78</v>
      </c>
      <c r="BX154" s="72">
        <f t="shared" si="226"/>
        <v>82</v>
      </c>
      <c r="BY154" s="71">
        <f t="shared" si="227"/>
        <v>110</v>
      </c>
      <c r="BZ154" s="72">
        <f t="shared" si="228"/>
        <v>117</v>
      </c>
      <c r="CA154" s="71" t="str">
        <f t="shared" si="229"/>
        <v>-</v>
      </c>
      <c r="CB154" s="72">
        <f t="shared" si="230"/>
        <v>157</v>
      </c>
      <c r="CC154" s="71" t="str">
        <f t="shared" si="231"/>
        <v>-</v>
      </c>
      <c r="CD154" s="72">
        <f t="shared" si="232"/>
        <v>203</v>
      </c>
      <c r="CE154" s="71">
        <f t="shared" si="233"/>
        <v>245</v>
      </c>
      <c r="CF154" s="72">
        <f t="shared" si="234"/>
        <v>293</v>
      </c>
      <c r="CG154" s="71">
        <f t="shared" si="235"/>
        <v>315</v>
      </c>
      <c r="CH154" s="70">
        <f t="shared" si="236"/>
        <v>77</v>
      </c>
      <c r="CI154" s="71">
        <f t="shared" si="237"/>
        <v>81</v>
      </c>
      <c r="CJ154" s="72">
        <f t="shared" si="238"/>
        <v>108</v>
      </c>
      <c r="CK154" s="72">
        <f t="shared" si="239"/>
        <v>116</v>
      </c>
      <c r="CL154" s="72">
        <f t="shared" si="240"/>
        <v>152</v>
      </c>
      <c r="CM154" s="72" t="str">
        <f t="shared" si="241"/>
        <v>-</v>
      </c>
      <c r="CN154" s="72">
        <f t="shared" si="242"/>
        <v>185</v>
      </c>
      <c r="CO154" s="72" t="str">
        <f t="shared" si="243"/>
        <v>-</v>
      </c>
      <c r="CP154" s="72">
        <f t="shared" si="244"/>
        <v>235</v>
      </c>
      <c r="CQ154" s="72">
        <f t="shared" si="245"/>
        <v>284</v>
      </c>
      <c r="CR154" s="72">
        <f t="shared" si="246"/>
        <v>314</v>
      </c>
      <c r="CS154" s="72">
        <f t="shared" si="247"/>
        <v>327</v>
      </c>
      <c r="CT154" s="23">
        <f t="shared" si="248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249"/>
        <v>lpar1_human_4Z36</v>
      </c>
      <c r="B155" s="3" t="s">
        <v>103</v>
      </c>
      <c r="C155" s="3" t="s">
        <v>1058</v>
      </c>
      <c r="D155" s="3" t="str">
        <f>IFERROR(MID(VLOOKUP($B155,Seqs!$A:$B,2,0),E155,1),"")</f>
        <v>T</v>
      </c>
      <c r="E155" s="3">
        <v>47</v>
      </c>
      <c r="F155" s="3" t="str">
        <f>IFERROR(MID(VLOOKUP($B155,Seqs!$A:$B,2,0),G155,1),"")</f>
        <v>N</v>
      </c>
      <c r="G155" s="3">
        <v>77</v>
      </c>
      <c r="H155" s="3" t="str">
        <f>IFERROR(MID(VLOOKUP($B155,Seqs!$A:$B,2,0),I155,1),"")</f>
        <v>R</v>
      </c>
      <c r="I155" s="23">
        <v>78</v>
      </c>
      <c r="J155" s="3" t="str">
        <f>IFERROR(MID(VLOOKUP($B155,Seqs!$A:$B,2,0),K155,1),"")</f>
        <v>H</v>
      </c>
      <c r="K155" s="23">
        <v>81</v>
      </c>
      <c r="L155" s="3" t="str">
        <f>IFERROR(MID(VLOOKUP($B155,Seqs!$A:$B,2,0),M155,1),"")</f>
        <v>F</v>
      </c>
      <c r="M155" s="3">
        <v>82</v>
      </c>
      <c r="N155" s="3" t="str">
        <f>IFERROR(MID(VLOOKUP($B155,Seqs!$A:$B,2,0),O155,1),"")</f>
        <v>N</v>
      </c>
      <c r="O155" s="3">
        <v>108</v>
      </c>
      <c r="P155" s="3" t="str">
        <f>IFERROR(MID(VLOOKUP($B155,Seqs!$A:$B,2,0),Q155,1),"")</f>
        <v>G</v>
      </c>
      <c r="Q155" s="3">
        <v>110</v>
      </c>
      <c r="R155" s="3" t="str">
        <f>IFERROR(MID(VLOOKUP($B155,Seqs!$A:$B,2,0),S155,1),"")</f>
        <v>L</v>
      </c>
      <c r="S155" s="3">
        <v>116</v>
      </c>
      <c r="T155" s="3" t="str">
        <f>IFERROR(MID(VLOOKUP($B155,Seqs!$A:$B,2,0),U155,1),"")</f>
        <v>T</v>
      </c>
      <c r="U155" s="3">
        <v>117</v>
      </c>
      <c r="V155" s="3" t="str">
        <f>IFERROR(MID(VLOOKUP($B155,Seqs!$A:$B,2,0),W155,1),"")</f>
        <v>R</v>
      </c>
      <c r="W155" s="3">
        <v>152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G</v>
      </c>
      <c r="AE155" s="3">
        <v>185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S</v>
      </c>
      <c r="AK155" s="3">
        <v>203</v>
      </c>
      <c r="AL155" s="3" t="str">
        <f>IFERROR(MID(VLOOKUP($B155,Seqs!$A:$B,2,0),AM155,1),"")</f>
        <v>R</v>
      </c>
      <c r="AM155" s="3">
        <v>235</v>
      </c>
      <c r="AN155" s="3" t="str">
        <f>IFERROR(MID(VLOOKUP($B155,Seqs!$A:$B,2,0),AO155,1),"")</f>
        <v>G</v>
      </c>
      <c r="AO155" s="3">
        <v>245</v>
      </c>
      <c r="AP155" s="3" t="str">
        <f>IFERROR(MID(VLOOKUP($B155,Seqs!$A:$B,2,0),AQ155,1),"")</f>
        <v>C</v>
      </c>
      <c r="AQ155" s="3">
        <v>284</v>
      </c>
      <c r="AR155" s="3" t="str">
        <f>IFERROR(MID(VLOOKUP($B155,Seqs!$A:$B,2,0),AS155,1),"")</f>
        <v>E</v>
      </c>
      <c r="AS155" s="3">
        <v>293</v>
      </c>
      <c r="AT155" s="3" t="str">
        <f>IFERROR(MID(VLOOKUP($B155,Seqs!$A:$B,2,0),AU155,1),"")</f>
        <v>R</v>
      </c>
      <c r="AU155" s="3">
        <v>314</v>
      </c>
      <c r="AV155" s="3" t="str">
        <f>IFERROR(MID(VLOOKUP($B155,Seqs!$A:$B,2,0),AW155,1),"")</f>
        <v>D</v>
      </c>
      <c r="AW155" s="3">
        <v>315</v>
      </c>
      <c r="AX155" s="3" t="str">
        <f>IFERROR(MID(VLOOKUP($B155,Seqs!$A:$B,2,0),AY155,1),"")</f>
        <v>C</v>
      </c>
      <c r="AY155" s="3">
        <v>327</v>
      </c>
      <c r="AZ155" s="77" t="str">
        <f>VLOOKUP(B155,Classification!A:D,2,0)</f>
        <v>A</v>
      </c>
      <c r="BA155" s="94" t="str">
        <f>VLOOKUP(B155,Classification!A:D,4,0)</f>
        <v>Lysophospholipid(LPA)</v>
      </c>
      <c r="BB155" s="27" t="b">
        <f t="shared" si="250"/>
        <v>1</v>
      </c>
      <c r="BC155" s="23">
        <f t="shared" si="223"/>
        <v>244</v>
      </c>
      <c r="BD155" s="5" t="s">
        <v>23</v>
      </c>
      <c r="BE155" s="3" t="s">
        <v>1381</v>
      </c>
      <c r="BF155" s="119">
        <v>2.9</v>
      </c>
      <c r="BG155" s="49" t="s">
        <v>1384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224"/>
        <v>47</v>
      </c>
      <c r="BW155" s="71">
        <f t="shared" si="225"/>
        <v>78</v>
      </c>
      <c r="BX155" s="72">
        <f t="shared" si="226"/>
        <v>82</v>
      </c>
      <c r="BY155" s="71">
        <f t="shared" si="227"/>
        <v>110</v>
      </c>
      <c r="BZ155" s="72">
        <f t="shared" si="228"/>
        <v>117</v>
      </c>
      <c r="CA155" s="71" t="str">
        <f t="shared" si="229"/>
        <v>-</v>
      </c>
      <c r="CB155" s="72">
        <f t="shared" si="230"/>
        <v>157</v>
      </c>
      <c r="CC155" s="71" t="str">
        <f t="shared" si="231"/>
        <v>-</v>
      </c>
      <c r="CD155" s="72">
        <f t="shared" si="232"/>
        <v>203</v>
      </c>
      <c r="CE155" s="71">
        <f t="shared" si="233"/>
        <v>245</v>
      </c>
      <c r="CF155" s="72">
        <f t="shared" si="234"/>
        <v>293</v>
      </c>
      <c r="CG155" s="71">
        <f t="shared" si="235"/>
        <v>315</v>
      </c>
      <c r="CH155" s="70">
        <f t="shared" si="236"/>
        <v>77</v>
      </c>
      <c r="CI155" s="71">
        <f t="shared" si="237"/>
        <v>81</v>
      </c>
      <c r="CJ155" s="72">
        <f t="shared" si="238"/>
        <v>108</v>
      </c>
      <c r="CK155" s="72">
        <f t="shared" si="239"/>
        <v>116</v>
      </c>
      <c r="CL155" s="72">
        <f t="shared" si="240"/>
        <v>152</v>
      </c>
      <c r="CM155" s="72" t="str">
        <f t="shared" si="241"/>
        <v>-</v>
      </c>
      <c r="CN155" s="72">
        <f t="shared" si="242"/>
        <v>185</v>
      </c>
      <c r="CO155" s="72" t="str">
        <f t="shared" si="243"/>
        <v>-</v>
      </c>
      <c r="CP155" s="72">
        <f t="shared" si="244"/>
        <v>235</v>
      </c>
      <c r="CQ155" s="72">
        <f t="shared" si="245"/>
        <v>284</v>
      </c>
      <c r="CR155" s="72">
        <f t="shared" si="246"/>
        <v>314</v>
      </c>
      <c r="CS155" s="72">
        <f t="shared" si="247"/>
        <v>327</v>
      </c>
      <c r="CT155" s="23">
        <f t="shared" si="248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s="12" customFormat="1" x14ac:dyDescent="0.2">
      <c r="A156" s="9" t="str">
        <f>CONCATENATE(B156,"_",C156)</f>
        <v>npy1r_human__wt</v>
      </c>
      <c r="B156" s="9" t="s">
        <v>325</v>
      </c>
      <c r="C156" s="9" t="s">
        <v>100</v>
      </c>
      <c r="D156" s="9" t="str">
        <f>IFERROR(MID(VLOOKUP($B156,Seqs!$A:$B,2,0),E156,1),"")</f>
        <v>P</v>
      </c>
      <c r="E156" s="9">
        <v>36</v>
      </c>
      <c r="F156" s="9" t="str">
        <f>IFERROR(MID(VLOOKUP($B156,Seqs!$A:$B,2,0),G156,1),"")</f>
        <v>Q</v>
      </c>
      <c r="G156" s="9">
        <v>68</v>
      </c>
      <c r="H156" s="9" t="str">
        <f>IFERROR(MID(VLOOKUP($B156,Seqs!$A:$B,2,0),I156,1),"")</f>
        <v>K</v>
      </c>
      <c r="I156" s="109">
        <v>69</v>
      </c>
      <c r="J156" s="9" t="str">
        <f>IFERROR(MID(VLOOKUP($B156,Seqs!$A:$B,2,0),K156,1),"")</f>
        <v>R</v>
      </c>
      <c r="K156" s="109">
        <v>72</v>
      </c>
      <c r="L156" s="9" t="str">
        <f>IFERROR(MID(VLOOKUP($B156,Seqs!$A:$B,2,0),M156,1),"")</f>
        <v>N</v>
      </c>
      <c r="M156" s="9">
        <v>73</v>
      </c>
      <c r="N156" s="9" t="str">
        <f>IFERROR(MID(VLOOKUP($B156,Seqs!$A:$B,2,0),O156,1),"")</f>
        <v>D</v>
      </c>
      <c r="O156" s="9">
        <v>104</v>
      </c>
      <c r="P156" s="9" t="str">
        <f>IFERROR(MID(VLOOKUP($B156,Seqs!$A:$B,2,0),Q156,1),"")</f>
        <v>H</v>
      </c>
      <c r="Q156" s="9">
        <v>105</v>
      </c>
      <c r="R156" s="9" t="str">
        <f>IFERROR(MID(VLOOKUP($B156,Seqs!$A:$B,2,0),S156,1),"")</f>
        <v>F</v>
      </c>
      <c r="S156" s="9">
        <v>108</v>
      </c>
      <c r="T156" s="9" t="str">
        <f>IFERROR(MID(VLOOKUP($B156,Seqs!$A:$B,2,0),U156,1),"")</f>
        <v>G</v>
      </c>
      <c r="U156" s="9">
        <v>109</v>
      </c>
      <c r="V156" s="9" t="str">
        <f>IFERROR(MID(VLOOKUP($B156,Seqs!$A:$B,2,0),W156,1),"")</f>
        <v>N</v>
      </c>
      <c r="W156" s="9">
        <v>144</v>
      </c>
      <c r="X156" s="9" t="str">
        <f>IFERROR(MID(VLOOKUP($B156,Seqs!$A:$B,2,0),Y156,1),"")</f>
        <v/>
      </c>
      <c r="Y156" s="9" t="s">
        <v>23</v>
      </c>
      <c r="Z156" s="9" t="str">
        <f>IFERROR(MID(VLOOKUP($B156,Seqs!$A:$B,2,0),AA156,1),"")</f>
        <v/>
      </c>
      <c r="AA156" s="9" t="s">
        <v>23</v>
      </c>
      <c r="AB156" s="9" t="str">
        <f>IFERROR(MID(VLOOKUP($B156,Seqs!$A:$B,2,0),AC156,1),"")</f>
        <v>N</v>
      </c>
      <c r="AC156" s="9">
        <v>151</v>
      </c>
      <c r="AD156" s="9" t="str">
        <f>IFERROR(MID(VLOOKUP($B156,Seqs!$A:$B,2,0),AE156,1),"")</f>
        <v>Q</v>
      </c>
      <c r="AE156" s="9">
        <v>177</v>
      </c>
      <c r="AF156" s="9" t="str">
        <f>IFERROR(MID(VLOOKUP($B156,Seqs!$A:$B,2,0),AG156,1),"")</f>
        <v>C</v>
      </c>
      <c r="AG156" s="9">
        <v>198</v>
      </c>
      <c r="AH156" s="9" t="str">
        <f>IFERROR(MID(VLOOKUP($B156,Seqs!$A:$B,2,0),AI156,1),"")</f>
        <v>D</v>
      </c>
      <c r="AI156" s="9">
        <v>200</v>
      </c>
      <c r="AJ156" s="9" t="str">
        <f>IFERROR(MID(VLOOKUP($B156,Seqs!$A:$B,2,0),AK156,1),"")</f>
        <v>S</v>
      </c>
      <c r="AK156" s="9">
        <v>204</v>
      </c>
      <c r="AL156" s="9" t="str">
        <f>IFERROR(MID(VLOOKUP($B156,Seqs!$A:$B,2,0),AM156,1),"")</f>
        <v>M</v>
      </c>
      <c r="AM156" s="9">
        <v>245</v>
      </c>
      <c r="AN156" s="9" t="str">
        <f>IFERROR(MID(VLOOKUP($B156,Seqs!$A:$B,2,0),AO156,1),"")</f>
        <v>D</v>
      </c>
      <c r="AO156" s="9">
        <v>250</v>
      </c>
      <c r="AP156" s="9" t="str">
        <f>IFERROR(MID(VLOOKUP($B156,Seqs!$A:$B,2,0),AQ156,1),"")</f>
        <v>N</v>
      </c>
      <c r="AQ156" s="9">
        <v>289</v>
      </c>
      <c r="AR156" s="9" t="str">
        <f>IFERROR(MID(VLOOKUP($B156,Seqs!$A:$B,2,0),AS156,1),"")</f>
        <v>T</v>
      </c>
      <c r="AS156" s="9">
        <v>295</v>
      </c>
      <c r="AT156" s="9" t="str">
        <f>IFERROR(MID(VLOOKUP($B156,Seqs!$A:$B,2,0),AU156,1),"")</f>
        <v>L</v>
      </c>
      <c r="AU156" s="9">
        <v>323</v>
      </c>
      <c r="AV156" s="9" t="str">
        <f>IFERROR(MID(VLOOKUP($B156,Seqs!$A:$B,2,0),AW156,1),"")</f>
        <v>N</v>
      </c>
      <c r="AW156" s="9">
        <v>324</v>
      </c>
      <c r="AX156" s="9" t="str">
        <f>IFERROR(MID(VLOOKUP($B156,Seqs!$A:$B,2,0),AY156,1),"")</f>
        <v>F</v>
      </c>
      <c r="AY156" s="9">
        <v>335</v>
      </c>
      <c r="AZ156" s="110" t="str">
        <f>VLOOKUP(B156,Classification!A:D,2,0)</f>
        <v>A</v>
      </c>
      <c r="BA156" s="98" t="str">
        <f>VLOOKUP(B156,Classification!A:D,4,0)</f>
        <v>NeuropeptideY</v>
      </c>
      <c r="BB156" s="36" t="b">
        <f>AND(E156&lt;G156,OR(G156&lt;I156,I156="-"),OR(I156&lt;K156,I156="-"),OR(K156&lt;M156,K156="-"),M156&lt;O156,OR(O156&lt;Q156,Q156="-"),OR(Q156&lt;S156,Q156="-"),OR(S156&lt;U156,S156="-"),U156&lt;W156,OR(W156&lt;Y156,Y156="-"),OR(Y156&lt;AA156,Y156="-"),OR(AA156&lt;AC156,AA156="-"),AC156&lt;AE156,OR(AE156&lt;AG156,AG156="-"),OR(AG156&lt;AI156,AG156="-"),OR(AI156&lt;AK156,AI156="-"),AK156&lt;AM156,AM156&lt;AO156,AO156&lt;AQ156,AQ156&lt;AS156,AS156&lt;AU156,OR(AU156&lt;AW156,AW156="-"),OR(AW156&lt;AY156,AW156="-"))</f>
        <v>1</v>
      </c>
      <c r="BC156" s="109">
        <f>_xlfn.AGGREGATE(9,6,CH156:CS156)-_xlfn.AGGREGATE(9,6,BV156:CG156)+12</f>
        <v>263</v>
      </c>
      <c r="BD156" s="13" t="s">
        <v>23</v>
      </c>
      <c r="BE156" s="9" t="s">
        <v>1381</v>
      </c>
      <c r="BF156" s="120" t="s">
        <v>23</v>
      </c>
      <c r="BG156" s="51" t="s">
        <v>1384</v>
      </c>
      <c r="BH156" s="51" t="s">
        <v>1384</v>
      </c>
      <c r="BJ156" s="111" t="s">
        <v>1293</v>
      </c>
      <c r="BK156" s="112" t="s">
        <v>1293</v>
      </c>
      <c r="BL156" s="112" t="s">
        <v>1293</v>
      </c>
      <c r="BM156" s="112" t="s">
        <v>1293</v>
      </c>
      <c r="BN156" s="112" t="s">
        <v>1293</v>
      </c>
      <c r="BO156" s="112" t="s">
        <v>1293</v>
      </c>
      <c r="BP156" s="112" t="s">
        <v>1293</v>
      </c>
      <c r="BQ156" s="112" t="s">
        <v>1293</v>
      </c>
      <c r="BR156" s="112" t="s">
        <v>1293</v>
      </c>
      <c r="BS156" s="112" t="s">
        <v>1293</v>
      </c>
      <c r="BT156" s="112" t="s">
        <v>1293</v>
      </c>
      <c r="BU156" s="112" t="s">
        <v>1293</v>
      </c>
      <c r="BV156" s="111">
        <f>E156</f>
        <v>36</v>
      </c>
      <c r="BW156" s="113">
        <f>I156</f>
        <v>69</v>
      </c>
      <c r="BX156" s="114">
        <f>M156</f>
        <v>73</v>
      </c>
      <c r="BY156" s="113">
        <f>Q156</f>
        <v>105</v>
      </c>
      <c r="BZ156" s="114">
        <f>U156</f>
        <v>109</v>
      </c>
      <c r="CA156" s="113" t="str">
        <f>Y156</f>
        <v>-</v>
      </c>
      <c r="CB156" s="114">
        <f>AC156</f>
        <v>151</v>
      </c>
      <c r="CC156" s="113">
        <f>AG156</f>
        <v>198</v>
      </c>
      <c r="CD156" s="114">
        <f>AK156</f>
        <v>204</v>
      </c>
      <c r="CE156" s="113">
        <f>AO156</f>
        <v>250</v>
      </c>
      <c r="CF156" s="114">
        <f>AS156</f>
        <v>295</v>
      </c>
      <c r="CG156" s="113">
        <f>AW156</f>
        <v>324</v>
      </c>
      <c r="CH156" s="111">
        <f>G156</f>
        <v>68</v>
      </c>
      <c r="CI156" s="113">
        <f>K156</f>
        <v>72</v>
      </c>
      <c r="CJ156" s="114">
        <f>O156</f>
        <v>104</v>
      </c>
      <c r="CK156" s="114">
        <f>S156</f>
        <v>108</v>
      </c>
      <c r="CL156" s="114">
        <f>W156</f>
        <v>144</v>
      </c>
      <c r="CM156" s="114" t="str">
        <f>AA156</f>
        <v>-</v>
      </c>
      <c r="CN156" s="114">
        <f>AE156</f>
        <v>177</v>
      </c>
      <c r="CO156" s="114">
        <f>AI156</f>
        <v>200</v>
      </c>
      <c r="CP156" s="114">
        <f>AM156</f>
        <v>245</v>
      </c>
      <c r="CQ156" s="114">
        <f>AQ156</f>
        <v>289</v>
      </c>
      <c r="CR156" s="114">
        <f>AU156</f>
        <v>323</v>
      </c>
      <c r="CS156" s="114">
        <f>AY156</f>
        <v>335</v>
      </c>
      <c r="CT156" s="109">
        <f>M156-K156</f>
        <v>1</v>
      </c>
    </row>
    <row r="157" spans="1:1029" s="12" customFormat="1" x14ac:dyDescent="0.2">
      <c r="A157" s="9" t="str">
        <f>CONCATENATE(B157,"_",C157)</f>
        <v>npy1r_human_5ZBH</v>
      </c>
      <c r="B157" s="9" t="s">
        <v>325</v>
      </c>
      <c r="C157" s="9" t="s">
        <v>1504</v>
      </c>
      <c r="D157" s="9" t="str">
        <f>IFERROR(MID(VLOOKUP($B157,Seqs!$A:$B,2,0),E157,1),"")</f>
        <v>P</v>
      </c>
      <c r="E157" s="9">
        <v>36</v>
      </c>
      <c r="F157" s="9" t="str">
        <f>IFERROR(MID(VLOOKUP($B157,Seqs!$A:$B,2,0),G157,1),"")</f>
        <v>Q</v>
      </c>
      <c r="G157" s="9">
        <v>68</v>
      </c>
      <c r="H157" s="9" t="str">
        <f>IFERROR(MID(VLOOKUP($B157,Seqs!$A:$B,2,0),I157,1),"")</f>
        <v>K</v>
      </c>
      <c r="I157" s="109">
        <v>69</v>
      </c>
      <c r="J157" s="9" t="str">
        <f>IFERROR(MID(VLOOKUP($B157,Seqs!$A:$B,2,0),K157,1),"")</f>
        <v>R</v>
      </c>
      <c r="K157" s="109">
        <v>72</v>
      </c>
      <c r="L157" s="9" t="str">
        <f>IFERROR(MID(VLOOKUP($B157,Seqs!$A:$B,2,0),M157,1),"")</f>
        <v>N</v>
      </c>
      <c r="M157" s="9">
        <v>73</v>
      </c>
      <c r="N157" s="9" t="str">
        <f>IFERROR(MID(VLOOKUP($B157,Seqs!$A:$B,2,0),O157,1),"")</f>
        <v>M</v>
      </c>
      <c r="O157" s="9">
        <v>103</v>
      </c>
      <c r="P157" s="9" t="str">
        <f>IFERROR(MID(VLOOKUP($B157,Seqs!$A:$B,2,0),Q157,1),"")</f>
        <v>H</v>
      </c>
      <c r="Q157" s="9">
        <v>105</v>
      </c>
      <c r="R157" s="9" t="str">
        <f>IFERROR(MID(VLOOKUP($B157,Seqs!$A:$B,2,0),S157,1),"")</f>
        <v>F</v>
      </c>
      <c r="S157" s="9">
        <v>108</v>
      </c>
      <c r="T157" s="9" t="str">
        <f>IFERROR(MID(VLOOKUP($B157,Seqs!$A:$B,2,0),U157,1),"")</f>
        <v>G</v>
      </c>
      <c r="U157" s="9">
        <v>109</v>
      </c>
      <c r="V157" s="9" t="str">
        <f>IFERROR(MID(VLOOKUP($B157,Seqs!$A:$B,2,0),W157,1),"")</f>
        <v>N</v>
      </c>
      <c r="W157" s="9">
        <v>144</v>
      </c>
      <c r="X157" s="9" t="str">
        <f>IFERROR(MID(VLOOKUP($B157,Seqs!$A:$B,2,0),Y157,1),"")</f>
        <v/>
      </c>
      <c r="Y157" s="9" t="s">
        <v>23</v>
      </c>
      <c r="Z157" s="9" t="str">
        <f>IFERROR(MID(VLOOKUP($B157,Seqs!$A:$B,2,0),AA157,1),"")</f>
        <v/>
      </c>
      <c r="AA157" s="9" t="s">
        <v>23</v>
      </c>
      <c r="AB157" s="9" t="str">
        <f>IFERROR(MID(VLOOKUP($B157,Seqs!$A:$B,2,0),AC157,1),"")</f>
        <v>N</v>
      </c>
      <c r="AC157" s="9">
        <v>151</v>
      </c>
      <c r="AD157" s="9" t="str">
        <f>IFERROR(MID(VLOOKUP($B157,Seqs!$A:$B,2,0),AE157,1),"")</f>
        <v>Y</v>
      </c>
      <c r="AE157" s="9">
        <v>176</v>
      </c>
      <c r="AF157" s="9" t="str">
        <f>IFERROR(MID(VLOOKUP($B157,Seqs!$A:$B,2,0),AG157,1),"")</f>
        <v>C</v>
      </c>
      <c r="AG157" s="9">
        <v>198</v>
      </c>
      <c r="AH157" s="9" t="str">
        <f>IFERROR(MID(VLOOKUP($B157,Seqs!$A:$B,2,0),AI157,1),"")</f>
        <v>D</v>
      </c>
      <c r="AI157" s="9">
        <v>200</v>
      </c>
      <c r="AJ157" s="9" t="str">
        <f>IFERROR(MID(VLOOKUP($B157,Seqs!$A:$B,2,0),AK157,1),"")</f>
        <v>S</v>
      </c>
      <c r="AK157" s="9">
        <v>204</v>
      </c>
      <c r="AL157" s="9" t="str">
        <f>IFERROR(MID(VLOOKUP($B157,Seqs!$A:$B,2,0),AM157,1),"")</f>
        <v>R</v>
      </c>
      <c r="AM157" s="9">
        <v>241</v>
      </c>
      <c r="AN157" s="9" t="str">
        <f>IFERROR(MID(VLOOKUP($B157,Seqs!$A:$B,2,0),AO157,1),"")</f>
        <v>Y</v>
      </c>
      <c r="AO157" s="9">
        <v>253</v>
      </c>
      <c r="AP157" s="9" t="str">
        <f>IFERROR(MID(VLOOKUP($B157,Seqs!$A:$B,2,0),AQ157,1),"")</f>
        <v>N</v>
      </c>
      <c r="AQ157" s="9">
        <v>289</v>
      </c>
      <c r="AR157" s="9" t="str">
        <f>IFERROR(MID(VLOOKUP($B157,Seqs!$A:$B,2,0),AS157,1),"")</f>
        <v>T</v>
      </c>
      <c r="AS157" s="9">
        <v>295</v>
      </c>
      <c r="AT157" s="9" t="str">
        <f>IFERROR(MID(VLOOKUP($B157,Seqs!$A:$B,2,0),AU157,1),"")</f>
        <v>L</v>
      </c>
      <c r="AU157" s="9">
        <v>323</v>
      </c>
      <c r="AV157" s="9" t="str">
        <f>IFERROR(MID(VLOOKUP($B157,Seqs!$A:$B,2,0),AW157,1),"")</f>
        <v>N</v>
      </c>
      <c r="AW157" s="9">
        <v>324</v>
      </c>
      <c r="AX157" s="9" t="str">
        <f>IFERROR(MID(VLOOKUP($B157,Seqs!$A:$B,2,0),AY157,1),"")</f>
        <v>F</v>
      </c>
      <c r="AY157" s="9">
        <v>335</v>
      </c>
      <c r="AZ157" s="110" t="str">
        <f>VLOOKUP(B157,Classification!A:D,2,0)</f>
        <v>A</v>
      </c>
      <c r="BA157" s="98" t="str">
        <f>VLOOKUP(B157,Classification!A:D,4,0)</f>
        <v>NeuropeptideY</v>
      </c>
      <c r="BB157" s="36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109">
        <f>_xlfn.AGGREGATE(9,6,CH157:CS157)-_xlfn.AGGREGATE(9,6,BV157:CG157)+12</f>
        <v>254</v>
      </c>
      <c r="BD157" s="13" t="s">
        <v>1383</v>
      </c>
      <c r="BE157" s="9" t="s">
        <v>1381</v>
      </c>
      <c r="BF157" s="120">
        <v>3</v>
      </c>
      <c r="BG157" s="51" t="s">
        <v>1</v>
      </c>
      <c r="BH157" s="51" t="s">
        <v>1</v>
      </c>
      <c r="BJ157" s="111" t="s">
        <v>1293</v>
      </c>
      <c r="BK157" s="112" t="s">
        <v>1293</v>
      </c>
      <c r="BL157" s="112" t="s">
        <v>1293</v>
      </c>
      <c r="BM157" s="112" t="s">
        <v>1293</v>
      </c>
      <c r="BN157" s="112" t="s">
        <v>1293</v>
      </c>
      <c r="BO157" s="112" t="s">
        <v>1293</v>
      </c>
      <c r="BP157" s="112" t="s">
        <v>1293</v>
      </c>
      <c r="BQ157" s="112" t="s">
        <v>1293</v>
      </c>
      <c r="BR157" s="112" t="s">
        <v>1293</v>
      </c>
      <c r="BS157" s="112" t="s">
        <v>1293</v>
      </c>
      <c r="BT157" s="112" t="s">
        <v>1293</v>
      </c>
      <c r="BU157" s="112" t="s">
        <v>1293</v>
      </c>
      <c r="BV157" s="111">
        <f>E157</f>
        <v>36</v>
      </c>
      <c r="BW157" s="113">
        <f>I157</f>
        <v>69</v>
      </c>
      <c r="BX157" s="114">
        <f>M157</f>
        <v>73</v>
      </c>
      <c r="BY157" s="113">
        <f>Q157</f>
        <v>105</v>
      </c>
      <c r="BZ157" s="114">
        <f>U157</f>
        <v>109</v>
      </c>
      <c r="CA157" s="113" t="str">
        <f>Y157</f>
        <v>-</v>
      </c>
      <c r="CB157" s="114">
        <f>AC157</f>
        <v>151</v>
      </c>
      <c r="CC157" s="113">
        <f>AG157</f>
        <v>198</v>
      </c>
      <c r="CD157" s="114">
        <f>AK157</f>
        <v>204</v>
      </c>
      <c r="CE157" s="113">
        <f>AO157</f>
        <v>253</v>
      </c>
      <c r="CF157" s="114">
        <f>AS157</f>
        <v>295</v>
      </c>
      <c r="CG157" s="113">
        <f>AW157</f>
        <v>324</v>
      </c>
      <c r="CH157" s="111">
        <f>G157</f>
        <v>68</v>
      </c>
      <c r="CI157" s="113">
        <f>K157</f>
        <v>72</v>
      </c>
      <c r="CJ157" s="114">
        <f>O157</f>
        <v>103</v>
      </c>
      <c r="CK157" s="114">
        <f>S157</f>
        <v>108</v>
      </c>
      <c r="CL157" s="114">
        <f>W157</f>
        <v>144</v>
      </c>
      <c r="CM157" s="114" t="str">
        <f>AA157</f>
        <v>-</v>
      </c>
      <c r="CN157" s="114">
        <f>AE157</f>
        <v>176</v>
      </c>
      <c r="CO157" s="114">
        <f>AI157</f>
        <v>200</v>
      </c>
      <c r="CP157" s="114">
        <f>AM157</f>
        <v>241</v>
      </c>
      <c r="CQ157" s="114">
        <f>AQ157</f>
        <v>289</v>
      </c>
      <c r="CR157" s="114">
        <f>AU157</f>
        <v>323</v>
      </c>
      <c r="CS157" s="114">
        <f>AY157</f>
        <v>335</v>
      </c>
      <c r="CT157" s="109">
        <f>M157-K157</f>
        <v>1</v>
      </c>
    </row>
    <row r="158" spans="1:1029" s="12" customFormat="1" x14ac:dyDescent="0.2">
      <c r="A158" s="9" t="str">
        <f>CONCATENATE(B158,"_",C158)</f>
        <v>npy1r_human_5ZBQ</v>
      </c>
      <c r="B158" s="9" t="s">
        <v>325</v>
      </c>
      <c r="C158" s="9" t="s">
        <v>1503</v>
      </c>
      <c r="D158" s="9" t="str">
        <f>IFERROR(MID(VLOOKUP($B158,Seqs!$A:$B,2,0),E158,1),"")</f>
        <v>P</v>
      </c>
      <c r="E158" s="9">
        <v>36</v>
      </c>
      <c r="F158" s="9" t="str">
        <f>IFERROR(MID(VLOOKUP($B158,Seqs!$A:$B,2,0),G158,1),"")</f>
        <v>Q</v>
      </c>
      <c r="G158" s="9">
        <v>68</v>
      </c>
      <c r="H158" s="9" t="str">
        <f>IFERROR(MID(VLOOKUP($B158,Seqs!$A:$B,2,0),I158,1),"")</f>
        <v/>
      </c>
      <c r="I158" s="109" t="s">
        <v>23</v>
      </c>
      <c r="J158" s="9" t="str">
        <f>IFERROR(MID(VLOOKUP($B158,Seqs!$A:$B,2,0),K158,1),"")</f>
        <v/>
      </c>
      <c r="K158" s="109" t="s">
        <v>23</v>
      </c>
      <c r="L158" s="9" t="str">
        <f>IFERROR(MID(VLOOKUP($B158,Seqs!$A:$B,2,0),M158,1),"")</f>
        <v>V</v>
      </c>
      <c r="M158" s="9">
        <v>74</v>
      </c>
      <c r="N158" s="9" t="str">
        <f>IFERROR(MID(VLOOKUP($B158,Seqs!$A:$B,2,0),O158,1),"")</f>
        <v>D</v>
      </c>
      <c r="O158" s="9">
        <v>104</v>
      </c>
      <c r="P158" s="9" t="str">
        <f>IFERROR(MID(VLOOKUP($B158,Seqs!$A:$B,2,0),Q158,1),"")</f>
        <v>W</v>
      </c>
      <c r="Q158" s="9">
        <v>106</v>
      </c>
      <c r="R158" s="9" t="str">
        <f>IFERROR(MID(VLOOKUP($B158,Seqs!$A:$B,2,0),S158,1),"")</f>
        <v>F</v>
      </c>
      <c r="S158" s="9">
        <v>108</v>
      </c>
      <c r="T158" s="9" t="str">
        <f>IFERROR(MID(VLOOKUP($B158,Seqs!$A:$B,2,0),U158,1),"")</f>
        <v>G</v>
      </c>
      <c r="U158" s="9">
        <v>109</v>
      </c>
      <c r="V158" s="9" t="str">
        <f>IFERROR(MID(VLOOKUP($B158,Seqs!$A:$B,2,0),W158,1),"")</f>
        <v>I</v>
      </c>
      <c r="W158" s="9">
        <v>143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N</v>
      </c>
      <c r="AC158" s="9">
        <v>151</v>
      </c>
      <c r="AD158" s="9" t="str">
        <f>IFERROR(MID(VLOOKUP($B158,Seqs!$A:$B,2,0),AE158,1),"")</f>
        <v>Q</v>
      </c>
      <c r="AE158" s="9">
        <v>177</v>
      </c>
      <c r="AF158" s="9" t="str">
        <f>IFERROR(MID(VLOOKUP($B158,Seqs!$A:$B,2,0),AG158,1),"")</f>
        <v>C</v>
      </c>
      <c r="AG158" s="9">
        <v>198</v>
      </c>
      <c r="AH158" s="9" t="str">
        <f>IFERROR(MID(VLOOKUP($B158,Seqs!$A:$B,2,0),AI158,1),"")</f>
        <v>D</v>
      </c>
      <c r="AI158" s="9">
        <v>200</v>
      </c>
      <c r="AJ158" s="9" t="str">
        <f>IFERROR(MID(VLOOKUP($B158,Seqs!$A:$B,2,0),AK158,1),"")</f>
        <v>S</v>
      </c>
      <c r="AK158" s="9">
        <v>204</v>
      </c>
      <c r="AL158" s="9" t="str">
        <f>IFERROR(MID(VLOOKUP($B158,Seqs!$A:$B,2,0),AM158,1),"")</f>
        <v>R</v>
      </c>
      <c r="AM158" s="9">
        <v>241</v>
      </c>
      <c r="AN158" s="9" t="str">
        <f>IFERROR(MID(VLOOKUP($B158,Seqs!$A:$B,2,0),AO158,1),"")</f>
        <v>T</v>
      </c>
      <c r="AO158" s="9">
        <v>258</v>
      </c>
      <c r="AP158" s="9" t="str">
        <f>IFERROR(MID(VLOOKUP($B158,Seqs!$A:$B,2,0),AQ158,1),"")</f>
        <v>N</v>
      </c>
      <c r="AQ158" s="9">
        <v>289</v>
      </c>
      <c r="AR158" s="9" t="str">
        <f>IFERROR(MID(VLOOKUP($B158,Seqs!$A:$B,2,0),AS158,1),"")</f>
        <v>T</v>
      </c>
      <c r="AS158" s="9">
        <v>295</v>
      </c>
      <c r="AT158" s="9" t="str">
        <f>IFERROR(MID(VLOOKUP($B158,Seqs!$A:$B,2,0),AU158,1),"")</f>
        <v>L</v>
      </c>
      <c r="AU158" s="9">
        <v>323</v>
      </c>
      <c r="AV158" s="9" t="str">
        <f>IFERROR(MID(VLOOKUP($B158,Seqs!$A:$B,2,0),AW158,1),"")</f>
        <v>N</v>
      </c>
      <c r="AW158" s="9">
        <v>324</v>
      </c>
      <c r="AX158" s="9" t="str">
        <f>IFERROR(MID(VLOOKUP($B158,Seqs!$A:$B,2,0),AY158,1),"")</f>
        <v>F</v>
      </c>
      <c r="AY158" s="9">
        <v>335</v>
      </c>
      <c r="AZ158" s="110" t="str">
        <f>VLOOKUP(B158,Classification!A:D,2,0)</f>
        <v>A</v>
      </c>
      <c r="BA158" s="98" t="str">
        <f>VLOOKUP(B158,Classification!A:D,4,0)</f>
        <v>NeuropeptideY</v>
      </c>
      <c r="BB158" s="36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>_xlfn.AGGREGATE(9,6,CH158:CS158)-_xlfn.AGGREGATE(9,6,BV158:CG158)+12</f>
        <v>245</v>
      </c>
      <c r="BD158" s="13" t="s">
        <v>23</v>
      </c>
      <c r="BE158" s="9" t="s">
        <v>1381</v>
      </c>
      <c r="BF158" s="120">
        <v>2.7</v>
      </c>
      <c r="BG158" s="51" t="s">
        <v>1</v>
      </c>
      <c r="BH158" s="51" t="s">
        <v>1</v>
      </c>
      <c r="BJ158" s="111" t="s">
        <v>1293</v>
      </c>
      <c r="BK158" s="112" t="s">
        <v>1293</v>
      </c>
      <c r="BL158" s="112" t="s">
        <v>1293</v>
      </c>
      <c r="BM158" s="112" t="s">
        <v>1293</v>
      </c>
      <c r="BN158" s="112" t="s">
        <v>1293</v>
      </c>
      <c r="BO158" s="112" t="s">
        <v>1293</v>
      </c>
      <c r="BP158" s="112" t="s">
        <v>1293</v>
      </c>
      <c r="BQ158" s="112" t="s">
        <v>1293</v>
      </c>
      <c r="BR158" s="112" t="s">
        <v>1293</v>
      </c>
      <c r="BS158" s="112" t="s">
        <v>1293</v>
      </c>
      <c r="BT158" s="112" t="s">
        <v>1293</v>
      </c>
      <c r="BU158" s="112" t="s">
        <v>1293</v>
      </c>
      <c r="BV158" s="111">
        <f>E158</f>
        <v>36</v>
      </c>
      <c r="BW158" s="113" t="str">
        <f>I158</f>
        <v>-</v>
      </c>
      <c r="BX158" s="114">
        <f>M158</f>
        <v>74</v>
      </c>
      <c r="BY158" s="113">
        <f>Q158</f>
        <v>106</v>
      </c>
      <c r="BZ158" s="114">
        <f>U158</f>
        <v>109</v>
      </c>
      <c r="CA158" s="113" t="str">
        <f>Y158</f>
        <v>-</v>
      </c>
      <c r="CB158" s="114">
        <f>AC158</f>
        <v>151</v>
      </c>
      <c r="CC158" s="113">
        <f>AG158</f>
        <v>198</v>
      </c>
      <c r="CD158" s="114">
        <f>AK158</f>
        <v>204</v>
      </c>
      <c r="CE158" s="113">
        <f>AO158</f>
        <v>258</v>
      </c>
      <c r="CF158" s="114">
        <f>AS158</f>
        <v>295</v>
      </c>
      <c r="CG158" s="113">
        <f>AW158</f>
        <v>324</v>
      </c>
      <c r="CH158" s="111">
        <f>G158</f>
        <v>68</v>
      </c>
      <c r="CI158" s="113" t="str">
        <f>K158</f>
        <v>-</v>
      </c>
      <c r="CJ158" s="114">
        <f>O158</f>
        <v>104</v>
      </c>
      <c r="CK158" s="114">
        <f>S158</f>
        <v>108</v>
      </c>
      <c r="CL158" s="114">
        <f>W158</f>
        <v>143</v>
      </c>
      <c r="CM158" s="114" t="str">
        <f>AA158</f>
        <v>-</v>
      </c>
      <c r="CN158" s="114">
        <f>AE158</f>
        <v>177</v>
      </c>
      <c r="CO158" s="114">
        <f>AI158</f>
        <v>200</v>
      </c>
      <c r="CP158" s="114">
        <f>AM158</f>
        <v>241</v>
      </c>
      <c r="CQ158" s="114">
        <f>AQ158</f>
        <v>289</v>
      </c>
      <c r="CR158" s="114">
        <f>AU158</f>
        <v>323</v>
      </c>
      <c r="CS158" s="114">
        <f>AY158</f>
        <v>335</v>
      </c>
      <c r="CT158" s="109" t="e">
        <f>M158-K158</f>
        <v>#VALUE!</v>
      </c>
    </row>
    <row r="159" spans="1:1029" x14ac:dyDescent="0.2">
      <c r="A159" s="3" t="str">
        <f t="shared" si="249"/>
        <v>ntr1_rat__wt</v>
      </c>
      <c r="B159" s="3" t="s">
        <v>914</v>
      </c>
      <c r="C159" s="3" t="s">
        <v>100</v>
      </c>
      <c r="D159" s="3" t="str">
        <f>IFERROR(MID(VLOOKUP($B159,Seqs!$A:$B,2,0),E159,1),"")</f>
        <v>I</v>
      </c>
      <c r="E159" s="3">
        <v>61</v>
      </c>
      <c r="F159" s="3" t="str">
        <f>IFERROR(MID(VLOOKUP($B159,Seqs!$A:$B,2,0),G159,1),"")</f>
        <v>K</v>
      </c>
      <c r="G159" s="3">
        <v>92</v>
      </c>
      <c r="H159" s="3" t="str">
        <f>IFERROR(MID(VLOOKUP($B159,Seqs!$A:$B,2,0),I159,1),"")</f>
        <v>K</v>
      </c>
      <c r="I159" s="23">
        <v>93</v>
      </c>
      <c r="J159" s="3" t="str">
        <f>IFERROR(MID(VLOOKUP($B159,Seqs!$A:$B,2,0),K159,1),"")</f>
        <v>Q</v>
      </c>
      <c r="K159" s="23">
        <v>96</v>
      </c>
      <c r="L159" s="3" t="str">
        <f>IFERROR(MID(VLOOKUP($B159,Seqs!$A:$B,2,0),M159,1),"")</f>
        <v>S</v>
      </c>
      <c r="M159" s="3">
        <v>97</v>
      </c>
      <c r="N159" s="3" t="str">
        <f>IFERROR(MID(VLOOKUP($B159,Seqs!$A:$B,2,0),O159,1),"")</f>
        <v>V</v>
      </c>
      <c r="O159" s="3">
        <v>131</v>
      </c>
      <c r="P159" s="3" t="str">
        <f>IFERROR(MID(VLOOKUP($B159,Seqs!$A:$B,2,0),Q159,1),"")</f>
        <v>P</v>
      </c>
      <c r="Q159" s="3">
        <v>134</v>
      </c>
      <c r="R159" s="3" t="str">
        <f>IFERROR(MID(VLOOKUP($B159,Seqs!$A:$B,2,0),S159,1),"")</f>
        <v>F</v>
      </c>
      <c r="S159" s="3">
        <v>137</v>
      </c>
      <c r="T159" s="3" t="str">
        <f>IFERROR(MID(VLOOKUP($B159,Seqs!$A:$B,2,0),U159,1),"")</f>
        <v>G</v>
      </c>
      <c r="U159" s="3">
        <v>138</v>
      </c>
      <c r="V159" s="3" t="str">
        <f>IFERROR(MID(VLOOKUP($B159,Seqs!$A:$B,2,0),W159,1),"")</f>
        <v>H</v>
      </c>
      <c r="W159" s="3">
        <v>173</v>
      </c>
      <c r="X159" s="3" t="str">
        <f>IFERROR(MID(VLOOKUP($B159,Seqs!$A:$B,2,0),Y159,1),"")</f>
        <v>P</v>
      </c>
      <c r="Y159" s="3">
        <v>174</v>
      </c>
      <c r="Z159" s="3" t="str">
        <f>IFERROR(MID(VLOOKUP($B159,Seqs!$A:$B,2,0),AA159,1),"")</f>
        <v>M</v>
      </c>
      <c r="AA159" s="3">
        <v>181</v>
      </c>
      <c r="AB159" s="3" t="str">
        <f>IFERROR(MID(VLOOKUP($B159,Seqs!$A:$B,2,0),AC159,1),"")</f>
        <v>S</v>
      </c>
      <c r="AC159" s="9">
        <v>182</v>
      </c>
      <c r="AD159" s="3" t="str">
        <f>IFERROR(MID(VLOOKUP($B159,Seqs!$A:$B,2,0),AE159,1),"")</f>
        <v>M</v>
      </c>
      <c r="AE159" s="3">
        <v>208</v>
      </c>
      <c r="AF159" s="3" t="str">
        <f>IFERROR(MID(VLOOKUP($B159,Seqs!$A:$B,2,0),AG159,1),"")</f>
        <v>C</v>
      </c>
      <c r="AG159" s="3">
        <v>225</v>
      </c>
      <c r="AH159" s="3" t="str">
        <f>IFERROR(MID(VLOOKUP($B159,Seqs!$A:$B,2,0),AI159,1),"")</f>
        <v>P</v>
      </c>
      <c r="AI159" s="3">
        <v>227</v>
      </c>
      <c r="AJ159" s="3" t="str">
        <f>IFERROR(MID(VLOOKUP($B159,Seqs!$A:$B,2,0),AK159,1),"")</f>
        <v>T</v>
      </c>
      <c r="AK159" s="3">
        <v>231</v>
      </c>
      <c r="AL159" s="3" t="str">
        <f>IFERROR(MID(VLOOKUP($B159,Seqs!$A:$B,2,0),AM159,1),"")</f>
        <v>G</v>
      </c>
      <c r="AM159" s="3">
        <v>275</v>
      </c>
      <c r="AN159" s="3" t="str">
        <f>IFERROR(MID(VLOOKUP($B159,Seqs!$A:$B,2,0),AO159,1),"")</f>
        <v>P</v>
      </c>
      <c r="AO159" s="3">
        <v>297</v>
      </c>
      <c r="AP159" s="3" t="str">
        <f>IFERROR(MID(VLOOKUP($B159,Seqs!$A:$B,2,0),AQ159,1),"")</f>
        <v>I</v>
      </c>
      <c r="AQ159" s="3">
        <v>334</v>
      </c>
      <c r="AR159" s="3" t="str">
        <f>IFERROR(MID(VLOOKUP($B159,Seqs!$A:$B,2,0),AS159,1),"")</f>
        <v>T</v>
      </c>
      <c r="AS159" s="3">
        <v>340</v>
      </c>
      <c r="AT159" s="3" t="str">
        <f>IFERROR(MID(VLOOKUP($B159,Seqs!$A:$B,2,0),AU159,1),"")</f>
        <v>V</v>
      </c>
      <c r="AU159" s="3">
        <v>372</v>
      </c>
      <c r="AV159" s="3" t="str">
        <f>IFERROR(MID(VLOOKUP($B159,Seqs!$A:$B,2,0),AW159,1),"")</f>
        <v>S</v>
      </c>
      <c r="AW159" s="3">
        <v>373</v>
      </c>
      <c r="AX159" s="3" t="str">
        <f>IFERROR(MID(VLOOKUP($B159,Seqs!$A:$B,2,0),AY159,1),"")</f>
        <v>L</v>
      </c>
      <c r="AY159" s="3">
        <v>384</v>
      </c>
      <c r="AZ159" s="77" t="str">
        <f>VLOOKUP(B159,Classification!A:D,2,0)</f>
        <v>A</v>
      </c>
      <c r="BA159" s="94" t="str">
        <f>VLOOKUP(B159,Classification!A:D,4,0)</f>
        <v>Neurotensin</v>
      </c>
      <c r="BB159" s="27" t="b">
        <f t="shared" si="250"/>
        <v>1</v>
      </c>
      <c r="BC159" s="23">
        <f t="shared" si="223"/>
        <v>277</v>
      </c>
      <c r="BD159" s="56" t="s">
        <v>1379</v>
      </c>
      <c r="BE159" s="3" t="s">
        <v>23</v>
      </c>
      <c r="BF159" s="119" t="s">
        <v>23</v>
      </c>
      <c r="BG159" s="49" t="s">
        <v>1379</v>
      </c>
      <c r="BH159" s="49" t="s">
        <v>1384</v>
      </c>
      <c r="BI159" s="3" t="s">
        <v>1170</v>
      </c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224"/>
        <v>61</v>
      </c>
      <c r="BW159" s="71">
        <f t="shared" si="225"/>
        <v>93</v>
      </c>
      <c r="BX159" s="72">
        <f t="shared" si="226"/>
        <v>97</v>
      </c>
      <c r="BY159" s="71">
        <f t="shared" si="227"/>
        <v>134</v>
      </c>
      <c r="BZ159" s="72">
        <f t="shared" si="228"/>
        <v>138</v>
      </c>
      <c r="CA159" s="71">
        <f t="shared" si="229"/>
        <v>174</v>
      </c>
      <c r="CB159" s="72">
        <f t="shared" si="230"/>
        <v>182</v>
      </c>
      <c r="CC159" s="71">
        <f t="shared" si="231"/>
        <v>225</v>
      </c>
      <c r="CD159" s="72">
        <f t="shared" si="232"/>
        <v>231</v>
      </c>
      <c r="CE159" s="71">
        <f t="shared" si="233"/>
        <v>297</v>
      </c>
      <c r="CF159" s="72">
        <f t="shared" si="234"/>
        <v>340</v>
      </c>
      <c r="CG159" s="71">
        <f t="shared" si="235"/>
        <v>373</v>
      </c>
      <c r="CH159" s="70">
        <f t="shared" si="236"/>
        <v>92</v>
      </c>
      <c r="CI159" s="71">
        <f t="shared" si="237"/>
        <v>96</v>
      </c>
      <c r="CJ159" s="72">
        <f t="shared" si="238"/>
        <v>131</v>
      </c>
      <c r="CK159" s="72">
        <f t="shared" si="239"/>
        <v>137</v>
      </c>
      <c r="CL159" s="72">
        <f t="shared" si="240"/>
        <v>173</v>
      </c>
      <c r="CM159" s="72">
        <f t="shared" si="241"/>
        <v>181</v>
      </c>
      <c r="CN159" s="72">
        <f t="shared" si="242"/>
        <v>208</v>
      </c>
      <c r="CO159" s="72">
        <f t="shared" si="243"/>
        <v>227</v>
      </c>
      <c r="CP159" s="72">
        <f t="shared" si="244"/>
        <v>275</v>
      </c>
      <c r="CQ159" s="72">
        <f t="shared" si="245"/>
        <v>334</v>
      </c>
      <c r="CR159" s="72">
        <f t="shared" si="246"/>
        <v>372</v>
      </c>
      <c r="CS159" s="72">
        <f t="shared" si="247"/>
        <v>384</v>
      </c>
      <c r="CT159" s="23">
        <f t="shared" si="248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249"/>
        <v>ntr1_rat_4BUO</v>
      </c>
      <c r="B160" s="3" t="s">
        <v>914</v>
      </c>
      <c r="C160" s="3" t="s">
        <v>1338</v>
      </c>
      <c r="D160" s="3" t="str">
        <f>IFERROR(MID(VLOOKUP($B160,Seqs!$A:$B,2,0),E160,1),"")</f>
        <v>I</v>
      </c>
      <c r="E160" s="3">
        <v>61</v>
      </c>
      <c r="F160" s="3" t="str">
        <f>IFERROR(MID(VLOOKUP($B160,Seqs!$A:$B,2,0),G160,1),"")</f>
        <v>R</v>
      </c>
      <c r="G160" s="3">
        <v>91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97</v>
      </c>
      <c r="N160" s="3" t="str">
        <f>IFERROR(MID(VLOOKUP($B160,Seqs!$A:$B,2,0),O160,1),"")</f>
        <v>V</v>
      </c>
      <c r="O160" s="3">
        <v>131</v>
      </c>
      <c r="P160" s="3" t="str">
        <f>IFERROR(MID(VLOOKUP($B160,Seqs!$A:$B,2,0),Q160,1),"")</f>
        <v>P</v>
      </c>
      <c r="Q160" s="3">
        <v>134</v>
      </c>
      <c r="R160" s="3" t="str">
        <f>IFERROR(MID(VLOOKUP($B160,Seqs!$A:$B,2,0),S160,1),"")</f>
        <v>F</v>
      </c>
      <c r="S160" s="3">
        <v>137</v>
      </c>
      <c r="T160" s="3" t="str">
        <f>IFERROR(MID(VLOOKUP($B160,Seqs!$A:$B,2,0),U160,1),"")</f>
        <v>G</v>
      </c>
      <c r="U160" s="3">
        <v>138</v>
      </c>
      <c r="V160" s="3" t="str">
        <f>IFERROR(MID(VLOOKUP($B160,Seqs!$A:$B,2,0),W160,1),"")</f>
        <v>H</v>
      </c>
      <c r="W160" s="3">
        <v>173</v>
      </c>
      <c r="X160" s="3" t="str">
        <f>IFERROR(MID(VLOOKUP($B160,Seqs!$A:$B,2,0),Y160,1),"")</f>
        <v/>
      </c>
      <c r="Y160" s="3" t="s">
        <v>23</v>
      </c>
      <c r="Z160" s="3" t="str">
        <f>IFERROR(MID(VLOOKUP($B160,Seqs!$A:$B,2,0),AA160,1),"")</f>
        <v/>
      </c>
      <c r="AA160" s="3" t="s">
        <v>23</v>
      </c>
      <c r="AB160" s="3" t="str">
        <f>IFERROR(MID(VLOOKUP($B160,Seqs!$A:$B,2,0),AC160,1),"")</f>
        <v>S</v>
      </c>
      <c r="AC160" s="9">
        <v>182</v>
      </c>
      <c r="AD160" s="3" t="str">
        <f>IFERROR(MID(VLOOKUP($B160,Seqs!$A:$B,2,0),AE160,1),"")</f>
        <v>M</v>
      </c>
      <c r="AE160" s="3">
        <v>208</v>
      </c>
      <c r="AF160" s="3" t="str">
        <f>IFERROR(MID(VLOOKUP($B160,Seqs!$A:$B,2,0),AG160,1),"")</f>
        <v>C</v>
      </c>
      <c r="AG160" s="3">
        <v>225</v>
      </c>
      <c r="AH160" s="3" t="str">
        <f>IFERROR(MID(VLOOKUP($B160,Seqs!$A:$B,2,0),AI160,1),"")</f>
        <v>P</v>
      </c>
      <c r="AI160" s="3">
        <v>227</v>
      </c>
      <c r="AJ160" s="3" t="str">
        <f>IFERROR(MID(VLOOKUP($B160,Seqs!$A:$B,2,0),AK160,1),"")</f>
        <v>T</v>
      </c>
      <c r="AK160" s="3">
        <v>231</v>
      </c>
      <c r="AL160" s="3" t="str">
        <f>IFERROR(MID(VLOOKUP($B160,Seqs!$A:$B,2,0),AM160,1),"")</f>
        <v>Q</v>
      </c>
      <c r="AM160" s="3">
        <v>270</v>
      </c>
      <c r="AN160" s="3" t="str">
        <f>IFERROR(MID(VLOOKUP($B160,Seqs!$A:$B,2,0),AO160,1),"")</f>
        <v>G</v>
      </c>
      <c r="AO160" s="3">
        <v>298</v>
      </c>
      <c r="AP160" s="3" t="str">
        <f>IFERROR(MID(VLOOKUP($B160,Seqs!$A:$B,2,0),AQ160,1),"")</f>
        <v>I</v>
      </c>
      <c r="AQ160" s="3">
        <v>334</v>
      </c>
      <c r="AR160" s="3" t="str">
        <f>IFERROR(MID(VLOOKUP($B160,Seqs!$A:$B,2,0),AS160,1),"")</f>
        <v>T</v>
      </c>
      <c r="AS160" s="3">
        <v>340</v>
      </c>
      <c r="AT160" s="3" t="str">
        <f>IFERROR(MID(VLOOKUP($B160,Seqs!$A:$B,2,0),AU160,1),"")</f>
        <v>V</v>
      </c>
      <c r="AU160" s="3">
        <v>372</v>
      </c>
      <c r="AV160" s="3" t="str">
        <f>IFERROR(MID(VLOOKUP($B160,Seqs!$A:$B,2,0),AW160,1),"")</f>
        <v>S</v>
      </c>
      <c r="AW160" s="3">
        <v>373</v>
      </c>
      <c r="AX160" s="3" t="str">
        <f>IFERROR(MID(VLOOKUP($B160,Seqs!$A:$B,2,0),AY160,1),"")</f>
        <v>L</v>
      </c>
      <c r="AY160" s="3">
        <v>384</v>
      </c>
      <c r="AZ160" s="77" t="str">
        <f>VLOOKUP(B160,Classification!A:D,2,0)</f>
        <v>A</v>
      </c>
      <c r="BA160" s="94" t="str">
        <f>VLOOKUP(B160,Classification!A:D,4,0)</f>
        <v>Neurotensin</v>
      </c>
      <c r="BB160" s="27" t="b">
        <f t="shared" si="250"/>
        <v>1</v>
      </c>
      <c r="BC160" s="23">
        <f t="shared" si="223"/>
        <v>260</v>
      </c>
      <c r="BD160" s="16" t="s">
        <v>1383</v>
      </c>
      <c r="BE160" s="3" t="s">
        <v>1381</v>
      </c>
      <c r="BF160" s="119">
        <v>2.75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si="224"/>
        <v>61</v>
      </c>
      <c r="BW160" s="71" t="str">
        <f t="shared" si="225"/>
        <v>-</v>
      </c>
      <c r="BX160" s="72">
        <f t="shared" si="226"/>
        <v>97</v>
      </c>
      <c r="BY160" s="71">
        <f t="shared" si="227"/>
        <v>134</v>
      </c>
      <c r="BZ160" s="72">
        <f t="shared" si="228"/>
        <v>138</v>
      </c>
      <c r="CA160" s="71" t="str">
        <f t="shared" si="229"/>
        <v>-</v>
      </c>
      <c r="CB160" s="72">
        <f t="shared" si="230"/>
        <v>182</v>
      </c>
      <c r="CC160" s="71">
        <f t="shared" si="231"/>
        <v>225</v>
      </c>
      <c r="CD160" s="72">
        <f t="shared" si="232"/>
        <v>231</v>
      </c>
      <c r="CE160" s="71">
        <f t="shared" si="233"/>
        <v>298</v>
      </c>
      <c r="CF160" s="72">
        <f t="shared" si="234"/>
        <v>340</v>
      </c>
      <c r="CG160" s="71">
        <f t="shared" si="235"/>
        <v>373</v>
      </c>
      <c r="CH160" s="70">
        <f t="shared" si="236"/>
        <v>91</v>
      </c>
      <c r="CI160" s="71" t="str">
        <f t="shared" si="237"/>
        <v>-</v>
      </c>
      <c r="CJ160" s="72">
        <f t="shared" si="238"/>
        <v>131</v>
      </c>
      <c r="CK160" s="72">
        <f t="shared" si="239"/>
        <v>137</v>
      </c>
      <c r="CL160" s="72">
        <f t="shared" si="240"/>
        <v>173</v>
      </c>
      <c r="CM160" s="72" t="str">
        <f t="shared" si="241"/>
        <v>-</v>
      </c>
      <c r="CN160" s="72">
        <f t="shared" si="242"/>
        <v>208</v>
      </c>
      <c r="CO160" s="72">
        <f t="shared" si="243"/>
        <v>227</v>
      </c>
      <c r="CP160" s="72">
        <f t="shared" si="244"/>
        <v>270</v>
      </c>
      <c r="CQ160" s="72">
        <f t="shared" si="245"/>
        <v>334</v>
      </c>
      <c r="CR160" s="72">
        <f t="shared" si="246"/>
        <v>372</v>
      </c>
      <c r="CS160" s="72">
        <f t="shared" si="247"/>
        <v>384</v>
      </c>
      <c r="CT160" s="23" t="e">
        <f t="shared" si="248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249"/>
        <v>ntr1_rat_4GRV</v>
      </c>
      <c r="B161" s="3" t="s">
        <v>914</v>
      </c>
      <c r="C161" s="3" t="s">
        <v>50</v>
      </c>
      <c r="D161" s="3" t="str">
        <f>IFERROR(MID(VLOOKUP($B161,Seqs!$A:$B,2,0),E161,1),"")</f>
        <v>I</v>
      </c>
      <c r="E161" s="3">
        <v>61</v>
      </c>
      <c r="F161" s="3" t="str">
        <f>IFERROR(MID(VLOOKUP($B161,Seqs!$A:$B,2,0),G161,1),"")</f>
        <v>T</v>
      </c>
      <c r="G161" s="3">
        <v>88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Q</v>
      </c>
      <c r="M161" s="3">
        <v>99</v>
      </c>
      <c r="N161" s="3" t="str">
        <f>IFERROR(MID(VLOOKUP($B161,Seqs!$A:$B,2,0),O161,1),"")</f>
        <v>V</v>
      </c>
      <c r="O161" s="3">
        <v>131</v>
      </c>
      <c r="P161" s="3" t="str">
        <f>IFERROR(MID(VLOOKUP($B161,Seqs!$A:$B,2,0),Q161,1),"")</f>
        <v>P</v>
      </c>
      <c r="Q161" s="3">
        <v>134</v>
      </c>
      <c r="R161" s="3" t="str">
        <f>IFERROR(MID(VLOOKUP($B161,Seqs!$A:$B,2,0),S161,1),"")</f>
        <v>F</v>
      </c>
      <c r="S161" s="3">
        <v>137</v>
      </c>
      <c r="T161" s="3" t="str">
        <f>IFERROR(MID(VLOOKUP($B161,Seqs!$A:$B,2,0),U161,1),"")</f>
        <v>G</v>
      </c>
      <c r="U161" s="3">
        <v>138</v>
      </c>
      <c r="V161" s="3" t="str">
        <f>IFERROR(MID(VLOOKUP($B161,Seqs!$A:$B,2,0),W161,1),"")</f>
        <v>H</v>
      </c>
      <c r="W161" s="3">
        <v>173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T</v>
      </c>
      <c r="AC161" s="9">
        <v>186</v>
      </c>
      <c r="AD161" s="3" t="str">
        <f>IFERROR(MID(VLOOKUP($B161,Seqs!$A:$B,2,0),AE161,1),"")</f>
        <v>M</v>
      </c>
      <c r="AE161" s="3">
        <v>208</v>
      </c>
      <c r="AF161" s="3" t="str">
        <f>IFERROR(MID(VLOOKUP($B161,Seqs!$A:$B,2,0),AG161,1),"")</f>
        <v>C</v>
      </c>
      <c r="AG161" s="3">
        <v>225</v>
      </c>
      <c r="AH161" s="3" t="str">
        <f>IFERROR(MID(VLOOKUP($B161,Seqs!$A:$B,2,0),AI161,1),"")</f>
        <v>P</v>
      </c>
      <c r="AI161" s="3">
        <v>227</v>
      </c>
      <c r="AJ161" s="3" t="str">
        <f>IFERROR(MID(VLOOKUP($B161,Seqs!$A:$B,2,0),AK161,1),"")</f>
        <v>T</v>
      </c>
      <c r="AK161" s="3">
        <v>231</v>
      </c>
      <c r="AL161" s="3" t="str">
        <f>IFERROR(MID(VLOOKUP($B161,Seqs!$A:$B,2,0),AM161,1),"")</f>
        <v>T</v>
      </c>
      <c r="AM161" s="3">
        <v>265</v>
      </c>
      <c r="AN161" s="3" t="str">
        <f>IFERROR(MID(VLOOKUP($B161,Seqs!$A:$B,2,0),AO161,1),"")</f>
        <v>A</v>
      </c>
      <c r="AO161" s="3">
        <v>302</v>
      </c>
      <c r="AP161" s="3" t="str">
        <f>IFERROR(MID(VLOOKUP($B161,Seqs!$A:$B,2,0),AQ161,1),"")</f>
        <v>I</v>
      </c>
      <c r="AQ161" s="3">
        <v>334</v>
      </c>
      <c r="AR161" s="3" t="str">
        <f>IFERROR(MID(VLOOKUP($B161,Seqs!$A:$B,2,0),AS161,1),"")</f>
        <v>T</v>
      </c>
      <c r="AS161" s="3">
        <v>340</v>
      </c>
      <c r="AT161" s="3" t="str">
        <f>IFERROR(MID(VLOOKUP($B161,Seqs!$A:$B,2,0),AU161,1),"")</f>
        <v>S</v>
      </c>
      <c r="AU161" s="3">
        <v>361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Neurotensin</v>
      </c>
      <c r="BB161" s="27" t="b">
        <f t="shared" si="250"/>
        <v>1</v>
      </c>
      <c r="BC161" s="23">
        <f t="shared" si="223"/>
        <v>220</v>
      </c>
      <c r="BD161" s="5" t="s">
        <v>23</v>
      </c>
      <c r="BE161" s="3" t="s">
        <v>1439</v>
      </c>
      <c r="BF161" s="119">
        <v>2.8</v>
      </c>
      <c r="BG161" s="49" t="s">
        <v>1384</v>
      </c>
      <c r="BH161" s="49" t="s">
        <v>1384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 t="shared" si="224"/>
        <v>61</v>
      </c>
      <c r="BW161" s="71" t="str">
        <f t="shared" si="225"/>
        <v>-</v>
      </c>
      <c r="BX161" s="72">
        <f t="shared" si="226"/>
        <v>99</v>
      </c>
      <c r="BY161" s="71">
        <f t="shared" si="227"/>
        <v>134</v>
      </c>
      <c r="BZ161" s="72">
        <f t="shared" si="228"/>
        <v>138</v>
      </c>
      <c r="CA161" s="71" t="str">
        <f t="shared" si="229"/>
        <v>-</v>
      </c>
      <c r="CB161" s="72">
        <f t="shared" si="230"/>
        <v>186</v>
      </c>
      <c r="CC161" s="71">
        <f t="shared" si="231"/>
        <v>225</v>
      </c>
      <c r="CD161" s="72">
        <f t="shared" si="232"/>
        <v>231</v>
      </c>
      <c r="CE161" s="71">
        <f t="shared" si="233"/>
        <v>302</v>
      </c>
      <c r="CF161" s="72">
        <f t="shared" si="234"/>
        <v>340</v>
      </c>
      <c r="CG161" s="71" t="str">
        <f t="shared" si="235"/>
        <v>-</v>
      </c>
      <c r="CH161" s="70">
        <f t="shared" si="236"/>
        <v>88</v>
      </c>
      <c r="CI161" s="71" t="str">
        <f t="shared" si="237"/>
        <v>-</v>
      </c>
      <c r="CJ161" s="72">
        <f t="shared" si="238"/>
        <v>131</v>
      </c>
      <c r="CK161" s="72">
        <f t="shared" si="239"/>
        <v>137</v>
      </c>
      <c r="CL161" s="72">
        <f t="shared" si="240"/>
        <v>173</v>
      </c>
      <c r="CM161" s="72" t="str">
        <f t="shared" si="241"/>
        <v>-</v>
      </c>
      <c r="CN161" s="72">
        <f t="shared" si="242"/>
        <v>208</v>
      </c>
      <c r="CO161" s="72">
        <f t="shared" si="243"/>
        <v>227</v>
      </c>
      <c r="CP161" s="72">
        <f t="shared" si="244"/>
        <v>265</v>
      </c>
      <c r="CQ161" s="72">
        <f t="shared" si="245"/>
        <v>334</v>
      </c>
      <c r="CR161" s="72">
        <f t="shared" si="246"/>
        <v>361</v>
      </c>
      <c r="CS161" s="72" t="str">
        <f t="shared" si="247"/>
        <v>-</v>
      </c>
      <c r="CT161" s="23" t="e">
        <f t="shared" si="248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249"/>
        <v>ntr1_rat_4XEE</v>
      </c>
      <c r="B162" s="3" t="s">
        <v>914</v>
      </c>
      <c r="C162" s="3" t="s">
        <v>1356</v>
      </c>
      <c r="D162" s="3" t="str">
        <f>IFERROR(MID(VLOOKUP($B162,Seqs!$A:$B,2,0),E162,1),"")</f>
        <v>I</v>
      </c>
      <c r="E162" s="3">
        <v>61</v>
      </c>
      <c r="F162" s="3" t="str">
        <f>IFERROR(MID(VLOOKUP($B162,Seqs!$A:$B,2,0),G162,1),"")</f>
        <v>R</v>
      </c>
      <c r="G162" s="3">
        <v>91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100</v>
      </c>
      <c r="N162" s="3" t="str">
        <f>IFERROR(MID(VLOOKUP($B162,Seqs!$A:$B,2,0),O162,1),"")</f>
        <v>V</v>
      </c>
      <c r="O162" s="3">
        <v>131</v>
      </c>
      <c r="P162" s="3" t="str">
        <f>IFERROR(MID(VLOOKUP($B162,Seqs!$A:$B,2,0),Q162,1),"")</f>
        <v>P</v>
      </c>
      <c r="Q162" s="3">
        <v>134</v>
      </c>
      <c r="R162" s="3" t="str">
        <f>IFERROR(MID(VLOOKUP($B162,Seqs!$A:$B,2,0),S162,1),"")</f>
        <v>F</v>
      </c>
      <c r="S162" s="3">
        <v>137</v>
      </c>
      <c r="T162" s="3" t="str">
        <f>IFERROR(MID(VLOOKUP($B162,Seqs!$A:$B,2,0),U162,1),"")</f>
        <v>G</v>
      </c>
      <c r="U162" s="3">
        <v>138</v>
      </c>
      <c r="V162" s="3" t="str">
        <f>IFERROR(MID(VLOOKUP($B162,Seqs!$A:$B,2,0),W162,1),"")</f>
        <v>H</v>
      </c>
      <c r="W162" s="3">
        <v>173</v>
      </c>
      <c r="X162" s="3" t="str">
        <f>IFERROR(MID(VLOOKUP($B162,Seqs!$A:$B,2,0),Y162,1),"")</f>
        <v>P</v>
      </c>
      <c r="Y162" s="3">
        <v>174</v>
      </c>
      <c r="Z162" s="3" t="str">
        <f>IFERROR(MID(VLOOKUP($B162,Seqs!$A:$B,2,0),AA162,1),"")</f>
        <v>M</v>
      </c>
      <c r="AA162" s="3">
        <v>181</v>
      </c>
      <c r="AB162" s="3" t="str">
        <f>IFERROR(MID(VLOOKUP($B162,Seqs!$A:$B,2,0),AC162,1),"")</f>
        <v>S</v>
      </c>
      <c r="AC162" s="9">
        <v>182</v>
      </c>
      <c r="AD162" s="3" t="str">
        <f>IFERROR(MID(VLOOKUP($B162,Seqs!$A:$B,2,0),AE162,1),"")</f>
        <v>M</v>
      </c>
      <c r="AE162" s="3">
        <v>208</v>
      </c>
      <c r="AF162" s="3" t="str">
        <f>IFERROR(MID(VLOOKUP($B162,Seqs!$A:$B,2,0),AG162,1),"")</f>
        <v>C</v>
      </c>
      <c r="AG162" s="3">
        <v>225</v>
      </c>
      <c r="AH162" s="3" t="str">
        <f>IFERROR(MID(VLOOKUP($B162,Seqs!$A:$B,2,0),AI162,1),"")</f>
        <v>P</v>
      </c>
      <c r="AI162" s="3">
        <v>227</v>
      </c>
      <c r="AJ162" s="3" t="str">
        <f>IFERROR(MID(VLOOKUP($B162,Seqs!$A:$B,2,0),AK162,1),"")</f>
        <v>T</v>
      </c>
      <c r="AK162" s="3">
        <v>231</v>
      </c>
      <c r="AL162" s="3" t="str">
        <f>IFERROR(MID(VLOOKUP($B162,Seqs!$A:$B,2,0),AM162,1),"")</f>
        <v>V</v>
      </c>
      <c r="AM162" s="3">
        <v>268</v>
      </c>
      <c r="AN162" s="3" t="str">
        <f>IFERROR(MID(VLOOKUP($B162,Seqs!$A:$B,2,0),AO162,1),"")</f>
        <v>Q</v>
      </c>
      <c r="AO162" s="3">
        <v>301</v>
      </c>
      <c r="AP162" s="3" t="str">
        <f>IFERROR(MID(VLOOKUP($B162,Seqs!$A:$B,2,0),AQ162,1),"")</f>
        <v>I</v>
      </c>
      <c r="AQ162" s="3">
        <v>334</v>
      </c>
      <c r="AR162" s="3" t="str">
        <f>IFERROR(MID(VLOOKUP($B162,Seqs!$A:$B,2,0),AS162,1),"")</f>
        <v>T</v>
      </c>
      <c r="AS162" s="3">
        <v>340</v>
      </c>
      <c r="AT162" s="3" t="str">
        <f>IFERROR(MID(VLOOKUP($B162,Seqs!$A:$B,2,0),AU162,1),"")</f>
        <v>I</v>
      </c>
      <c r="AU162" s="3">
        <v>364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Neurotensin</v>
      </c>
      <c r="BB162" s="27" t="b">
        <f t="shared" si="250"/>
        <v>1</v>
      </c>
      <c r="BC162" s="23">
        <f t="shared" si="223"/>
        <v>240</v>
      </c>
      <c r="BD162" s="4" t="s">
        <v>23</v>
      </c>
      <c r="BE162" s="3" t="s">
        <v>1439</v>
      </c>
      <c r="BF162" s="119">
        <v>2.9</v>
      </c>
      <c r="BG162" s="49" t="s">
        <v>1384</v>
      </c>
      <c r="BH162" s="49" t="s">
        <v>1384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si="224"/>
        <v>61</v>
      </c>
      <c r="BW162" s="71" t="str">
        <f t="shared" si="225"/>
        <v>-</v>
      </c>
      <c r="BX162" s="72">
        <f t="shared" si="226"/>
        <v>100</v>
      </c>
      <c r="BY162" s="71">
        <f t="shared" si="227"/>
        <v>134</v>
      </c>
      <c r="BZ162" s="72">
        <f t="shared" si="228"/>
        <v>138</v>
      </c>
      <c r="CA162" s="71">
        <f t="shared" si="229"/>
        <v>174</v>
      </c>
      <c r="CB162" s="72">
        <f t="shared" si="230"/>
        <v>182</v>
      </c>
      <c r="CC162" s="71">
        <f t="shared" si="231"/>
        <v>225</v>
      </c>
      <c r="CD162" s="72">
        <f t="shared" si="232"/>
        <v>231</v>
      </c>
      <c r="CE162" s="71">
        <f t="shared" si="233"/>
        <v>301</v>
      </c>
      <c r="CF162" s="72">
        <f t="shared" si="234"/>
        <v>340</v>
      </c>
      <c r="CG162" s="71" t="str">
        <f t="shared" si="235"/>
        <v>-</v>
      </c>
      <c r="CH162" s="70">
        <f t="shared" si="236"/>
        <v>91</v>
      </c>
      <c r="CI162" s="71" t="str">
        <f t="shared" si="237"/>
        <v>-</v>
      </c>
      <c r="CJ162" s="72">
        <f t="shared" si="238"/>
        <v>131</v>
      </c>
      <c r="CK162" s="72">
        <f t="shared" si="239"/>
        <v>137</v>
      </c>
      <c r="CL162" s="72">
        <f t="shared" si="240"/>
        <v>173</v>
      </c>
      <c r="CM162" s="72">
        <f t="shared" si="241"/>
        <v>181</v>
      </c>
      <c r="CN162" s="72">
        <f t="shared" si="242"/>
        <v>208</v>
      </c>
      <c r="CO162" s="72">
        <f t="shared" si="243"/>
        <v>227</v>
      </c>
      <c r="CP162" s="72">
        <f t="shared" si="244"/>
        <v>268</v>
      </c>
      <c r="CQ162" s="72">
        <f t="shared" si="245"/>
        <v>334</v>
      </c>
      <c r="CR162" s="72">
        <f t="shared" si="246"/>
        <v>364</v>
      </c>
      <c r="CS162" s="72" t="str">
        <f t="shared" si="247"/>
        <v>-</v>
      </c>
      <c r="CT162" s="23" t="e">
        <f t="shared" si="248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249"/>
        <v>ntr1_rat_4XES</v>
      </c>
      <c r="B163" s="3" t="s">
        <v>914</v>
      </c>
      <c r="C163" s="3" t="s">
        <v>1357</v>
      </c>
      <c r="D163" s="3" t="str">
        <f>IFERROR(MID(VLOOKUP($B163,Seqs!$A:$B,2,0),E163,1),"")</f>
        <v>I</v>
      </c>
      <c r="E163" s="3">
        <v>61</v>
      </c>
      <c r="F163" s="3" t="str">
        <f>IFERROR(MID(VLOOKUP($B163,Seqs!$A:$B,2,0),G163,1),"")</f>
        <v>K</v>
      </c>
      <c r="G163" s="3">
        <v>92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97</v>
      </c>
      <c r="N163" s="3" t="str">
        <f>IFERROR(MID(VLOOKUP($B163,Seqs!$A:$B,2,0),O163,1),"")</f>
        <v>V</v>
      </c>
      <c r="O163" s="3">
        <v>131</v>
      </c>
      <c r="P163" s="3" t="str">
        <f>IFERROR(MID(VLOOKUP($B163,Seqs!$A:$B,2,0),Q163,1),"")</f>
        <v>P</v>
      </c>
      <c r="Q163" s="3">
        <v>134</v>
      </c>
      <c r="R163" s="3" t="str">
        <f>IFERROR(MID(VLOOKUP($B163,Seqs!$A:$B,2,0),S163,1),"")</f>
        <v>F</v>
      </c>
      <c r="S163" s="3">
        <v>137</v>
      </c>
      <c r="T163" s="3" t="str">
        <f>IFERROR(MID(VLOOKUP($B163,Seqs!$A:$B,2,0),U163,1),"")</f>
        <v>G</v>
      </c>
      <c r="U163" s="3">
        <v>138</v>
      </c>
      <c r="V163" s="3" t="str">
        <f>IFERROR(MID(VLOOKUP($B163,Seqs!$A:$B,2,0),W163,1),"")</f>
        <v>H</v>
      </c>
      <c r="W163" s="3">
        <v>173</v>
      </c>
      <c r="X163" s="3" t="str">
        <f>IFERROR(MID(VLOOKUP($B163,Seqs!$A:$B,2,0),Y163,1),"")</f>
        <v>P</v>
      </c>
      <c r="Y163" s="3">
        <v>174</v>
      </c>
      <c r="Z163" s="3" t="str">
        <f>IFERROR(MID(VLOOKUP($B163,Seqs!$A:$B,2,0),AA163,1),"")</f>
        <v>M</v>
      </c>
      <c r="AA163" s="3">
        <v>181</v>
      </c>
      <c r="AB163" s="3" t="str">
        <f>IFERROR(MID(VLOOKUP($B163,Seqs!$A:$B,2,0),AC163,1),"")</f>
        <v>S</v>
      </c>
      <c r="AC163" s="9">
        <v>182</v>
      </c>
      <c r="AD163" s="3" t="str">
        <f>IFERROR(MID(VLOOKUP($B163,Seqs!$A:$B,2,0),AE163,1),"")</f>
        <v>M</v>
      </c>
      <c r="AE163" s="3">
        <v>208</v>
      </c>
      <c r="AF163" s="3" t="str">
        <f>IFERROR(MID(VLOOKUP($B163,Seqs!$A:$B,2,0),AG163,1),"")</f>
        <v>C</v>
      </c>
      <c r="AG163" s="3">
        <v>225</v>
      </c>
      <c r="AH163" s="3" t="str">
        <f>IFERROR(MID(VLOOKUP($B163,Seqs!$A:$B,2,0),AI163,1),"")</f>
        <v>P</v>
      </c>
      <c r="AI163" s="3">
        <v>227</v>
      </c>
      <c r="AJ163" s="3" t="str">
        <f>IFERROR(MID(VLOOKUP($B163,Seqs!$A:$B,2,0),AK163,1),"")</f>
        <v>T</v>
      </c>
      <c r="AK163" s="3">
        <v>231</v>
      </c>
      <c r="AL163" s="3" t="str">
        <f>IFERROR(MID(VLOOKUP($B163,Seqs!$A:$B,2,0),AM163,1),"")</f>
        <v>V</v>
      </c>
      <c r="AM163" s="3">
        <v>268</v>
      </c>
      <c r="AN163" s="3" t="str">
        <f>IFERROR(MID(VLOOKUP($B163,Seqs!$A:$B,2,0),AO163,1),"")</f>
        <v>A</v>
      </c>
      <c r="AO163" s="3">
        <v>302</v>
      </c>
      <c r="AP163" s="3" t="str">
        <f>IFERROR(MID(VLOOKUP($B163,Seqs!$A:$B,2,0),AQ163,1),"")</f>
        <v>I</v>
      </c>
      <c r="AQ163" s="3">
        <v>334</v>
      </c>
      <c r="AR163" s="3" t="str">
        <f>IFERROR(MID(VLOOKUP($B163,Seqs!$A:$B,2,0),AS163,1),"")</f>
        <v>T</v>
      </c>
      <c r="AS163" s="3">
        <v>340</v>
      </c>
      <c r="AT163" s="3" t="str">
        <f>IFERROR(MID(VLOOKUP($B163,Seqs!$A:$B,2,0),AU163,1),"")</f>
        <v>I</v>
      </c>
      <c r="AU163" s="3">
        <v>364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Neurotensin</v>
      </c>
      <c r="BB163" s="27" t="b">
        <f t="shared" si="250"/>
        <v>1</v>
      </c>
      <c r="BC163" s="23">
        <f t="shared" si="223"/>
        <v>243</v>
      </c>
      <c r="BD163" s="5" t="s">
        <v>1440</v>
      </c>
      <c r="BE163" s="3" t="s">
        <v>1439</v>
      </c>
      <c r="BF163" s="119">
        <v>2.6</v>
      </c>
      <c r="BG163" s="49" t="s">
        <v>1384</v>
      </c>
      <c r="BH163" s="49" t="s">
        <v>1384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224"/>
        <v>61</v>
      </c>
      <c r="BW163" s="71" t="str">
        <f t="shared" si="225"/>
        <v>-</v>
      </c>
      <c r="BX163" s="72">
        <f t="shared" si="226"/>
        <v>97</v>
      </c>
      <c r="BY163" s="71">
        <f t="shared" si="227"/>
        <v>134</v>
      </c>
      <c r="BZ163" s="72">
        <f t="shared" si="228"/>
        <v>138</v>
      </c>
      <c r="CA163" s="71">
        <f t="shared" si="229"/>
        <v>174</v>
      </c>
      <c r="CB163" s="72">
        <f t="shared" si="230"/>
        <v>182</v>
      </c>
      <c r="CC163" s="71">
        <f t="shared" si="231"/>
        <v>225</v>
      </c>
      <c r="CD163" s="72">
        <f t="shared" si="232"/>
        <v>231</v>
      </c>
      <c r="CE163" s="71">
        <f t="shared" si="233"/>
        <v>302</v>
      </c>
      <c r="CF163" s="72">
        <f t="shared" si="234"/>
        <v>340</v>
      </c>
      <c r="CG163" s="71" t="str">
        <f t="shared" si="235"/>
        <v>-</v>
      </c>
      <c r="CH163" s="70">
        <f t="shared" si="236"/>
        <v>92</v>
      </c>
      <c r="CI163" s="71" t="str">
        <f t="shared" si="237"/>
        <v>-</v>
      </c>
      <c r="CJ163" s="72">
        <f t="shared" si="238"/>
        <v>131</v>
      </c>
      <c r="CK163" s="72">
        <f t="shared" si="239"/>
        <v>137</v>
      </c>
      <c r="CL163" s="72">
        <f t="shared" si="240"/>
        <v>173</v>
      </c>
      <c r="CM163" s="72">
        <f t="shared" si="241"/>
        <v>181</v>
      </c>
      <c r="CN163" s="72">
        <f t="shared" si="242"/>
        <v>208</v>
      </c>
      <c r="CO163" s="72">
        <f t="shared" si="243"/>
        <v>227</v>
      </c>
      <c r="CP163" s="72">
        <f t="shared" si="244"/>
        <v>268</v>
      </c>
      <c r="CQ163" s="72">
        <f t="shared" si="245"/>
        <v>334</v>
      </c>
      <c r="CR163" s="72">
        <f t="shared" si="246"/>
        <v>364</v>
      </c>
      <c r="CS163" s="72" t="str">
        <f t="shared" si="247"/>
        <v>-</v>
      </c>
      <c r="CT163" s="23" t="e">
        <f t="shared" si="248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30" x14ac:dyDescent="0.2">
      <c r="A164" s="3" t="str">
        <f>CONCATENATE(B164,"_",C164)</f>
        <v>ntr1_rat_5T04</v>
      </c>
      <c r="B164" s="3" t="s">
        <v>914</v>
      </c>
      <c r="C164" s="3" t="s">
        <v>1392</v>
      </c>
      <c r="D164" s="3" t="str">
        <f>IFERROR(MID(VLOOKUP($B164,Seqs!$A:$B,2,0),E164,1),"")</f>
        <v>I</v>
      </c>
      <c r="E164" s="3">
        <v>61</v>
      </c>
      <c r="F164" s="3" t="str">
        <f>IFERROR(MID(VLOOKUP($B164,Seqs!$A:$B,2,0),G164,1),"")</f>
        <v>T</v>
      </c>
      <c r="G164" s="3">
        <v>88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H</v>
      </c>
      <c r="M164" s="3">
        <v>103</v>
      </c>
      <c r="N164" s="3" t="str">
        <f>IFERROR(MID(VLOOKUP($B164,Seqs!$A:$B,2,0),O164,1),"")</f>
        <v>V</v>
      </c>
      <c r="O164" s="3">
        <v>131</v>
      </c>
      <c r="P164" s="3" t="str">
        <f>IFERROR(MID(VLOOKUP($B164,Seqs!$A:$B,2,0),Q164,1),"")</f>
        <v>P</v>
      </c>
      <c r="Q164" s="3">
        <v>134</v>
      </c>
      <c r="R164" s="3" t="str">
        <f>IFERROR(MID(VLOOKUP($B164,Seqs!$A:$B,2,0),S164,1),"")</f>
        <v>F</v>
      </c>
      <c r="S164" s="3">
        <v>137</v>
      </c>
      <c r="T164" s="3" t="str">
        <f>IFERROR(MID(VLOOKUP($B164,Seqs!$A:$B,2,0),U164,1),"")</f>
        <v>G</v>
      </c>
      <c r="U164" s="3">
        <v>138</v>
      </c>
      <c r="V164" s="3" t="str">
        <f>IFERROR(MID(VLOOKUP($B164,Seqs!$A:$B,2,0),W164,1),"")</f>
        <v>H</v>
      </c>
      <c r="W164" s="3">
        <v>173</v>
      </c>
      <c r="X164" s="3" t="str">
        <f>IFERROR(MID(VLOOKUP($B164,Seqs!$A:$B,2,0),Y164,1),"")</f>
        <v>P</v>
      </c>
      <c r="Y164" s="3">
        <v>174</v>
      </c>
      <c r="Z164" s="3" t="str">
        <f>IFERROR(MID(VLOOKUP($B164,Seqs!$A:$B,2,0),AA164,1),"")</f>
        <v>M</v>
      </c>
      <c r="AA164" s="3">
        <v>181</v>
      </c>
      <c r="AB164" s="3" t="str">
        <f>IFERROR(MID(VLOOKUP($B164,Seqs!$A:$B,2,0),AC164,1),"")</f>
        <v>S</v>
      </c>
      <c r="AC164" s="3">
        <v>182</v>
      </c>
      <c r="AD164" s="3" t="str">
        <f>IFERROR(MID(VLOOKUP($B164,Seqs!$A:$B,2,0),AE164,1),"")</f>
        <v>M</v>
      </c>
      <c r="AE164" s="3">
        <v>208</v>
      </c>
      <c r="AF164" s="3" t="str">
        <f>IFERROR(MID(VLOOKUP($B164,Seqs!$A:$B,2,0),AG164,1),"")</f>
        <v>C</v>
      </c>
      <c r="AG164" s="3">
        <v>225</v>
      </c>
      <c r="AH164" s="3" t="str">
        <f>IFERROR(MID(VLOOKUP($B164,Seqs!$A:$B,2,0),AI164,1),"")</f>
        <v>P</v>
      </c>
      <c r="AI164" s="3">
        <v>227</v>
      </c>
      <c r="AJ164" s="3" t="str">
        <f>IFERROR(MID(VLOOKUP($B164,Seqs!$A:$B,2,0),AK164,1),"")</f>
        <v>T</v>
      </c>
      <c r="AK164" s="3">
        <v>231</v>
      </c>
      <c r="AL164" s="3" t="str">
        <f>IFERROR(MID(VLOOKUP($B164,Seqs!$A:$B,2,0),AM164,1),"")</f>
        <v>V</v>
      </c>
      <c r="AM164" s="3">
        <v>268</v>
      </c>
      <c r="AN164" s="3" t="str">
        <f>IFERROR(MID(VLOOKUP($B164,Seqs!$A:$B,2,0),AO164,1),"")</f>
        <v>P</v>
      </c>
      <c r="AO164" s="3">
        <v>297</v>
      </c>
      <c r="AP164" s="3" t="str">
        <f>IFERROR(MID(VLOOKUP($B164,Seqs!$A:$B,2,0),AQ164,1),"")</f>
        <v>I</v>
      </c>
      <c r="AQ164" s="3">
        <v>334</v>
      </c>
      <c r="AR164" s="3" t="str">
        <f>IFERROR(MID(VLOOKUP($B164,Seqs!$A:$B,2,0),AS164,1),"")</f>
        <v>T</v>
      </c>
      <c r="AS164" s="3">
        <v>340</v>
      </c>
      <c r="AT164" s="3" t="str">
        <f>IFERROR(MID(VLOOKUP($B164,Seqs!$A:$B,2,0),AU164,1),"")</f>
        <v>I</v>
      </c>
      <c r="AU164" s="3">
        <v>364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Neurotensin</v>
      </c>
      <c r="BB164" s="27" t="b">
        <f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>_xlfn.AGGREGATE(9,6,CH164:CS164)-_xlfn.AGGREGATE(9,6,BV164:CG164)+12</f>
        <v>238</v>
      </c>
      <c r="BD164" s="5" t="s">
        <v>1382</v>
      </c>
      <c r="BE164" s="3" t="s">
        <v>1297</v>
      </c>
      <c r="BF164" s="119">
        <v>3.3</v>
      </c>
      <c r="BG164" s="49" t="s">
        <v>1384</v>
      </c>
      <c r="BH164" s="49" t="s">
        <v>1384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>E164</f>
        <v>61</v>
      </c>
      <c r="BW164" s="71" t="str">
        <f>I164</f>
        <v>-</v>
      </c>
      <c r="BX164" s="72">
        <f>M164</f>
        <v>103</v>
      </c>
      <c r="BY164" s="71">
        <f>Q164</f>
        <v>134</v>
      </c>
      <c r="BZ164" s="72">
        <f>U164</f>
        <v>138</v>
      </c>
      <c r="CA164" s="71">
        <f>Y164</f>
        <v>174</v>
      </c>
      <c r="CB164" s="72">
        <f>AC164</f>
        <v>182</v>
      </c>
      <c r="CC164" s="71">
        <f>AG164</f>
        <v>225</v>
      </c>
      <c r="CD164" s="72">
        <f>AK164</f>
        <v>231</v>
      </c>
      <c r="CE164" s="71">
        <f>AO164</f>
        <v>297</v>
      </c>
      <c r="CF164" s="72">
        <f>AS164</f>
        <v>340</v>
      </c>
      <c r="CG164" s="71" t="str">
        <f>AW164</f>
        <v>-</v>
      </c>
      <c r="CH164" s="70">
        <f>G164</f>
        <v>88</v>
      </c>
      <c r="CI164" s="71" t="str">
        <f>K164</f>
        <v>-</v>
      </c>
      <c r="CJ164" s="72">
        <f>O164</f>
        <v>131</v>
      </c>
      <c r="CK164" s="72">
        <f>S164</f>
        <v>137</v>
      </c>
      <c r="CL164" s="72">
        <f>W164</f>
        <v>173</v>
      </c>
      <c r="CM164" s="72">
        <f>AA164</f>
        <v>181</v>
      </c>
      <c r="CN164" s="72">
        <f>AE164</f>
        <v>208</v>
      </c>
      <c r="CO164" s="72">
        <f>AI164</f>
        <v>227</v>
      </c>
      <c r="CP164" s="72">
        <f>AM164</f>
        <v>268</v>
      </c>
      <c r="CQ164" s="72">
        <f>AQ164</f>
        <v>334</v>
      </c>
      <c r="CR164" s="72">
        <f>AU164</f>
        <v>364</v>
      </c>
      <c r="CS164" s="72" t="str">
        <f>AY164</f>
        <v>-</v>
      </c>
      <c r="CT164" s="23" t="e">
        <f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30" x14ac:dyDescent="0.2">
      <c r="A165" s="3" t="str">
        <f t="shared" si="249"/>
        <v>oprd_human__wt</v>
      </c>
      <c r="B165" s="3" t="s">
        <v>335</v>
      </c>
      <c r="C165" s="3" t="s">
        <v>100</v>
      </c>
      <c r="D165" s="3" t="str">
        <f>IFERROR(MID(VLOOKUP($B165,Seqs!$A:$B,2,0),E165,1),"")</f>
        <v>G</v>
      </c>
      <c r="E165" s="3">
        <v>39</v>
      </c>
      <c r="F165" s="3" t="str">
        <f>IFERROR(MID(VLOOKUP($B165,Seqs!$A:$B,2,0),G165,1),"")</f>
        <v>Y</v>
      </c>
      <c r="G165" s="3">
        <v>77</v>
      </c>
      <c r="H165" s="3" t="str">
        <f>IFERROR(MID(VLOOKUP($B165,Seqs!$A:$B,2,0),I165,1),"")</f>
        <v>T</v>
      </c>
      <c r="I165" s="23">
        <v>78</v>
      </c>
      <c r="J165" s="3" t="str">
        <f>IFERROR(MID(VLOOKUP($B165,Seqs!$A:$B,2,0),K165,1),"")</f>
        <v>K</v>
      </c>
      <c r="K165" s="23">
        <v>81</v>
      </c>
      <c r="L165" s="3" t="str">
        <f>IFERROR(MID(VLOOKUP($B165,Seqs!$A:$B,2,0),M165,1),"")</f>
        <v>T</v>
      </c>
      <c r="M165" s="3">
        <v>82</v>
      </c>
      <c r="N165" s="3" t="str">
        <f>IFERROR(MID(VLOOKUP($B165,Seqs!$A:$B,2,0),O165,1),"")</f>
        <v>M</v>
      </c>
      <c r="O165" s="3">
        <v>111</v>
      </c>
      <c r="P165" s="3" t="str">
        <f>IFERROR(MID(VLOOKUP($B165,Seqs!$A:$B,2,0),Q165,1),"")</f>
        <v>T</v>
      </c>
      <c r="Q165" s="3">
        <v>113</v>
      </c>
      <c r="R165" s="3" t="str">
        <f>IFERROR(MID(VLOOKUP($B165,Seqs!$A:$B,2,0),S165,1),"")</f>
        <v>F</v>
      </c>
      <c r="S165" s="3">
        <v>116</v>
      </c>
      <c r="T165" s="3" t="str">
        <f>IFERROR(MID(VLOOKUP($B165,Seqs!$A:$B,2,0),U165,1),"")</f>
        <v>G</v>
      </c>
      <c r="U165" s="3">
        <v>117</v>
      </c>
      <c r="V165" s="3" t="str">
        <f>IFERROR(MID(VLOOKUP($B165,Seqs!$A:$B,2,0),W165,1),"")</f>
        <v>H</v>
      </c>
      <c r="W165" s="3">
        <v>152</v>
      </c>
      <c r="X165" s="3" t="str">
        <f>IFERROR(MID(VLOOKUP($B165,Seqs!$A:$B,2,0),Y165,1),"")</f>
        <v>P</v>
      </c>
      <c r="Y165" s="3">
        <v>153</v>
      </c>
      <c r="Z165" s="3" t="str">
        <f>IFERROR(MID(VLOOKUP($B165,Seqs!$A:$B,2,0),AA165,1),"")</f>
        <v>R</v>
      </c>
      <c r="AA165" s="3">
        <v>160</v>
      </c>
      <c r="AB165" s="3" t="str">
        <f>IFERROR(MID(VLOOKUP($B165,Seqs!$A:$B,2,0),AC165,1),"")</f>
        <v>T</v>
      </c>
      <c r="AC165" s="9">
        <v>161</v>
      </c>
      <c r="AD165" s="3" t="str">
        <f>IFERROR(MID(VLOOKUP($B165,Seqs!$A:$B,2,0),AE165,1),"")</f>
        <v>A</v>
      </c>
      <c r="AE165" s="3">
        <v>187</v>
      </c>
      <c r="AF165" s="3" t="str">
        <f>IFERROR(MID(VLOOKUP($B165,Seqs!$A:$B,2,0),AG165,1),"")</f>
        <v>C</v>
      </c>
      <c r="AG165" s="3">
        <v>198</v>
      </c>
      <c r="AH165" s="3" t="str">
        <f>IFERROR(MID(VLOOKUP($B165,Seqs!$A:$B,2,0),AI165,1),"")</f>
        <v>L</v>
      </c>
      <c r="AI165" s="3">
        <v>200</v>
      </c>
      <c r="AJ165" s="3" t="str">
        <f>IFERROR(MID(VLOOKUP($B165,Seqs!$A:$B,2,0),AK165,1),"")</f>
        <v>S</v>
      </c>
      <c r="AK165" s="3">
        <v>206</v>
      </c>
      <c r="AL165" s="3" t="str">
        <f>IFERROR(MID(VLOOKUP($B165,Seqs!$A:$B,2,0),AM165,1),"")</f>
        <v>V</v>
      </c>
      <c r="AM165" s="3">
        <v>243</v>
      </c>
      <c r="AN165" s="3" t="str">
        <f>IFERROR(MID(VLOOKUP($B165,Seqs!$A:$B,2,0),AO165,1),"")</f>
        <v>S</v>
      </c>
      <c r="AO165" s="3">
        <v>249</v>
      </c>
      <c r="AP165" s="3" t="str">
        <f>IFERROR(MID(VLOOKUP($B165,Seqs!$A:$B,2,0),AQ165,1),"")</f>
        <v>V</v>
      </c>
      <c r="AQ165" s="3">
        <v>287</v>
      </c>
      <c r="AR165" s="3" t="str">
        <f>IFERROR(MID(VLOOKUP($B165,Seqs!$A:$B,2,0),AS165,1),"")</f>
        <v>D</v>
      </c>
      <c r="AS165" s="3">
        <v>293</v>
      </c>
      <c r="AT165" s="3" t="str">
        <f>IFERROR(MID(VLOOKUP($B165,Seqs!$A:$B,2,0),AU165,1),"")</f>
        <v>L</v>
      </c>
      <c r="AU165" s="3">
        <v>321</v>
      </c>
      <c r="AV165" s="3" t="str">
        <f>IFERROR(MID(VLOOKUP($B165,Seqs!$A:$B,2,0),AW165,1),"")</f>
        <v>D</v>
      </c>
      <c r="AW165" s="3">
        <v>322</v>
      </c>
      <c r="AX165" s="3" t="str">
        <f>IFERROR(MID(VLOOKUP($B165,Seqs!$A:$B,2,0),AY165,1),"")</f>
        <v>K</v>
      </c>
      <c r="AY165" s="3">
        <v>335</v>
      </c>
      <c r="AZ165" s="77" t="str">
        <f>VLOOKUP(B165,Classification!A:D,2,0)</f>
        <v>A</v>
      </c>
      <c r="BA165" s="94" t="str">
        <f>VLOOKUP(B165,Classification!A:D,4,0)</f>
        <v>Opioid</v>
      </c>
      <c r="BB165" s="27" t="b">
        <f t="shared" si="250"/>
        <v>1</v>
      </c>
      <c r="BC165" s="23">
        <f t="shared" si="223"/>
        <v>271</v>
      </c>
      <c r="BD165" s="56" t="s">
        <v>1379</v>
      </c>
      <c r="BE165" s="3" t="s">
        <v>23</v>
      </c>
      <c r="BF165" s="119" t="s">
        <v>23</v>
      </c>
      <c r="BG165" s="49" t="s">
        <v>1379</v>
      </c>
      <c r="BH165" s="49" t="s">
        <v>1384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224"/>
        <v>39</v>
      </c>
      <c r="BW165" s="71">
        <f t="shared" si="225"/>
        <v>78</v>
      </c>
      <c r="BX165" s="72">
        <f t="shared" si="226"/>
        <v>82</v>
      </c>
      <c r="BY165" s="71">
        <f t="shared" si="227"/>
        <v>113</v>
      </c>
      <c r="BZ165" s="72">
        <f t="shared" si="228"/>
        <v>117</v>
      </c>
      <c r="CA165" s="71">
        <f t="shared" si="229"/>
        <v>153</v>
      </c>
      <c r="CB165" s="72">
        <f t="shared" si="230"/>
        <v>161</v>
      </c>
      <c r="CC165" s="71">
        <f t="shared" si="231"/>
        <v>198</v>
      </c>
      <c r="CD165" s="72">
        <f t="shared" si="232"/>
        <v>206</v>
      </c>
      <c r="CE165" s="71">
        <f t="shared" si="233"/>
        <v>249</v>
      </c>
      <c r="CF165" s="72">
        <f t="shared" si="234"/>
        <v>293</v>
      </c>
      <c r="CG165" s="71">
        <f t="shared" si="235"/>
        <v>322</v>
      </c>
      <c r="CH165" s="70">
        <f t="shared" si="236"/>
        <v>77</v>
      </c>
      <c r="CI165" s="71">
        <f t="shared" si="237"/>
        <v>81</v>
      </c>
      <c r="CJ165" s="72">
        <f t="shared" si="238"/>
        <v>111</v>
      </c>
      <c r="CK165" s="72">
        <f t="shared" si="239"/>
        <v>116</v>
      </c>
      <c r="CL165" s="72">
        <f t="shared" si="240"/>
        <v>152</v>
      </c>
      <c r="CM165" s="72">
        <f t="shared" si="241"/>
        <v>160</v>
      </c>
      <c r="CN165" s="72">
        <f t="shared" si="242"/>
        <v>187</v>
      </c>
      <c r="CO165" s="72">
        <f t="shared" si="243"/>
        <v>200</v>
      </c>
      <c r="CP165" s="72">
        <f t="shared" si="244"/>
        <v>243</v>
      </c>
      <c r="CQ165" s="72">
        <f t="shared" si="245"/>
        <v>287</v>
      </c>
      <c r="CR165" s="72">
        <f t="shared" si="246"/>
        <v>321</v>
      </c>
      <c r="CS165" s="72">
        <f t="shared" si="247"/>
        <v>335</v>
      </c>
      <c r="CT165" s="23">
        <f t="shared" si="248"/>
        <v>1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30" x14ac:dyDescent="0.2">
      <c r="A166" s="3" t="str">
        <f t="shared" si="249"/>
        <v>oprd_human_4N6H</v>
      </c>
      <c r="B166" s="3" t="s">
        <v>335</v>
      </c>
      <c r="C166" s="3" t="s">
        <v>87</v>
      </c>
      <c r="D166" s="3" t="str">
        <f>IFERROR(MID(VLOOKUP($B166,Seqs!$A:$B,2,0),E166,1),"")</f>
        <v>G</v>
      </c>
      <c r="E166" s="3">
        <v>39</v>
      </c>
      <c r="F166" s="3" t="str">
        <f>IFERROR(MID(VLOOKUP($B166,Seqs!$A:$B,2,0),G166,1),"")</f>
        <v>Y</v>
      </c>
      <c r="G166" s="3">
        <v>77</v>
      </c>
      <c r="H166" s="3" t="str">
        <f>IFERROR(MID(VLOOKUP($B166,Seqs!$A:$B,2,0),I166,1),"")</f>
        <v>T</v>
      </c>
      <c r="I166" s="23">
        <v>78</v>
      </c>
      <c r="J166" s="3" t="str">
        <f>IFERROR(MID(VLOOKUP($B166,Seqs!$A:$B,2,0),K166,1),"")</f>
        <v>K</v>
      </c>
      <c r="K166" s="23">
        <v>81</v>
      </c>
      <c r="L166" s="3" t="str">
        <f>IFERROR(MID(VLOOKUP($B166,Seqs!$A:$B,2,0),M166,1),"")</f>
        <v>T</v>
      </c>
      <c r="M166" s="3">
        <v>82</v>
      </c>
      <c r="N166" s="3" t="str">
        <f>IFERROR(MID(VLOOKUP($B166,Seqs!$A:$B,2,0),O166,1),"")</f>
        <v>M</v>
      </c>
      <c r="O166" s="3">
        <v>111</v>
      </c>
      <c r="P166" s="3" t="str">
        <f>IFERROR(MID(VLOOKUP($B166,Seqs!$A:$B,2,0),Q166,1),"")</f>
        <v>T</v>
      </c>
      <c r="Q166" s="3">
        <v>113</v>
      </c>
      <c r="R166" s="3" t="str">
        <f>IFERROR(MID(VLOOKUP($B166,Seqs!$A:$B,2,0),S166,1),"")</f>
        <v>F</v>
      </c>
      <c r="S166" s="3">
        <v>116</v>
      </c>
      <c r="T166" s="3" t="str">
        <f>IFERROR(MID(VLOOKUP($B166,Seqs!$A:$B,2,0),U166,1),"")</f>
        <v>G</v>
      </c>
      <c r="U166" s="3">
        <v>117</v>
      </c>
      <c r="V166" s="3" t="str">
        <f>IFERROR(MID(VLOOKUP($B166,Seqs!$A:$B,2,0),W166,1),"")</f>
        <v>H</v>
      </c>
      <c r="W166" s="3">
        <v>152</v>
      </c>
      <c r="X166" s="3" t="str">
        <f>IFERROR(MID(VLOOKUP($B166,Seqs!$A:$B,2,0),Y166,1),"")</f>
        <v>P</v>
      </c>
      <c r="Y166" s="3">
        <v>153</v>
      </c>
      <c r="Z166" s="3" t="str">
        <f>IFERROR(MID(VLOOKUP($B166,Seqs!$A:$B,2,0),AA166,1),"")</f>
        <v>R</v>
      </c>
      <c r="AA166" s="3">
        <v>160</v>
      </c>
      <c r="AB166" s="3" t="str">
        <f>IFERROR(MID(VLOOKUP($B166,Seqs!$A:$B,2,0),AC166,1),"")</f>
        <v>T</v>
      </c>
      <c r="AC166" s="9">
        <v>161</v>
      </c>
      <c r="AD166" s="3" t="str">
        <f>IFERROR(MID(VLOOKUP($B166,Seqs!$A:$B,2,0),AE166,1),"")</f>
        <v>A</v>
      </c>
      <c r="AE166" s="3">
        <v>187</v>
      </c>
      <c r="AF166" s="3" t="str">
        <f>IFERROR(MID(VLOOKUP($B166,Seqs!$A:$B,2,0),AG166,1),"")</f>
        <v>C</v>
      </c>
      <c r="AG166" s="3">
        <v>198</v>
      </c>
      <c r="AH166" s="3" t="str">
        <f>IFERROR(MID(VLOOKUP($B166,Seqs!$A:$B,2,0),AI166,1),"")</f>
        <v>L</v>
      </c>
      <c r="AI166" s="3">
        <v>200</v>
      </c>
      <c r="AJ166" s="3" t="str">
        <f>IFERROR(MID(VLOOKUP($B166,Seqs!$A:$B,2,0),AK166,1),"")</f>
        <v>S</v>
      </c>
      <c r="AK166" s="3">
        <v>206</v>
      </c>
      <c r="AL166" s="3" t="str">
        <f>IFERROR(MID(VLOOKUP($B166,Seqs!$A:$B,2,0),AM166,1),"")</f>
        <v>V</v>
      </c>
      <c r="AM166" s="3">
        <v>243</v>
      </c>
      <c r="AN166" s="3" t="str">
        <f>IFERROR(MID(VLOOKUP($B166,Seqs!$A:$B,2,0),AO166,1),"")</f>
        <v>S</v>
      </c>
      <c r="AO166" s="3">
        <v>249</v>
      </c>
      <c r="AP166" s="3" t="str">
        <f>IFERROR(MID(VLOOKUP($B166,Seqs!$A:$B,2,0),AQ166,1),"")</f>
        <v>V</v>
      </c>
      <c r="AQ166" s="3">
        <v>287</v>
      </c>
      <c r="AR166" s="3" t="str">
        <f>IFERROR(MID(VLOOKUP($B166,Seqs!$A:$B,2,0),AS166,1),"")</f>
        <v>D</v>
      </c>
      <c r="AS166" s="3">
        <v>293</v>
      </c>
      <c r="AT166" s="3" t="str">
        <f>IFERROR(MID(VLOOKUP($B166,Seqs!$A:$B,2,0),AU166,1),"")</f>
        <v>L</v>
      </c>
      <c r="AU166" s="3">
        <v>321</v>
      </c>
      <c r="AV166" s="3" t="str">
        <f>IFERROR(MID(VLOOKUP($B166,Seqs!$A:$B,2,0),AW166,1),"")</f>
        <v>D</v>
      </c>
      <c r="AW166" s="3">
        <v>322</v>
      </c>
      <c r="AX166" s="3" t="str">
        <f>IFERROR(MID(VLOOKUP($B166,Seqs!$A:$B,2,0),AY166,1),"")</f>
        <v>K</v>
      </c>
      <c r="AY166" s="3">
        <v>335</v>
      </c>
      <c r="AZ166" s="77" t="str">
        <f>VLOOKUP(B166,Classification!A:D,2,0)</f>
        <v>A</v>
      </c>
      <c r="BA166" s="94" t="str">
        <f>VLOOKUP(B166,Classification!A:D,4,0)</f>
        <v>Opioid</v>
      </c>
      <c r="BB166" s="27" t="b">
        <f t="shared" si="250"/>
        <v>1</v>
      </c>
      <c r="BC166" s="23">
        <f t="shared" si="223"/>
        <v>271</v>
      </c>
      <c r="BD166" s="16" t="s">
        <v>1383</v>
      </c>
      <c r="BE166" s="3" t="s">
        <v>1381</v>
      </c>
      <c r="BF166" s="119">
        <v>1.8</v>
      </c>
      <c r="BG166" s="49" t="s">
        <v>1384</v>
      </c>
      <c r="BH166" s="49" t="s">
        <v>1384</v>
      </c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224"/>
        <v>39</v>
      </c>
      <c r="BW166" s="71">
        <f t="shared" si="225"/>
        <v>78</v>
      </c>
      <c r="BX166" s="72">
        <f t="shared" si="226"/>
        <v>82</v>
      </c>
      <c r="BY166" s="71">
        <f t="shared" si="227"/>
        <v>113</v>
      </c>
      <c r="BZ166" s="72">
        <f t="shared" si="228"/>
        <v>117</v>
      </c>
      <c r="CA166" s="71">
        <f t="shared" si="229"/>
        <v>153</v>
      </c>
      <c r="CB166" s="72">
        <f t="shared" si="230"/>
        <v>161</v>
      </c>
      <c r="CC166" s="71">
        <f t="shared" si="231"/>
        <v>198</v>
      </c>
      <c r="CD166" s="72">
        <f t="shared" si="232"/>
        <v>206</v>
      </c>
      <c r="CE166" s="71">
        <f t="shared" si="233"/>
        <v>249</v>
      </c>
      <c r="CF166" s="72">
        <f t="shared" si="234"/>
        <v>293</v>
      </c>
      <c r="CG166" s="71">
        <f t="shared" si="235"/>
        <v>322</v>
      </c>
      <c r="CH166" s="70">
        <f t="shared" si="236"/>
        <v>77</v>
      </c>
      <c r="CI166" s="71">
        <f t="shared" si="237"/>
        <v>81</v>
      </c>
      <c r="CJ166" s="72">
        <f t="shared" si="238"/>
        <v>111</v>
      </c>
      <c r="CK166" s="72">
        <f t="shared" si="239"/>
        <v>116</v>
      </c>
      <c r="CL166" s="72">
        <f t="shared" si="240"/>
        <v>152</v>
      </c>
      <c r="CM166" s="72">
        <f t="shared" si="241"/>
        <v>160</v>
      </c>
      <c r="CN166" s="72">
        <f t="shared" si="242"/>
        <v>187</v>
      </c>
      <c r="CO166" s="72">
        <f t="shared" si="243"/>
        <v>200</v>
      </c>
      <c r="CP166" s="72">
        <f t="shared" si="244"/>
        <v>243</v>
      </c>
      <c r="CQ166" s="72">
        <f t="shared" si="245"/>
        <v>287</v>
      </c>
      <c r="CR166" s="72">
        <f t="shared" si="246"/>
        <v>321</v>
      </c>
      <c r="CS166" s="72">
        <f t="shared" si="247"/>
        <v>335</v>
      </c>
      <c r="CT166" s="23">
        <f t="shared" si="248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s="2" customFormat="1" x14ac:dyDescent="0.2">
      <c r="A167" s="3" t="str">
        <f t="shared" si="249"/>
        <v>oprd_human_4RWD</v>
      </c>
      <c r="B167" s="1" t="s">
        <v>335</v>
      </c>
      <c r="C167" s="1" t="s">
        <v>1344</v>
      </c>
      <c r="D167" s="3" t="str">
        <f>IFERROR(MID(VLOOKUP($B167,Seqs!$A:$B,2,0),E167,1),"")</f>
        <v>A</v>
      </c>
      <c r="E167" s="3">
        <v>43</v>
      </c>
      <c r="F167" s="3" t="str">
        <f>IFERROR(MID(VLOOKUP($B167,Seqs!$A:$B,2,0),G167,1),"")</f>
        <v>Y</v>
      </c>
      <c r="G167" s="3">
        <v>77</v>
      </c>
      <c r="H167" s="3" t="str">
        <f>IFERROR(MID(VLOOKUP($B167,Seqs!$A:$B,2,0),I167,1),"")</f>
        <v>T</v>
      </c>
      <c r="I167" s="23">
        <v>78</v>
      </c>
      <c r="J167" s="3" t="str">
        <f>IFERROR(MID(VLOOKUP($B167,Seqs!$A:$B,2,0),K167,1),"")</f>
        <v>K</v>
      </c>
      <c r="K167" s="23">
        <v>81</v>
      </c>
      <c r="L167" s="3" t="str">
        <f>IFERROR(MID(VLOOKUP($B167,Seqs!$A:$B,2,0),M167,1),"")</f>
        <v>T</v>
      </c>
      <c r="M167" s="3">
        <v>82</v>
      </c>
      <c r="N167" s="3" t="str">
        <f>IFERROR(MID(VLOOKUP($B167,Seqs!$A:$B,2,0),O167,1),"")</f>
        <v>M</v>
      </c>
      <c r="O167" s="3">
        <v>111</v>
      </c>
      <c r="P167" s="3" t="str">
        <f>IFERROR(MID(VLOOKUP($B167,Seqs!$A:$B,2,0),Q167,1),"")</f>
        <v>T</v>
      </c>
      <c r="Q167" s="3">
        <v>113</v>
      </c>
      <c r="R167" s="3" t="str">
        <f>IFERROR(MID(VLOOKUP($B167,Seqs!$A:$B,2,0),S167,1),"")</f>
        <v>F</v>
      </c>
      <c r="S167" s="3">
        <v>116</v>
      </c>
      <c r="T167" s="3" t="str">
        <f>IFERROR(MID(VLOOKUP($B167,Seqs!$A:$B,2,0),U167,1),"")</f>
        <v>G</v>
      </c>
      <c r="U167" s="3">
        <v>117</v>
      </c>
      <c r="V167" s="3" t="str">
        <f>IFERROR(MID(VLOOKUP($B167,Seqs!$A:$B,2,0),W167,1),"")</f>
        <v>H</v>
      </c>
      <c r="W167" s="3">
        <v>152</v>
      </c>
      <c r="X167" s="3" t="str">
        <f>IFERROR(MID(VLOOKUP($B167,Seqs!$A:$B,2,0),Y167,1),"")</f>
        <v>P</v>
      </c>
      <c r="Y167" s="3">
        <v>153</v>
      </c>
      <c r="Z167" s="3" t="str">
        <f>IFERROR(MID(VLOOKUP($B167,Seqs!$A:$B,2,0),AA167,1),"")</f>
        <v>R</v>
      </c>
      <c r="AA167" s="3">
        <v>160</v>
      </c>
      <c r="AB167" s="3" t="str">
        <f>IFERROR(MID(VLOOKUP($B167,Seqs!$A:$B,2,0),AC167,1),"")</f>
        <v>T</v>
      </c>
      <c r="AC167" s="9">
        <v>161</v>
      </c>
      <c r="AD167" s="3" t="str">
        <f>IFERROR(MID(VLOOKUP($B167,Seqs!$A:$B,2,0),AE167,1),"")</f>
        <v>A</v>
      </c>
      <c r="AE167" s="3">
        <v>187</v>
      </c>
      <c r="AF167" s="3" t="str">
        <f>IFERROR(MID(VLOOKUP($B167,Seqs!$A:$B,2,0),AG167,1),"")</f>
        <v>C</v>
      </c>
      <c r="AG167" s="3">
        <v>198</v>
      </c>
      <c r="AH167" s="3" t="str">
        <f>IFERROR(MID(VLOOKUP($B167,Seqs!$A:$B,2,0),AI167,1),"")</f>
        <v>L</v>
      </c>
      <c r="AI167" s="3">
        <v>200</v>
      </c>
      <c r="AJ167" s="3" t="str">
        <f>IFERROR(MID(VLOOKUP($B167,Seqs!$A:$B,2,0),AK167,1),"")</f>
        <v>S</v>
      </c>
      <c r="AK167" s="3">
        <v>206</v>
      </c>
      <c r="AL167" s="3" t="str">
        <f>IFERROR(MID(VLOOKUP($B167,Seqs!$A:$B,2,0),AM167,1),"")</f>
        <v>V</v>
      </c>
      <c r="AM167" s="3">
        <v>243</v>
      </c>
      <c r="AN167" s="3" t="str">
        <f>IFERROR(MID(VLOOKUP($B167,Seqs!$A:$B,2,0),AO167,1),"")</f>
        <v>S</v>
      </c>
      <c r="AO167" s="3">
        <v>249</v>
      </c>
      <c r="AP167" s="3" t="str">
        <f>IFERROR(MID(VLOOKUP($B167,Seqs!$A:$B,2,0),AQ167,1),"")</f>
        <v>V</v>
      </c>
      <c r="AQ167" s="3">
        <v>287</v>
      </c>
      <c r="AR167" s="3" t="str">
        <f>IFERROR(MID(VLOOKUP($B167,Seqs!$A:$B,2,0),AS167,1),"")</f>
        <v>D</v>
      </c>
      <c r="AS167" s="3">
        <v>293</v>
      </c>
      <c r="AT167" s="3" t="str">
        <f>IFERROR(MID(VLOOKUP($B167,Seqs!$A:$B,2,0),AU167,1),"")</f>
        <v>L</v>
      </c>
      <c r="AU167" s="3">
        <v>321</v>
      </c>
      <c r="AV167" s="3" t="str">
        <f>IFERROR(MID(VLOOKUP($B167,Seqs!$A:$B,2,0),AW167,1),"")</f>
        <v>D</v>
      </c>
      <c r="AW167" s="3">
        <v>322</v>
      </c>
      <c r="AX167" s="3" t="str">
        <f>IFERROR(MID(VLOOKUP($B167,Seqs!$A:$B,2,0),AY167,1),"")</f>
        <v>C</v>
      </c>
      <c r="AY167" s="3">
        <v>333</v>
      </c>
      <c r="AZ167" s="77" t="str">
        <f>VLOOKUP(B167,Classification!A:D,2,0)</f>
        <v>A</v>
      </c>
      <c r="BA167" s="94" t="str">
        <f>VLOOKUP(B167,Classification!A:D,4,0)</f>
        <v>Opioid</v>
      </c>
      <c r="BB167" s="27" t="b">
        <f t="shared" si="250"/>
        <v>1</v>
      </c>
      <c r="BC167" s="23">
        <f t="shared" si="223"/>
        <v>265</v>
      </c>
      <c r="BD167" s="16" t="s">
        <v>23</v>
      </c>
      <c r="BE167" s="3" t="s">
        <v>1381</v>
      </c>
      <c r="BF167" s="119">
        <v>2.7</v>
      </c>
      <c r="BG167" s="49" t="s">
        <v>1384</v>
      </c>
      <c r="BH167" s="49" t="s">
        <v>1384</v>
      </c>
      <c r="BI167" s="3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 t="shared" si="224"/>
        <v>43</v>
      </c>
      <c r="BW167" s="71">
        <f t="shared" si="225"/>
        <v>78</v>
      </c>
      <c r="BX167" s="72">
        <f t="shared" si="226"/>
        <v>82</v>
      </c>
      <c r="BY167" s="71">
        <f t="shared" si="227"/>
        <v>113</v>
      </c>
      <c r="BZ167" s="72">
        <f t="shared" si="228"/>
        <v>117</v>
      </c>
      <c r="CA167" s="71">
        <f t="shared" si="229"/>
        <v>153</v>
      </c>
      <c r="CB167" s="72">
        <f t="shared" si="230"/>
        <v>161</v>
      </c>
      <c r="CC167" s="71">
        <f t="shared" si="231"/>
        <v>198</v>
      </c>
      <c r="CD167" s="72">
        <f t="shared" si="232"/>
        <v>206</v>
      </c>
      <c r="CE167" s="71">
        <f t="shared" si="233"/>
        <v>249</v>
      </c>
      <c r="CF167" s="72">
        <f t="shared" si="234"/>
        <v>293</v>
      </c>
      <c r="CG167" s="71">
        <f t="shared" si="235"/>
        <v>322</v>
      </c>
      <c r="CH167" s="70">
        <f t="shared" si="236"/>
        <v>77</v>
      </c>
      <c r="CI167" s="71">
        <f t="shared" si="237"/>
        <v>81</v>
      </c>
      <c r="CJ167" s="72">
        <f t="shared" si="238"/>
        <v>111</v>
      </c>
      <c r="CK167" s="72">
        <f t="shared" si="239"/>
        <v>116</v>
      </c>
      <c r="CL167" s="72">
        <f t="shared" si="240"/>
        <v>152</v>
      </c>
      <c r="CM167" s="72">
        <f t="shared" si="241"/>
        <v>160</v>
      </c>
      <c r="CN167" s="72">
        <f t="shared" si="242"/>
        <v>187</v>
      </c>
      <c r="CO167" s="72">
        <f t="shared" si="243"/>
        <v>200</v>
      </c>
      <c r="CP167" s="72">
        <f t="shared" si="244"/>
        <v>243</v>
      </c>
      <c r="CQ167" s="72">
        <f t="shared" si="245"/>
        <v>287</v>
      </c>
      <c r="CR167" s="72">
        <f t="shared" si="246"/>
        <v>321</v>
      </c>
      <c r="CS167" s="72">
        <f t="shared" si="247"/>
        <v>333</v>
      </c>
      <c r="CT167" s="23">
        <f t="shared" si="248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</row>
    <row r="168" spans="1:1030" s="2" customFormat="1" x14ac:dyDescent="0.2">
      <c r="A168" s="3" t="str">
        <f t="shared" si="249"/>
        <v>oprd_mouse__wt</v>
      </c>
      <c r="B168" s="3" t="s">
        <v>916</v>
      </c>
      <c r="C168" s="3" t="s">
        <v>100</v>
      </c>
      <c r="D168" s="3" t="str">
        <f>IFERROR(MID(VLOOKUP($B168,Seqs!$A:$B,2,0),E168,1),"")</f>
        <v>R</v>
      </c>
      <c r="E168" s="3">
        <v>41</v>
      </c>
      <c r="F168" s="3" t="str">
        <f>IFERROR(MID(VLOOKUP($B168,Seqs!$A:$B,2,0),G168,1),"")</f>
        <v>Y</v>
      </c>
      <c r="G168" s="3">
        <v>77</v>
      </c>
      <c r="H168" s="3" t="str">
        <f>IFERROR(MID(VLOOKUP($B168,Seqs!$A:$B,2,0),I168,1),"")</f>
        <v>T</v>
      </c>
      <c r="I168" s="23">
        <v>78</v>
      </c>
      <c r="J168" s="3" t="str">
        <f>IFERROR(MID(VLOOKUP($B168,Seqs!$A:$B,2,0),K168,1),"")</f>
        <v>K</v>
      </c>
      <c r="K168" s="23">
        <v>81</v>
      </c>
      <c r="L168" s="3" t="str">
        <f>IFERROR(MID(VLOOKUP($B168,Seqs!$A:$B,2,0),M168,1),"")</f>
        <v>T</v>
      </c>
      <c r="M168" s="3">
        <v>82</v>
      </c>
      <c r="N168" s="3" t="str">
        <f>IFERROR(MID(VLOOKUP($B168,Seqs!$A:$B,2,0),O168,1),"")</f>
        <v>M</v>
      </c>
      <c r="O168" s="3">
        <v>111</v>
      </c>
      <c r="P168" s="3" t="str">
        <f>IFERROR(MID(VLOOKUP($B168,Seqs!$A:$B,2,0),Q168,1),"")</f>
        <v>T</v>
      </c>
      <c r="Q168" s="3">
        <v>113</v>
      </c>
      <c r="R168" s="3" t="str">
        <f>IFERROR(MID(VLOOKUP($B168,Seqs!$A:$B,2,0),S168,1),"")</f>
        <v>F</v>
      </c>
      <c r="S168" s="3">
        <v>116</v>
      </c>
      <c r="T168" s="3" t="str">
        <f>IFERROR(MID(VLOOKUP($B168,Seqs!$A:$B,2,0),U168,1),"")</f>
        <v>G</v>
      </c>
      <c r="U168" s="3">
        <v>117</v>
      </c>
      <c r="V168" s="3" t="str">
        <f>IFERROR(MID(VLOOKUP($B168,Seqs!$A:$B,2,0),W168,1),"")</f>
        <v>H</v>
      </c>
      <c r="W168" s="3">
        <v>152</v>
      </c>
      <c r="X168" s="3" t="str">
        <f>IFERROR(MID(VLOOKUP($B168,Seqs!$A:$B,2,0),Y168,1),"")</f>
        <v>P</v>
      </c>
      <c r="Y168" s="3">
        <v>153</v>
      </c>
      <c r="Z168" s="3" t="str">
        <f>IFERROR(MID(VLOOKUP($B168,Seqs!$A:$B,2,0),AA168,1),"")</f>
        <v>R</v>
      </c>
      <c r="AA168" s="3">
        <v>160</v>
      </c>
      <c r="AB168" s="3" t="str">
        <f>IFERROR(MID(VLOOKUP($B168,Seqs!$A:$B,2,0),AC168,1),"")</f>
        <v>T</v>
      </c>
      <c r="AC168" s="9">
        <v>161</v>
      </c>
      <c r="AD168" s="3" t="str">
        <f>IFERROR(MID(VLOOKUP($B168,Seqs!$A:$B,2,0),AE168,1),"")</f>
        <v>A</v>
      </c>
      <c r="AE168" s="3">
        <v>187</v>
      </c>
      <c r="AF168" s="3" t="str">
        <f>IFERROR(MID(VLOOKUP($B168,Seqs!$A:$B,2,0),AG168,1),"")</f>
        <v>C</v>
      </c>
      <c r="AG168" s="3">
        <v>198</v>
      </c>
      <c r="AH168" s="3" t="str">
        <f>IFERROR(MID(VLOOKUP($B168,Seqs!$A:$B,2,0),AI168,1),"")</f>
        <v>L</v>
      </c>
      <c r="AI168" s="3">
        <v>200</v>
      </c>
      <c r="AJ168" s="3" t="str">
        <f>IFERROR(MID(VLOOKUP($B168,Seqs!$A:$B,2,0),AK168,1),"")</f>
        <v>S</v>
      </c>
      <c r="AK168" s="3">
        <v>206</v>
      </c>
      <c r="AL168" s="3" t="str">
        <f>IFERROR(MID(VLOOKUP($B168,Seqs!$A:$B,2,0),AM168,1),"")</f>
        <v>V</v>
      </c>
      <c r="AM168" s="3">
        <v>243</v>
      </c>
      <c r="AN168" s="3" t="str">
        <f>IFERROR(MID(VLOOKUP($B168,Seqs!$A:$B,2,0),AO168,1),"")</f>
        <v>S</v>
      </c>
      <c r="AO168" s="3">
        <v>249</v>
      </c>
      <c r="AP168" s="3" t="str">
        <f>IFERROR(MID(VLOOKUP($B168,Seqs!$A:$B,2,0),AQ168,1),"")</f>
        <v>V</v>
      </c>
      <c r="AQ168" s="3">
        <v>287</v>
      </c>
      <c r="AR168" s="3" t="str">
        <f>IFERROR(MID(VLOOKUP($B168,Seqs!$A:$B,2,0),AS168,1),"")</f>
        <v>D</v>
      </c>
      <c r="AS168" s="3">
        <v>293</v>
      </c>
      <c r="AT168" s="3" t="str">
        <f>IFERROR(MID(VLOOKUP($B168,Seqs!$A:$B,2,0),AU168,1),"")</f>
        <v>L</v>
      </c>
      <c r="AU168" s="3">
        <v>321</v>
      </c>
      <c r="AV168" s="3" t="str">
        <f>IFERROR(MID(VLOOKUP($B168,Seqs!$A:$B,2,0),AW168,1),"")</f>
        <v>D</v>
      </c>
      <c r="AW168" s="3">
        <v>322</v>
      </c>
      <c r="AX168" s="3" t="str">
        <f>IFERROR(MID(VLOOKUP($B168,Seqs!$A:$B,2,0),AY168,1),"")</f>
        <v>T</v>
      </c>
      <c r="AY168" s="3">
        <v>335</v>
      </c>
      <c r="AZ168" s="77" t="str">
        <f>VLOOKUP(B168,Classification!A:D,2,0)</f>
        <v>A</v>
      </c>
      <c r="BA168" s="94" t="str">
        <f>VLOOKUP(B168,Classification!A:D,4,0)</f>
        <v>Opioid</v>
      </c>
      <c r="BB168" s="27" t="b">
        <f t="shared" si="250"/>
        <v>1</v>
      </c>
      <c r="BC168" s="23">
        <f t="shared" si="223"/>
        <v>269</v>
      </c>
      <c r="BD168" s="56" t="s">
        <v>1379</v>
      </c>
      <c r="BE168" s="3" t="s">
        <v>23</v>
      </c>
      <c r="BF168" s="119" t="s">
        <v>23</v>
      </c>
      <c r="BG168" s="49" t="s">
        <v>1379</v>
      </c>
      <c r="BH168" s="49" t="s">
        <v>1384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224"/>
        <v>41</v>
      </c>
      <c r="BW168" s="71">
        <f t="shared" si="225"/>
        <v>78</v>
      </c>
      <c r="BX168" s="72">
        <f t="shared" si="226"/>
        <v>82</v>
      </c>
      <c r="BY168" s="71">
        <f t="shared" si="227"/>
        <v>113</v>
      </c>
      <c r="BZ168" s="72">
        <f t="shared" si="228"/>
        <v>117</v>
      </c>
      <c r="CA168" s="71">
        <f t="shared" si="229"/>
        <v>153</v>
      </c>
      <c r="CB168" s="72">
        <f t="shared" si="230"/>
        <v>161</v>
      </c>
      <c r="CC168" s="71">
        <f t="shared" si="231"/>
        <v>198</v>
      </c>
      <c r="CD168" s="72">
        <f t="shared" si="232"/>
        <v>206</v>
      </c>
      <c r="CE168" s="71">
        <f t="shared" si="233"/>
        <v>249</v>
      </c>
      <c r="CF168" s="72">
        <f t="shared" si="234"/>
        <v>293</v>
      </c>
      <c r="CG168" s="71">
        <f t="shared" si="235"/>
        <v>322</v>
      </c>
      <c r="CH168" s="70">
        <f t="shared" si="236"/>
        <v>77</v>
      </c>
      <c r="CI168" s="71">
        <f t="shared" si="237"/>
        <v>81</v>
      </c>
      <c r="CJ168" s="72">
        <f t="shared" si="238"/>
        <v>111</v>
      </c>
      <c r="CK168" s="72">
        <f t="shared" si="239"/>
        <v>116</v>
      </c>
      <c r="CL168" s="72">
        <f t="shared" si="240"/>
        <v>152</v>
      </c>
      <c r="CM168" s="72">
        <f t="shared" si="241"/>
        <v>160</v>
      </c>
      <c r="CN168" s="72">
        <f t="shared" si="242"/>
        <v>187</v>
      </c>
      <c r="CO168" s="72">
        <f t="shared" si="243"/>
        <v>200</v>
      </c>
      <c r="CP168" s="72">
        <f t="shared" si="244"/>
        <v>243</v>
      </c>
      <c r="CQ168" s="72">
        <f t="shared" si="245"/>
        <v>287</v>
      </c>
      <c r="CR168" s="72">
        <f t="shared" si="246"/>
        <v>321</v>
      </c>
      <c r="CS168" s="72">
        <f t="shared" si="247"/>
        <v>335</v>
      </c>
      <c r="CT168" s="23">
        <f t="shared" si="248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</row>
    <row r="169" spans="1:1030" s="2" customFormat="1" x14ac:dyDescent="0.2">
      <c r="A169" s="3" t="str">
        <f t="shared" si="249"/>
        <v>oprd_mouse_4EJ4</v>
      </c>
      <c r="B169" s="3" t="s">
        <v>916</v>
      </c>
      <c r="C169" s="3" t="s">
        <v>64</v>
      </c>
      <c r="D169" s="3" t="str">
        <f>IFERROR(MID(VLOOKUP($B169,Seqs!$A:$B,2,0),E169,1),"")</f>
        <v>R</v>
      </c>
      <c r="E169" s="3">
        <v>41</v>
      </c>
      <c r="F169" s="3" t="str">
        <f>IFERROR(MID(VLOOKUP($B169,Seqs!$A:$B,2,0),G169,1),"")</f>
        <v>Y</v>
      </c>
      <c r="G169" s="3">
        <v>77</v>
      </c>
      <c r="H169" s="3" t="str">
        <f>IFERROR(MID(VLOOKUP($B169,Seqs!$A:$B,2,0),I169,1),"")</f>
        <v>T</v>
      </c>
      <c r="I169" s="23">
        <v>78</v>
      </c>
      <c r="J169" s="3" t="str">
        <f>IFERROR(MID(VLOOKUP($B169,Seqs!$A:$B,2,0),K169,1),"")</f>
        <v>K</v>
      </c>
      <c r="K169" s="23">
        <v>81</v>
      </c>
      <c r="L169" s="3" t="str">
        <f>IFERROR(MID(VLOOKUP($B169,Seqs!$A:$B,2,0),M169,1),"")</f>
        <v>T</v>
      </c>
      <c r="M169" s="3">
        <v>82</v>
      </c>
      <c r="N169" s="3" t="str">
        <f>IFERROR(MID(VLOOKUP($B169,Seqs!$A:$B,2,0),O169,1),"")</f>
        <v>M</v>
      </c>
      <c r="O169" s="3">
        <v>111</v>
      </c>
      <c r="P169" s="3" t="str">
        <f>IFERROR(MID(VLOOKUP($B169,Seqs!$A:$B,2,0),Q169,1),"")</f>
        <v>T</v>
      </c>
      <c r="Q169" s="3">
        <v>113</v>
      </c>
      <c r="R169" s="3" t="str">
        <f>IFERROR(MID(VLOOKUP($B169,Seqs!$A:$B,2,0),S169,1),"")</f>
        <v>F</v>
      </c>
      <c r="S169" s="3">
        <v>116</v>
      </c>
      <c r="T169" s="3" t="str">
        <f>IFERROR(MID(VLOOKUP($B169,Seqs!$A:$B,2,0),U169,1),"")</f>
        <v>G</v>
      </c>
      <c r="U169" s="3">
        <v>117</v>
      </c>
      <c r="V169" s="3" t="str">
        <f>IFERROR(MID(VLOOKUP($B169,Seqs!$A:$B,2,0),W169,1),"")</f>
        <v>H</v>
      </c>
      <c r="W169" s="3">
        <v>152</v>
      </c>
      <c r="X169" s="3" t="str">
        <f>IFERROR(MID(VLOOKUP($B169,Seqs!$A:$B,2,0),Y169,1),"")</f>
        <v>P</v>
      </c>
      <c r="Y169" s="3">
        <v>153</v>
      </c>
      <c r="Z169" s="3" t="str">
        <f>IFERROR(MID(VLOOKUP($B169,Seqs!$A:$B,2,0),AA169,1),"")</f>
        <v>R</v>
      </c>
      <c r="AA169" s="3">
        <v>160</v>
      </c>
      <c r="AB169" s="3" t="str">
        <f>IFERROR(MID(VLOOKUP($B169,Seqs!$A:$B,2,0),AC169,1),"")</f>
        <v>T</v>
      </c>
      <c r="AC169" s="9">
        <v>161</v>
      </c>
      <c r="AD169" s="3" t="str">
        <f>IFERROR(MID(VLOOKUP($B169,Seqs!$A:$B,2,0),AE169,1),"")</f>
        <v>A</v>
      </c>
      <c r="AE169" s="3">
        <v>187</v>
      </c>
      <c r="AF169" s="3" t="str">
        <f>IFERROR(MID(VLOOKUP($B169,Seqs!$A:$B,2,0),AG169,1),"")</f>
        <v>C</v>
      </c>
      <c r="AG169" s="3">
        <v>198</v>
      </c>
      <c r="AH169" s="3" t="str">
        <f>IFERROR(MID(VLOOKUP($B169,Seqs!$A:$B,2,0),AI169,1),"")</f>
        <v>L</v>
      </c>
      <c r="AI169" s="3">
        <v>200</v>
      </c>
      <c r="AJ169" s="3" t="str">
        <f>IFERROR(MID(VLOOKUP($B169,Seqs!$A:$B,2,0),AK169,1),"")</f>
        <v>S</v>
      </c>
      <c r="AK169" s="3">
        <v>206</v>
      </c>
      <c r="AL169" s="3" t="str">
        <f>IFERROR(MID(VLOOKUP($B169,Seqs!$A:$B,2,0),AM169,1),"")</f>
        <v>L</v>
      </c>
      <c r="AM169" s="3">
        <v>238</v>
      </c>
      <c r="AN169" s="3" t="str">
        <f>IFERROR(MID(VLOOKUP($B169,Seqs!$A:$B,2,0),AO169,1),"")</f>
        <v>R</v>
      </c>
      <c r="AO169" s="3">
        <v>258</v>
      </c>
      <c r="AP169" s="3" t="str">
        <f>IFERROR(MID(VLOOKUP($B169,Seqs!$A:$B,2,0),AQ169,1),"")</f>
        <v>V</v>
      </c>
      <c r="AQ169" s="3">
        <v>287</v>
      </c>
      <c r="AR169" s="3" t="str">
        <f>IFERROR(MID(VLOOKUP($B169,Seqs!$A:$B,2,0),AS169,1),"")</f>
        <v>D</v>
      </c>
      <c r="AS169" s="3">
        <v>293</v>
      </c>
      <c r="AT169" s="3" t="str">
        <f>IFERROR(MID(VLOOKUP($B169,Seqs!$A:$B,2,0),AU169,1),"")</f>
        <v>L</v>
      </c>
      <c r="AU169" s="3">
        <v>321</v>
      </c>
      <c r="AV169" s="3" t="str">
        <f>IFERROR(MID(VLOOKUP($B169,Seqs!$A:$B,2,0),AW169,1),"")</f>
        <v>D</v>
      </c>
      <c r="AW169" s="3">
        <v>322</v>
      </c>
      <c r="AX169" s="3" t="str">
        <f>IFERROR(MID(VLOOKUP($B169,Seqs!$A:$B,2,0),AY169,1),"")</f>
        <v>C</v>
      </c>
      <c r="AY169" s="3">
        <v>328</v>
      </c>
      <c r="AZ169" s="77" t="str">
        <f>VLOOKUP(B169,Classification!A:D,2,0)</f>
        <v>A</v>
      </c>
      <c r="BA169" s="94" t="str">
        <f>VLOOKUP(B169,Classification!A:D,4,0)</f>
        <v>Opioid</v>
      </c>
      <c r="BB169" s="27" t="b">
        <f t="shared" si="250"/>
        <v>1</v>
      </c>
      <c r="BC169" s="23">
        <f t="shared" si="223"/>
        <v>248</v>
      </c>
      <c r="BD169" s="2" t="s">
        <v>1383</v>
      </c>
      <c r="BE169" s="3" t="s">
        <v>1381</v>
      </c>
      <c r="BF169" s="119">
        <v>3.4</v>
      </c>
      <c r="BG169" s="49" t="s">
        <v>1384</v>
      </c>
      <c r="BH169" s="49" t="s">
        <v>1384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224"/>
        <v>41</v>
      </c>
      <c r="BW169" s="71">
        <f t="shared" si="225"/>
        <v>78</v>
      </c>
      <c r="BX169" s="72">
        <f t="shared" si="226"/>
        <v>82</v>
      </c>
      <c r="BY169" s="71">
        <f t="shared" si="227"/>
        <v>113</v>
      </c>
      <c r="BZ169" s="72">
        <f t="shared" si="228"/>
        <v>117</v>
      </c>
      <c r="CA169" s="71">
        <f t="shared" si="229"/>
        <v>153</v>
      </c>
      <c r="CB169" s="72">
        <f t="shared" si="230"/>
        <v>161</v>
      </c>
      <c r="CC169" s="71">
        <f t="shared" si="231"/>
        <v>198</v>
      </c>
      <c r="CD169" s="72">
        <f t="shared" si="232"/>
        <v>206</v>
      </c>
      <c r="CE169" s="71">
        <f t="shared" si="233"/>
        <v>258</v>
      </c>
      <c r="CF169" s="72">
        <f t="shared" si="234"/>
        <v>293</v>
      </c>
      <c r="CG169" s="71">
        <f t="shared" si="235"/>
        <v>322</v>
      </c>
      <c r="CH169" s="70">
        <f t="shared" si="236"/>
        <v>77</v>
      </c>
      <c r="CI169" s="71">
        <f t="shared" si="237"/>
        <v>81</v>
      </c>
      <c r="CJ169" s="72">
        <f t="shared" si="238"/>
        <v>111</v>
      </c>
      <c r="CK169" s="72">
        <f t="shared" si="239"/>
        <v>116</v>
      </c>
      <c r="CL169" s="72">
        <f t="shared" si="240"/>
        <v>152</v>
      </c>
      <c r="CM169" s="72">
        <f t="shared" si="241"/>
        <v>160</v>
      </c>
      <c r="CN169" s="72">
        <f t="shared" si="242"/>
        <v>187</v>
      </c>
      <c r="CO169" s="72">
        <f t="shared" si="243"/>
        <v>200</v>
      </c>
      <c r="CP169" s="72">
        <f t="shared" si="244"/>
        <v>238</v>
      </c>
      <c r="CQ169" s="72">
        <f t="shared" si="245"/>
        <v>287</v>
      </c>
      <c r="CR169" s="72">
        <f t="shared" si="246"/>
        <v>321</v>
      </c>
      <c r="CS169" s="72">
        <f t="shared" si="247"/>
        <v>328</v>
      </c>
      <c r="CT169" s="23">
        <f t="shared" si="248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</row>
    <row r="170" spans="1:1030" x14ac:dyDescent="0.2">
      <c r="A170" s="3" t="str">
        <f t="shared" si="249"/>
        <v>oprk_human__wt</v>
      </c>
      <c r="B170" s="3" t="s">
        <v>336</v>
      </c>
      <c r="C170" s="3" t="s">
        <v>100</v>
      </c>
      <c r="D170" s="3" t="str">
        <f>IFERROR(MID(VLOOKUP($B170,Seqs!$A:$B,2,0),E170,1),"")</f>
        <v>A</v>
      </c>
      <c r="E170" s="3">
        <v>57</v>
      </c>
      <c r="F170" s="3" t="str">
        <f>IFERROR(MID(VLOOKUP($B170,Seqs!$A:$B,2,0),G170,1),"")</f>
        <v>Y</v>
      </c>
      <c r="G170" s="3">
        <v>87</v>
      </c>
      <c r="H170" s="3" t="str">
        <f>IFERROR(MID(VLOOKUP($B170,Seqs!$A:$B,2,0),I170,1),"")</f>
        <v>T</v>
      </c>
      <c r="I170" s="23">
        <v>88</v>
      </c>
      <c r="J170" s="3" t="str">
        <f>IFERROR(MID(VLOOKUP($B170,Seqs!$A:$B,2,0),K170,1),"")</f>
        <v>K</v>
      </c>
      <c r="K170" s="23">
        <v>91</v>
      </c>
      <c r="L170" s="3" t="str">
        <f>IFERROR(MID(VLOOKUP($B170,Seqs!$A:$B,2,0),M170,1),"")</f>
        <v>T</v>
      </c>
      <c r="M170" s="3">
        <v>92</v>
      </c>
      <c r="N170" s="3" t="str">
        <f>IFERROR(MID(VLOOKUP($B170,Seqs!$A:$B,2,0),O170,1),"")</f>
        <v>N</v>
      </c>
      <c r="O170" s="105">
        <v>122</v>
      </c>
      <c r="P170" s="3" t="str">
        <f>IFERROR(MID(VLOOKUP($B170,Seqs!$A:$B,2,0),Q170,1),"")</f>
        <v>S</v>
      </c>
      <c r="Q170" s="3">
        <v>123</v>
      </c>
      <c r="R170" s="3" t="str">
        <f>IFERROR(MID(VLOOKUP($B170,Seqs!$A:$B,2,0),S170,1),"")</f>
        <v>F</v>
      </c>
      <c r="S170" s="3">
        <v>126</v>
      </c>
      <c r="T170" s="3" t="str">
        <f>IFERROR(MID(VLOOKUP($B170,Seqs!$A:$B,2,0),U170,1),"")</f>
        <v>G</v>
      </c>
      <c r="U170" s="3">
        <v>127</v>
      </c>
      <c r="V170" s="3" t="str">
        <f>IFERROR(MID(VLOOKUP($B170,Seqs!$A:$B,2,0),W170,1),"")</f>
        <v>H</v>
      </c>
      <c r="W170" s="3">
        <v>162</v>
      </c>
      <c r="X170" s="3" t="str">
        <f>IFERROR(MID(VLOOKUP($B170,Seqs!$A:$B,2,0),Y170,1),"")</f>
        <v>P</v>
      </c>
      <c r="Y170" s="3">
        <v>163</v>
      </c>
      <c r="Z170" s="3" t="str">
        <f>IFERROR(MID(VLOOKUP($B170,Seqs!$A:$B,2,0),AA170,1),"")</f>
        <v>R</v>
      </c>
      <c r="AA170" s="3">
        <v>170</v>
      </c>
      <c r="AB170" s="3" t="str">
        <f>IFERROR(MID(VLOOKUP($B170,Seqs!$A:$B,2,0),AC170,1),"")</f>
        <v>T</v>
      </c>
      <c r="AC170" s="9">
        <v>171</v>
      </c>
      <c r="AD170" s="3" t="str">
        <f>IFERROR(MID(VLOOKUP($B170,Seqs!$A:$B,2,0),AE170,1),"")</f>
        <v>G</v>
      </c>
      <c r="AE170" s="3">
        <v>197</v>
      </c>
      <c r="AF170" s="3" t="str">
        <f>IFERROR(MID(VLOOKUP($B170,Seqs!$A:$B,2,0),AG170,1),"")</f>
        <v>C</v>
      </c>
      <c r="AG170" s="3">
        <v>210</v>
      </c>
      <c r="AH170" s="3" t="str">
        <f>IFERROR(MID(VLOOKUP($B170,Seqs!$A:$B,2,0),AI170,1),"")</f>
        <v>L</v>
      </c>
      <c r="AI170" s="3">
        <v>212</v>
      </c>
      <c r="AJ170" s="3" t="str">
        <f>IFERROR(MID(VLOOKUP($B170,Seqs!$A:$B,2,0),AK170,1),"")</f>
        <v>D</v>
      </c>
      <c r="AK170" s="105">
        <v>218</v>
      </c>
      <c r="AL170" s="3" t="str">
        <f>IFERROR(MID(VLOOKUP($B170,Seqs!$A:$B,2,0),AM170,1),"")</f>
        <v>V</v>
      </c>
      <c r="AM170" s="3">
        <v>256</v>
      </c>
      <c r="AN170" s="3" t="str">
        <f>IFERROR(MID(VLOOKUP($B170,Seqs!$A:$B,2,0),AO170,1),"")</f>
        <v>S</v>
      </c>
      <c r="AO170" s="3">
        <v>262</v>
      </c>
      <c r="AP170" s="3" t="str">
        <f>IFERROR(MID(VLOOKUP($B170,Seqs!$A:$B,2,0),AQ170,1),"")</f>
        <v>G</v>
      </c>
      <c r="AQ170" s="3">
        <v>300</v>
      </c>
      <c r="AR170" s="3" t="str">
        <f>IFERROR(MID(VLOOKUP($B170,Seqs!$A:$B,2,0),AS170,1),"")</f>
        <v>S</v>
      </c>
      <c r="AS170" s="3">
        <v>305</v>
      </c>
      <c r="AT170" s="3" t="str">
        <f>IFERROR(MID(VLOOKUP($B170,Seqs!$A:$B,2,0),AU170,1),"")</f>
        <v>L</v>
      </c>
      <c r="AU170" s="3">
        <v>333</v>
      </c>
      <c r="AV170" s="3" t="str">
        <f>IFERROR(MID(VLOOKUP($B170,Seqs!$A:$B,2,0),AW170,1),"")</f>
        <v>D</v>
      </c>
      <c r="AW170" s="3">
        <v>334</v>
      </c>
      <c r="AX170" s="3" t="str">
        <f>IFERROR(MID(VLOOKUP($B170,Seqs!$A:$B,2,0),AY170,1),"")</f>
        <v>F</v>
      </c>
      <c r="AY170" s="3">
        <v>346</v>
      </c>
      <c r="AZ170" s="77" t="str">
        <f>VLOOKUP(B170,Classification!A:D,2,0)</f>
        <v>A</v>
      </c>
      <c r="BA170" s="94" t="str">
        <f>VLOOKUP(B170,Classification!A:D,4,0)</f>
        <v>Opioid</v>
      </c>
      <c r="BB170" s="27" t="b">
        <f t="shared" si="250"/>
        <v>1</v>
      </c>
      <c r="BC170" s="23">
        <f t="shared" si="223"/>
        <v>264</v>
      </c>
      <c r="BD170" s="56" t="s">
        <v>1379</v>
      </c>
      <c r="BE170" s="3" t="s">
        <v>23</v>
      </c>
      <c r="BF170" s="119" t="s">
        <v>23</v>
      </c>
      <c r="BG170" s="49" t="s">
        <v>1379</v>
      </c>
      <c r="BH170" s="49" t="s">
        <v>1384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 t="shared" si="224"/>
        <v>57</v>
      </c>
      <c r="BW170" s="71">
        <f t="shared" si="225"/>
        <v>88</v>
      </c>
      <c r="BX170" s="72">
        <f t="shared" si="226"/>
        <v>92</v>
      </c>
      <c r="BY170" s="71">
        <f t="shared" si="227"/>
        <v>123</v>
      </c>
      <c r="BZ170" s="72">
        <f t="shared" si="228"/>
        <v>127</v>
      </c>
      <c r="CA170" s="71">
        <f t="shared" si="229"/>
        <v>163</v>
      </c>
      <c r="CB170" s="72">
        <f t="shared" si="230"/>
        <v>171</v>
      </c>
      <c r="CC170" s="71">
        <f t="shared" si="231"/>
        <v>210</v>
      </c>
      <c r="CD170" s="72">
        <f t="shared" si="232"/>
        <v>218</v>
      </c>
      <c r="CE170" s="71">
        <f t="shared" si="233"/>
        <v>262</v>
      </c>
      <c r="CF170" s="72">
        <f t="shared" si="234"/>
        <v>305</v>
      </c>
      <c r="CG170" s="71">
        <f t="shared" si="235"/>
        <v>334</v>
      </c>
      <c r="CH170" s="70">
        <f t="shared" si="236"/>
        <v>87</v>
      </c>
      <c r="CI170" s="71">
        <f t="shared" si="237"/>
        <v>91</v>
      </c>
      <c r="CJ170" s="72">
        <f t="shared" si="238"/>
        <v>122</v>
      </c>
      <c r="CK170" s="72">
        <f t="shared" si="239"/>
        <v>126</v>
      </c>
      <c r="CL170" s="72">
        <f t="shared" si="240"/>
        <v>162</v>
      </c>
      <c r="CM170" s="72">
        <f t="shared" si="241"/>
        <v>170</v>
      </c>
      <c r="CN170" s="72">
        <f t="shared" si="242"/>
        <v>197</v>
      </c>
      <c r="CO170" s="72">
        <f t="shared" si="243"/>
        <v>212</v>
      </c>
      <c r="CP170" s="72">
        <f t="shared" si="244"/>
        <v>256</v>
      </c>
      <c r="CQ170" s="72">
        <f t="shared" si="245"/>
        <v>300</v>
      </c>
      <c r="CR170" s="72">
        <f t="shared" si="246"/>
        <v>333</v>
      </c>
      <c r="CS170" s="72">
        <f t="shared" si="247"/>
        <v>346</v>
      </c>
      <c r="CT170" s="23">
        <f t="shared" si="248"/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 t="shared" si="249"/>
        <v>oprk_human_4DJH</v>
      </c>
      <c r="B171" s="3" t="s">
        <v>336</v>
      </c>
      <c r="C171" s="3" t="s">
        <v>88</v>
      </c>
      <c r="D171" s="3" t="str">
        <f>IFERROR(MID(VLOOKUP($B171,Seqs!$A:$B,2,0),E171,1),"")</f>
        <v>A</v>
      </c>
      <c r="E171" s="3">
        <v>57</v>
      </c>
      <c r="F171" s="3" t="str">
        <f>IFERROR(MID(VLOOKUP($B171,Seqs!$A:$B,2,0),G171,1),"")</f>
        <v>Y</v>
      </c>
      <c r="G171" s="3">
        <v>87</v>
      </c>
      <c r="H171" s="3" t="str">
        <f>IFERROR(MID(VLOOKUP($B171,Seqs!$A:$B,2,0),I171,1),"")</f>
        <v>T</v>
      </c>
      <c r="I171" s="23">
        <v>88</v>
      </c>
      <c r="J171" s="3" t="str">
        <f>IFERROR(MID(VLOOKUP($B171,Seqs!$A:$B,2,0),K171,1),"")</f>
        <v>K</v>
      </c>
      <c r="K171" s="23">
        <v>91</v>
      </c>
      <c r="L171" s="3" t="str">
        <f>IFERROR(MID(VLOOKUP($B171,Seqs!$A:$B,2,0),M171,1),"")</f>
        <v>T</v>
      </c>
      <c r="M171" s="3">
        <v>92</v>
      </c>
      <c r="N171" s="3" t="str">
        <f>IFERROR(MID(VLOOKUP($B171,Seqs!$A:$B,2,0),O171,1),"")</f>
        <v>N</v>
      </c>
      <c r="O171" s="3">
        <v>122</v>
      </c>
      <c r="P171" s="3" t="str">
        <f>IFERROR(MID(VLOOKUP($B171,Seqs!$A:$B,2,0),Q171,1),"")</f>
        <v>S</v>
      </c>
      <c r="Q171" s="3">
        <v>123</v>
      </c>
      <c r="R171" s="3" t="str">
        <f>IFERROR(MID(VLOOKUP($B171,Seqs!$A:$B,2,0),S171,1),"")</f>
        <v>F</v>
      </c>
      <c r="S171" s="3">
        <v>126</v>
      </c>
      <c r="T171" s="3" t="str">
        <f>IFERROR(MID(VLOOKUP($B171,Seqs!$A:$B,2,0),U171,1),"")</f>
        <v>G</v>
      </c>
      <c r="U171" s="3">
        <v>127</v>
      </c>
      <c r="V171" s="3" t="str">
        <f>IFERROR(MID(VLOOKUP($B171,Seqs!$A:$B,2,0),W171,1),"")</f>
        <v>H</v>
      </c>
      <c r="W171" s="3">
        <v>162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9">
        <v>170</v>
      </c>
      <c r="AD171" s="3" t="str">
        <f>IFERROR(MID(VLOOKUP($B171,Seqs!$A:$B,2,0),AE171,1),"")</f>
        <v>G</v>
      </c>
      <c r="AE171" s="3">
        <v>197</v>
      </c>
      <c r="AF171" s="3" t="str">
        <f>IFERROR(MID(VLOOKUP($B171,Seqs!$A:$B,2,0),AG171,1),"")</f>
        <v>C</v>
      </c>
      <c r="AG171" s="3">
        <v>210</v>
      </c>
      <c r="AH171" s="3" t="str">
        <f>IFERROR(MID(VLOOKUP($B171,Seqs!$A:$B,2,0),AI171,1),"")</f>
        <v>L</v>
      </c>
      <c r="AI171" s="3">
        <v>212</v>
      </c>
      <c r="AJ171" s="3" t="str">
        <f>IFERROR(MID(VLOOKUP($B171,Seqs!$A:$B,2,0),AK171,1),"")</f>
        <v>D</v>
      </c>
      <c r="AK171" s="3">
        <v>218</v>
      </c>
      <c r="AL171" s="3" t="str">
        <f>IFERROR(MID(VLOOKUP($B171,Seqs!$A:$B,2,0),AM171,1),"")</f>
        <v>V</v>
      </c>
      <c r="AM171" s="3">
        <v>256</v>
      </c>
      <c r="AN171" s="3" t="str">
        <f>IFERROR(MID(VLOOKUP($B171,Seqs!$A:$B,2,0),AO171,1),"")</f>
        <v>R</v>
      </c>
      <c r="AO171" s="3">
        <v>267</v>
      </c>
      <c r="AP171" s="3" t="str">
        <f>IFERROR(MID(VLOOKUP($B171,Seqs!$A:$B,2,0),AQ171,1),"")</f>
        <v>G</v>
      </c>
      <c r="AQ171" s="3">
        <v>300</v>
      </c>
      <c r="AR171" s="3" t="str">
        <f>IFERROR(MID(VLOOKUP($B171,Seqs!$A:$B,2,0),AS171,1),"")</f>
        <v>A</v>
      </c>
      <c r="AS171" s="3">
        <v>308</v>
      </c>
      <c r="AT171" s="3" t="str">
        <f>IFERROR(MID(VLOOKUP($B171,Seqs!$A:$B,2,0),AU171,1),"")</f>
        <v>L</v>
      </c>
      <c r="AU171" s="3">
        <v>333</v>
      </c>
      <c r="AV171" s="3" t="str">
        <f>IFERROR(MID(VLOOKUP($B171,Seqs!$A:$B,2,0),AW171,1),"")</f>
        <v>D</v>
      </c>
      <c r="AW171" s="3">
        <v>334</v>
      </c>
      <c r="AX171" s="3" t="str">
        <f>IFERROR(MID(VLOOKUP($B171,Seqs!$A:$B,2,0),AY171,1),"")</f>
        <v>F</v>
      </c>
      <c r="AY171" s="3">
        <v>346</v>
      </c>
      <c r="AZ171" s="77" t="str">
        <f>VLOOKUP(B171,Classification!A:D,2,0)</f>
        <v>A</v>
      </c>
      <c r="BA171" s="94" t="str">
        <f>VLOOKUP(B171,Classification!A:D,4,0)</f>
        <v>Opioid</v>
      </c>
      <c r="BB171" s="27" t="b">
        <f t="shared" si="250"/>
        <v>1</v>
      </c>
      <c r="BC171" s="23">
        <f t="shared" si="223"/>
        <v>250</v>
      </c>
      <c r="BD171" s="2" t="s">
        <v>1383</v>
      </c>
      <c r="BE171" s="3" t="s">
        <v>1381</v>
      </c>
      <c r="BF171" s="119">
        <v>2.9</v>
      </c>
      <c r="BG171" s="49" t="s">
        <v>1384</v>
      </c>
      <c r="BH171" s="49" t="s">
        <v>1384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224"/>
        <v>57</v>
      </c>
      <c r="BW171" s="71">
        <f t="shared" si="225"/>
        <v>88</v>
      </c>
      <c r="BX171" s="72">
        <f t="shared" si="226"/>
        <v>92</v>
      </c>
      <c r="BY171" s="71">
        <f t="shared" si="227"/>
        <v>123</v>
      </c>
      <c r="BZ171" s="72">
        <f t="shared" si="228"/>
        <v>127</v>
      </c>
      <c r="CA171" s="71" t="str">
        <f t="shared" si="229"/>
        <v>-</v>
      </c>
      <c r="CB171" s="72">
        <f t="shared" si="230"/>
        <v>170</v>
      </c>
      <c r="CC171" s="71">
        <f t="shared" si="231"/>
        <v>210</v>
      </c>
      <c r="CD171" s="72">
        <f t="shared" si="232"/>
        <v>218</v>
      </c>
      <c r="CE171" s="71">
        <f t="shared" si="233"/>
        <v>267</v>
      </c>
      <c r="CF171" s="72">
        <f t="shared" si="234"/>
        <v>308</v>
      </c>
      <c r="CG171" s="71">
        <f t="shared" si="235"/>
        <v>334</v>
      </c>
      <c r="CH171" s="70">
        <f t="shared" si="236"/>
        <v>87</v>
      </c>
      <c r="CI171" s="71">
        <f t="shared" si="237"/>
        <v>91</v>
      </c>
      <c r="CJ171" s="72">
        <f t="shared" si="238"/>
        <v>122</v>
      </c>
      <c r="CK171" s="72">
        <f t="shared" si="239"/>
        <v>126</v>
      </c>
      <c r="CL171" s="72">
        <f t="shared" si="240"/>
        <v>162</v>
      </c>
      <c r="CM171" s="72" t="str">
        <f t="shared" si="241"/>
        <v>-</v>
      </c>
      <c r="CN171" s="72">
        <f t="shared" si="242"/>
        <v>197</v>
      </c>
      <c r="CO171" s="72">
        <f t="shared" si="243"/>
        <v>212</v>
      </c>
      <c r="CP171" s="72">
        <f t="shared" si="244"/>
        <v>256</v>
      </c>
      <c r="CQ171" s="72">
        <f t="shared" si="245"/>
        <v>300</v>
      </c>
      <c r="CR171" s="72">
        <f t="shared" si="246"/>
        <v>333</v>
      </c>
      <c r="CS171" s="72">
        <f t="shared" si="247"/>
        <v>346</v>
      </c>
      <c r="CT171" s="23">
        <f t="shared" si="248"/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s="12" customFormat="1" x14ac:dyDescent="0.2">
      <c r="A172" s="9" t="str">
        <f>CONCATENATE(B172,"_",C172)</f>
        <v>oprk_human_6B73</v>
      </c>
      <c r="B172" s="9" t="s">
        <v>336</v>
      </c>
      <c r="C172" s="9" t="s">
        <v>1476</v>
      </c>
      <c r="D172" s="9" t="str">
        <f>IFERROR(MID(VLOOKUP($B172,Seqs!$A:$B,2,0),E172,1),"")</f>
        <v>A</v>
      </c>
      <c r="E172" s="9">
        <v>57</v>
      </c>
      <c r="F172" s="9" t="str">
        <f>IFERROR(MID(VLOOKUP($B172,Seqs!$A:$B,2,0),G172,1),"")</f>
        <v>Y</v>
      </c>
      <c r="G172" s="9">
        <v>87</v>
      </c>
      <c r="H172" s="9" t="str">
        <f>IFERROR(MID(VLOOKUP($B172,Seqs!$A:$B,2,0),I172,1),"")</f>
        <v/>
      </c>
      <c r="I172" s="109" t="s">
        <v>23</v>
      </c>
      <c r="J172" s="9" t="str">
        <f>IFERROR(MID(VLOOKUP($B172,Seqs!$A:$B,2,0),K172,1),"")</f>
        <v/>
      </c>
      <c r="K172" s="109" t="s">
        <v>23</v>
      </c>
      <c r="L172" s="9" t="str">
        <f>IFERROR(MID(VLOOKUP($B172,Seqs!$A:$B,2,0),M172,1),"")</f>
        <v>T</v>
      </c>
      <c r="M172" s="9">
        <v>92</v>
      </c>
      <c r="N172" s="9" t="str">
        <f>IFERROR(MID(VLOOKUP($B172,Seqs!$A:$B,2,0),O172,1),"")</f>
        <v>N</v>
      </c>
      <c r="O172" s="9">
        <v>122</v>
      </c>
      <c r="P172" s="9" t="str">
        <f>IFERROR(MID(VLOOKUP($B172,Seqs!$A:$B,2,0),Q172,1),"")</f>
        <v>S</v>
      </c>
      <c r="Q172" s="9">
        <v>123</v>
      </c>
      <c r="R172" s="9" t="str">
        <f>IFERROR(MID(VLOOKUP($B172,Seqs!$A:$B,2,0),S172,1),"")</f>
        <v>F</v>
      </c>
      <c r="S172" s="9">
        <v>126</v>
      </c>
      <c r="T172" s="9" t="str">
        <f>IFERROR(MID(VLOOKUP($B172,Seqs!$A:$B,2,0),U172,1),"")</f>
        <v>G</v>
      </c>
      <c r="U172" s="9">
        <v>127</v>
      </c>
      <c r="V172" s="9" t="str">
        <f>IFERROR(MID(VLOOKUP($B172,Seqs!$A:$B,2,0),W172,1),"")</f>
        <v>H</v>
      </c>
      <c r="W172" s="9">
        <v>162</v>
      </c>
      <c r="X172" s="9" t="str">
        <f>IFERROR(MID(VLOOKUP($B172,Seqs!$A:$B,2,0),Y172,1),"")</f>
        <v>P</v>
      </c>
      <c r="Y172" s="9">
        <v>163</v>
      </c>
      <c r="Z172" s="9" t="str">
        <f>IFERROR(MID(VLOOKUP($B172,Seqs!$A:$B,2,0),AA172,1),"")</f>
        <v>R</v>
      </c>
      <c r="AA172" s="9">
        <v>170</v>
      </c>
      <c r="AB172" s="9" t="str">
        <f>IFERROR(MID(VLOOKUP($B172,Seqs!$A:$B,2,0),AC172,1),"")</f>
        <v>T</v>
      </c>
      <c r="AC172" s="9">
        <v>171</v>
      </c>
      <c r="AD172" s="9" t="str">
        <f>IFERROR(MID(VLOOKUP($B172,Seqs!$A:$B,2,0),AE172,1),"")</f>
        <v>G</v>
      </c>
      <c r="AE172" s="9">
        <v>197</v>
      </c>
      <c r="AF172" s="9" t="str">
        <f>IFERROR(MID(VLOOKUP($B172,Seqs!$A:$B,2,0),AG172,1),"")</f>
        <v>C</v>
      </c>
      <c r="AG172" s="9">
        <v>210</v>
      </c>
      <c r="AH172" s="9" t="str">
        <f>IFERROR(MID(VLOOKUP($B172,Seqs!$A:$B,2,0),AI172,1),"")</f>
        <v>L</v>
      </c>
      <c r="AI172" s="9">
        <v>212</v>
      </c>
      <c r="AJ172" s="9" t="str">
        <f>IFERROR(MID(VLOOKUP($B172,Seqs!$A:$B,2,0),AK172,1),"")</f>
        <v>W</v>
      </c>
      <c r="AK172" s="9">
        <v>221</v>
      </c>
      <c r="AL172" s="9" t="str">
        <f>IFERROR(MID(VLOOKUP($B172,Seqs!$A:$B,2,0),AM172,1),"")</f>
        <v>S</v>
      </c>
      <c r="AM172" s="9">
        <v>255</v>
      </c>
      <c r="AN172" s="9" t="str">
        <f>IFERROR(MID(VLOOKUP($B172,Seqs!$A:$B,2,0),AO172,1),"")</f>
        <v>S</v>
      </c>
      <c r="AO172" s="9">
        <v>262</v>
      </c>
      <c r="AP172" s="9" t="str">
        <f>IFERROR(MID(VLOOKUP($B172,Seqs!$A:$B,2,0),AQ172,1),"")</f>
        <v>G</v>
      </c>
      <c r="AQ172" s="9">
        <v>300</v>
      </c>
      <c r="AR172" s="9" t="str">
        <f>IFERROR(MID(VLOOKUP($B172,Seqs!$A:$B,2,0),AS172,1),"")</f>
        <v>S</v>
      </c>
      <c r="AS172" s="9">
        <v>305</v>
      </c>
      <c r="AT172" s="9" t="str">
        <f>IFERROR(MID(VLOOKUP($B172,Seqs!$A:$B,2,0),AU172,1),"")</f>
        <v>I</v>
      </c>
      <c r="AU172" s="9">
        <v>328</v>
      </c>
      <c r="AV172" s="9" t="str">
        <f>IFERROR(MID(VLOOKUP($B172,Seqs!$A:$B,2,0),AW172,1),"")</f>
        <v/>
      </c>
      <c r="AW172" s="9" t="s">
        <v>23</v>
      </c>
      <c r="AX172" s="9" t="str">
        <f>IFERROR(MID(VLOOKUP($B172,Seqs!$A:$B,2,0),AY172,1),"")</f>
        <v/>
      </c>
      <c r="AY172" s="9" t="s">
        <v>23</v>
      </c>
      <c r="AZ172" s="110" t="str">
        <f>VLOOKUP(B172,Classification!A:D,2,0)</f>
        <v>A</v>
      </c>
      <c r="BA172" s="98" t="str">
        <f>VLOOKUP(B172,Classification!A:D,4,0)</f>
        <v>Opioid</v>
      </c>
      <c r="BB172" s="36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09">
        <f>_xlfn.AGGREGATE(9,6,CH172:CS172)-_xlfn.AGGREGATE(9,6,BV172:CG172)+12</f>
        <v>240</v>
      </c>
      <c r="BD172" s="40" t="s">
        <v>1382</v>
      </c>
      <c r="BE172" s="9" t="s">
        <v>1297</v>
      </c>
      <c r="BF172" s="120">
        <v>3.1</v>
      </c>
      <c r="BG172" s="51" t="s">
        <v>1</v>
      </c>
      <c r="BH172" s="51" t="s">
        <v>1</v>
      </c>
      <c r="BJ172" s="111" t="s">
        <v>1293</v>
      </c>
      <c r="BK172" s="112" t="s">
        <v>1293</v>
      </c>
      <c r="BL172" s="112" t="s">
        <v>1293</v>
      </c>
      <c r="BM172" s="112" t="s">
        <v>1293</v>
      </c>
      <c r="BN172" s="112" t="s">
        <v>1293</v>
      </c>
      <c r="BO172" s="112" t="s">
        <v>1293</v>
      </c>
      <c r="BP172" s="112" t="s">
        <v>1293</v>
      </c>
      <c r="BQ172" s="112" t="s">
        <v>1293</v>
      </c>
      <c r="BR172" s="112" t="s">
        <v>1293</v>
      </c>
      <c r="BS172" s="112" t="s">
        <v>1293</v>
      </c>
      <c r="BT172" s="112" t="s">
        <v>1293</v>
      </c>
      <c r="BU172" s="112" t="s">
        <v>1293</v>
      </c>
      <c r="BV172" s="111">
        <f>E172</f>
        <v>57</v>
      </c>
      <c r="BW172" s="113" t="str">
        <f>I172</f>
        <v>-</v>
      </c>
      <c r="BX172" s="114">
        <f>M172</f>
        <v>92</v>
      </c>
      <c r="BY172" s="113">
        <f>Q172</f>
        <v>123</v>
      </c>
      <c r="BZ172" s="114">
        <f>U172</f>
        <v>127</v>
      </c>
      <c r="CA172" s="113">
        <f>Y172</f>
        <v>163</v>
      </c>
      <c r="CB172" s="114">
        <f>AC172</f>
        <v>171</v>
      </c>
      <c r="CC172" s="113">
        <f>AG172</f>
        <v>210</v>
      </c>
      <c r="CD172" s="114">
        <f>AK172</f>
        <v>221</v>
      </c>
      <c r="CE172" s="113">
        <f>AO172</f>
        <v>262</v>
      </c>
      <c r="CF172" s="114">
        <f>AS172</f>
        <v>305</v>
      </c>
      <c r="CG172" s="113" t="str">
        <f>AW172</f>
        <v>-</v>
      </c>
      <c r="CH172" s="111">
        <f>G172</f>
        <v>87</v>
      </c>
      <c r="CI172" s="113" t="str">
        <f>K172</f>
        <v>-</v>
      </c>
      <c r="CJ172" s="114">
        <f>O172</f>
        <v>122</v>
      </c>
      <c r="CK172" s="114">
        <f>S172</f>
        <v>126</v>
      </c>
      <c r="CL172" s="114">
        <f>W172</f>
        <v>162</v>
      </c>
      <c r="CM172" s="114">
        <f>AA172</f>
        <v>170</v>
      </c>
      <c r="CN172" s="114">
        <f>AE172</f>
        <v>197</v>
      </c>
      <c r="CO172" s="114">
        <f>AI172</f>
        <v>212</v>
      </c>
      <c r="CP172" s="114">
        <f>AM172</f>
        <v>255</v>
      </c>
      <c r="CQ172" s="114">
        <f>AQ172</f>
        <v>300</v>
      </c>
      <c r="CR172" s="114">
        <f>AU172</f>
        <v>328</v>
      </c>
      <c r="CS172" s="114" t="str">
        <f>AY172</f>
        <v>-</v>
      </c>
      <c r="CT172" s="109" t="e">
        <f>M172-K172</f>
        <v>#VALUE!</v>
      </c>
    </row>
    <row r="173" spans="1:1030" x14ac:dyDescent="0.2">
      <c r="A173" s="3" t="str">
        <f t="shared" si="249"/>
        <v>oprm_mouse__wt</v>
      </c>
      <c r="B173" s="3" t="s">
        <v>918</v>
      </c>
      <c r="C173" s="3" t="s">
        <v>100</v>
      </c>
      <c r="D173" s="3" t="str">
        <f>IFERROR(MID(VLOOKUP($B173,Seqs!$A:$B,2,0),E173,1),"")</f>
        <v>M</v>
      </c>
      <c r="E173" s="3">
        <v>65</v>
      </c>
      <c r="F173" s="3" t="str">
        <f>IFERROR(MID(VLOOKUP($B173,Seqs!$A:$B,2,0),G173,1),"")</f>
        <v>Y</v>
      </c>
      <c r="G173" s="3">
        <v>96</v>
      </c>
      <c r="H173" s="3" t="str">
        <f>IFERROR(MID(VLOOKUP($B173,Seqs!$A:$B,2,0),I173,1),"")</f>
        <v>T</v>
      </c>
      <c r="I173" s="23">
        <v>97</v>
      </c>
      <c r="J173" s="3" t="str">
        <f>IFERROR(MID(VLOOKUP($B173,Seqs!$A:$B,2,0),K173,1),"")</f>
        <v>K</v>
      </c>
      <c r="K173" s="23">
        <v>100</v>
      </c>
      <c r="L173" s="3" t="str">
        <f>IFERROR(MID(VLOOKUP($B173,Seqs!$A:$B,2,0),M173,1),"")</f>
        <v>T</v>
      </c>
      <c r="M173" s="3">
        <v>101</v>
      </c>
      <c r="N173" s="3" t="str">
        <f>IFERROR(MID(VLOOKUP($B173,Seqs!$A:$B,2,0),O173,1),"")</f>
        <v>M</v>
      </c>
      <c r="O173" s="3">
        <v>130</v>
      </c>
      <c r="P173" s="3" t="str">
        <f>IFERROR(MID(VLOOKUP($B173,Seqs!$A:$B,2,0),Q173,1),"")</f>
        <v>T</v>
      </c>
      <c r="Q173" s="3">
        <v>132</v>
      </c>
      <c r="R173" s="3" t="str">
        <f>IFERROR(MID(VLOOKUP($B173,Seqs!$A:$B,2,0),S173,1),"")</f>
        <v>F</v>
      </c>
      <c r="S173" s="3">
        <v>135</v>
      </c>
      <c r="T173" s="3" t="str">
        <f>IFERROR(MID(VLOOKUP($B173,Seqs!$A:$B,2,0),U173,1),"")</f>
        <v>G</v>
      </c>
      <c r="U173" s="3">
        <v>136</v>
      </c>
      <c r="V173" s="3" t="str">
        <f>IFERROR(MID(VLOOKUP($B173,Seqs!$A:$B,2,0),W173,1),"")</f>
        <v>H</v>
      </c>
      <c r="W173" s="3">
        <v>171</v>
      </c>
      <c r="X173" s="3" t="str">
        <f>IFERROR(MID(VLOOKUP($B173,Seqs!$A:$B,2,0),Y173,1),"")</f>
        <v>P</v>
      </c>
      <c r="Y173" s="3">
        <v>172</v>
      </c>
      <c r="Z173" s="3" t="str">
        <f>IFERROR(MID(VLOOKUP($B173,Seqs!$A:$B,2,0),AA173,1),"")</f>
        <v>R</v>
      </c>
      <c r="AA173" s="3">
        <v>179</v>
      </c>
      <c r="AB173" s="3" t="str">
        <f>IFERROR(MID(VLOOKUP($B173,Seqs!$A:$B,2,0),AC173,1),"")</f>
        <v>T</v>
      </c>
      <c r="AC173" s="9">
        <v>180</v>
      </c>
      <c r="AD173" s="3" t="str">
        <f>IFERROR(MID(VLOOKUP($B173,Seqs!$A:$B,2,0),AE173,1),"")</f>
        <v>A</v>
      </c>
      <c r="AE173" s="3">
        <v>206</v>
      </c>
      <c r="AF173" s="3" t="str">
        <f>IFERROR(MID(VLOOKUP($B173,Seqs!$A:$B,2,0),AG173,1),"")</f>
        <v>C</v>
      </c>
      <c r="AG173" s="3">
        <v>217</v>
      </c>
      <c r="AH173" s="3" t="str">
        <f>IFERROR(MID(VLOOKUP($B173,Seqs!$A:$B,2,0),AI173,1),"")</f>
        <v>L</v>
      </c>
      <c r="AI173" s="3">
        <v>219</v>
      </c>
      <c r="AJ173" s="3" t="str">
        <f>IFERROR(MID(VLOOKUP($B173,Seqs!$A:$B,2,0),AK173,1),"")</f>
        <v>T</v>
      </c>
      <c r="AK173" s="3">
        <v>225</v>
      </c>
      <c r="AL173" s="3" t="str">
        <f>IFERROR(MID(VLOOKUP($B173,Seqs!$A:$B,2,0),AM173,1),"")</f>
        <v>V</v>
      </c>
      <c r="AM173" s="3">
        <v>262</v>
      </c>
      <c r="AN173" s="3" t="str">
        <f>IFERROR(MID(VLOOKUP($B173,Seqs!$A:$B,2,0),AO173,1),"")</f>
        <v>S</v>
      </c>
      <c r="AO173" s="3">
        <v>268</v>
      </c>
      <c r="AP173" s="3" t="str">
        <f>IFERROR(MID(VLOOKUP($B173,Seqs!$A:$B,2,0),AQ173,1),"")</f>
        <v>I</v>
      </c>
      <c r="AQ173" s="3">
        <v>306</v>
      </c>
      <c r="AR173" s="3" t="str">
        <f>IFERROR(MID(VLOOKUP($B173,Seqs!$A:$B,2,0),AS173,1),"")</f>
        <v>T</v>
      </c>
      <c r="AS173" s="3">
        <v>311</v>
      </c>
      <c r="AT173" s="3" t="str">
        <f>IFERROR(MID(VLOOKUP($B173,Seqs!$A:$B,2,0),AU173,1),"")</f>
        <v>L</v>
      </c>
      <c r="AU173" s="3">
        <v>339</v>
      </c>
      <c r="AV173" s="3" t="str">
        <f>IFERROR(MID(VLOOKUP($B173,Seqs!$A:$B,2,0),AW173,1),"")</f>
        <v>D</v>
      </c>
      <c r="AW173" s="3">
        <v>340</v>
      </c>
      <c r="AX173" s="3" t="str">
        <f>IFERROR(MID(VLOOKUP($B173,Seqs!$A:$B,2,0),AY173,1),"")</f>
        <v>I</v>
      </c>
      <c r="AY173" s="3">
        <v>352</v>
      </c>
      <c r="AZ173" s="77" t="str">
        <f>VLOOKUP(B173,Classification!A:D,2,0)</f>
        <v>A</v>
      </c>
      <c r="BA173" s="94" t="str">
        <f>VLOOKUP(B173,Classification!A:D,4,0)</f>
        <v>Opioid</v>
      </c>
      <c r="BB173" s="27" t="b">
        <f t="shared" si="250"/>
        <v>1</v>
      </c>
      <c r="BC173" s="23">
        <f t="shared" si="223"/>
        <v>263</v>
      </c>
      <c r="BD173" s="56" t="s">
        <v>1379</v>
      </c>
      <c r="BE173" s="3" t="s">
        <v>23</v>
      </c>
      <c r="BF173" s="119" t="s">
        <v>23</v>
      </c>
      <c r="BG173" s="49" t="s">
        <v>1379</v>
      </c>
      <c r="BH173" s="49" t="s">
        <v>1384</v>
      </c>
      <c r="BI173" s="1"/>
      <c r="BJ173" s="70" t="s">
        <v>1293</v>
      </c>
      <c r="BK173" s="57" t="s">
        <v>1293</v>
      </c>
      <c r="BL173" s="57" t="s">
        <v>1293</v>
      </c>
      <c r="BM173" s="57" t="s">
        <v>1293</v>
      </c>
      <c r="BN173" s="57" t="s">
        <v>1293</v>
      </c>
      <c r="BO173" s="57" t="s">
        <v>1293</v>
      </c>
      <c r="BP173" s="57" t="s">
        <v>1293</v>
      </c>
      <c r="BQ173" s="57" t="s">
        <v>1293</v>
      </c>
      <c r="BR173" s="57" t="s">
        <v>1293</v>
      </c>
      <c r="BS173" s="57" t="s">
        <v>1293</v>
      </c>
      <c r="BT173" s="57" t="s">
        <v>1293</v>
      </c>
      <c r="BU173" s="57" t="s">
        <v>1293</v>
      </c>
      <c r="BV173" s="70">
        <f t="shared" si="224"/>
        <v>65</v>
      </c>
      <c r="BW173" s="71">
        <f t="shared" si="225"/>
        <v>97</v>
      </c>
      <c r="BX173" s="72">
        <f t="shared" si="226"/>
        <v>101</v>
      </c>
      <c r="BY173" s="71">
        <f t="shared" si="227"/>
        <v>132</v>
      </c>
      <c r="BZ173" s="72">
        <f t="shared" si="228"/>
        <v>136</v>
      </c>
      <c r="CA173" s="71">
        <f t="shared" si="229"/>
        <v>172</v>
      </c>
      <c r="CB173" s="72">
        <f t="shared" si="230"/>
        <v>180</v>
      </c>
      <c r="CC173" s="71">
        <f t="shared" si="231"/>
        <v>217</v>
      </c>
      <c r="CD173" s="72">
        <f t="shared" si="232"/>
        <v>225</v>
      </c>
      <c r="CE173" s="71">
        <f t="shared" si="233"/>
        <v>268</v>
      </c>
      <c r="CF173" s="72">
        <f t="shared" si="234"/>
        <v>311</v>
      </c>
      <c r="CG173" s="71">
        <f t="shared" si="235"/>
        <v>340</v>
      </c>
      <c r="CH173" s="70">
        <f t="shared" si="236"/>
        <v>96</v>
      </c>
      <c r="CI173" s="71">
        <f t="shared" si="237"/>
        <v>100</v>
      </c>
      <c r="CJ173" s="72">
        <f t="shared" si="238"/>
        <v>130</v>
      </c>
      <c r="CK173" s="72">
        <f t="shared" si="239"/>
        <v>135</v>
      </c>
      <c r="CL173" s="72">
        <f t="shared" si="240"/>
        <v>171</v>
      </c>
      <c r="CM173" s="72">
        <f t="shared" si="241"/>
        <v>179</v>
      </c>
      <c r="CN173" s="72">
        <f t="shared" si="242"/>
        <v>206</v>
      </c>
      <c r="CO173" s="72">
        <f t="shared" si="243"/>
        <v>219</v>
      </c>
      <c r="CP173" s="72">
        <f t="shared" si="244"/>
        <v>262</v>
      </c>
      <c r="CQ173" s="72">
        <f t="shared" si="245"/>
        <v>306</v>
      </c>
      <c r="CR173" s="72">
        <f t="shared" si="246"/>
        <v>339</v>
      </c>
      <c r="CS173" s="72">
        <f t="shared" si="247"/>
        <v>352</v>
      </c>
      <c r="CT173" s="23">
        <f t="shared" si="248"/>
        <v>1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x14ac:dyDescent="0.2">
      <c r="A174" s="3" t="str">
        <f t="shared" si="249"/>
        <v>oprm_mouse_4DKL</v>
      </c>
      <c r="B174" s="3" t="s">
        <v>918</v>
      </c>
      <c r="C174" s="3" t="s">
        <v>65</v>
      </c>
      <c r="D174" s="3" t="str">
        <f>IFERROR(MID(VLOOKUP($B174,Seqs!$A:$B,2,0),E174,1),"")</f>
        <v>M</v>
      </c>
      <c r="E174" s="3">
        <v>65</v>
      </c>
      <c r="F174" s="3" t="str">
        <f>IFERROR(MID(VLOOKUP($B174,Seqs!$A:$B,2,0),G174,1),"")</f>
        <v>Y</v>
      </c>
      <c r="G174" s="3">
        <v>96</v>
      </c>
      <c r="H174" s="3" t="str">
        <f>IFERROR(MID(VLOOKUP($B174,Seqs!$A:$B,2,0),I174,1),"")</f>
        <v>T</v>
      </c>
      <c r="I174" s="23">
        <v>97</v>
      </c>
      <c r="J174" s="3" t="str">
        <f>IFERROR(MID(VLOOKUP($B174,Seqs!$A:$B,2,0),K174,1),"")</f>
        <v>K</v>
      </c>
      <c r="K174" s="23">
        <v>100</v>
      </c>
      <c r="L174" s="3" t="str">
        <f>IFERROR(MID(VLOOKUP($B174,Seqs!$A:$B,2,0),M174,1),"")</f>
        <v>T</v>
      </c>
      <c r="M174" s="3">
        <v>101</v>
      </c>
      <c r="N174" s="3" t="str">
        <f>IFERROR(MID(VLOOKUP($B174,Seqs!$A:$B,2,0),O174,1),"")</f>
        <v>M</v>
      </c>
      <c r="O174" s="3">
        <v>130</v>
      </c>
      <c r="P174" s="3" t="str">
        <f>IFERROR(MID(VLOOKUP($B174,Seqs!$A:$B,2,0),Q174,1),"")</f>
        <v>T</v>
      </c>
      <c r="Q174" s="3">
        <v>132</v>
      </c>
      <c r="R174" s="3" t="str">
        <f>IFERROR(MID(VLOOKUP($B174,Seqs!$A:$B,2,0),S174,1),"")</f>
        <v>F</v>
      </c>
      <c r="S174" s="3">
        <v>135</v>
      </c>
      <c r="T174" s="3" t="str">
        <f>IFERROR(MID(VLOOKUP($B174,Seqs!$A:$B,2,0),U174,1),"")</f>
        <v>G</v>
      </c>
      <c r="U174" s="3">
        <v>136</v>
      </c>
      <c r="V174" s="3" t="str">
        <f>IFERROR(MID(VLOOKUP($B174,Seqs!$A:$B,2,0),W174,1),"")</f>
        <v>H</v>
      </c>
      <c r="W174" s="3">
        <v>171</v>
      </c>
      <c r="X174" s="3" t="str">
        <f>IFERROR(MID(VLOOKUP($B174,Seqs!$A:$B,2,0),Y174,1),"")</f>
        <v>P</v>
      </c>
      <c r="Y174" s="3">
        <v>172</v>
      </c>
      <c r="Z174" s="3" t="str">
        <f>IFERROR(MID(VLOOKUP($B174,Seqs!$A:$B,2,0),AA174,1),"")</f>
        <v>R</v>
      </c>
      <c r="AA174" s="3">
        <v>179</v>
      </c>
      <c r="AB174" s="3" t="str">
        <f>IFERROR(MID(VLOOKUP($B174,Seqs!$A:$B,2,0),AC174,1),"")</f>
        <v>T</v>
      </c>
      <c r="AC174" s="9">
        <v>180</v>
      </c>
      <c r="AD174" s="3" t="str">
        <f>IFERROR(MID(VLOOKUP($B174,Seqs!$A:$B,2,0),AE174,1),"")</f>
        <v>A</v>
      </c>
      <c r="AE174" s="3">
        <v>206</v>
      </c>
      <c r="AF174" s="3" t="str">
        <f>IFERROR(MID(VLOOKUP($B174,Seqs!$A:$B,2,0),AG174,1),"")</f>
        <v>C</v>
      </c>
      <c r="AG174" s="3">
        <v>217</v>
      </c>
      <c r="AH174" s="3" t="str">
        <f>IFERROR(MID(VLOOKUP($B174,Seqs!$A:$B,2,0),AI174,1),"")</f>
        <v>L</v>
      </c>
      <c r="AI174" s="3">
        <v>219</v>
      </c>
      <c r="AJ174" s="3" t="str">
        <f>IFERROR(MID(VLOOKUP($B174,Seqs!$A:$B,2,0),AK174,1),"")</f>
        <v>T</v>
      </c>
      <c r="AK174" s="3">
        <v>225</v>
      </c>
      <c r="AL174" s="3" t="str">
        <f>IFERROR(MID(VLOOKUP($B174,Seqs!$A:$B,2,0),AM174,1),"")</f>
        <v>L</v>
      </c>
      <c r="AM174" s="3">
        <v>257</v>
      </c>
      <c r="AN174" s="3" t="str">
        <f>IFERROR(MID(VLOOKUP($B174,Seqs!$A:$B,2,0),AO174,1),"")</f>
        <v>N</v>
      </c>
      <c r="AO174" s="3">
        <v>274</v>
      </c>
      <c r="AP174" s="3" t="str">
        <f>IFERROR(MID(VLOOKUP($B174,Seqs!$A:$B,2,0),AQ174,1),"")</f>
        <v>I</v>
      </c>
      <c r="AQ174" s="3">
        <v>306</v>
      </c>
      <c r="AR174" s="3" t="str">
        <f>IFERROR(MID(VLOOKUP($B174,Seqs!$A:$B,2,0),AS174,1),"")</f>
        <v>T</v>
      </c>
      <c r="AS174" s="3">
        <v>311</v>
      </c>
      <c r="AT174" s="3" t="str">
        <f>IFERROR(MID(VLOOKUP($B174,Seqs!$A:$B,2,0),AU174,1),"")</f>
        <v>L</v>
      </c>
      <c r="AU174" s="3">
        <v>339</v>
      </c>
      <c r="AV174" s="3" t="str">
        <f>IFERROR(MID(VLOOKUP($B174,Seqs!$A:$B,2,0),AW174,1),"")</f>
        <v>D</v>
      </c>
      <c r="AW174" s="3">
        <v>340</v>
      </c>
      <c r="AX174" s="3" t="str">
        <f>IFERROR(MID(VLOOKUP($B174,Seqs!$A:$B,2,0),AY174,1),"")</f>
        <v>I</v>
      </c>
      <c r="AY174" s="3">
        <v>352</v>
      </c>
      <c r="AZ174" s="77" t="str">
        <f>VLOOKUP(B174,Classification!A:D,2,0)</f>
        <v>A</v>
      </c>
      <c r="BA174" s="94" t="str">
        <f>VLOOKUP(B174,Classification!A:D,4,0)</f>
        <v>Opioid</v>
      </c>
      <c r="BB174" s="27" t="b">
        <f t="shared" si="250"/>
        <v>1</v>
      </c>
      <c r="BC174" s="23">
        <f t="shared" si="223"/>
        <v>252</v>
      </c>
      <c r="BD174" s="2" t="s">
        <v>1383</v>
      </c>
      <c r="BE174" s="3" t="s">
        <v>1381</v>
      </c>
      <c r="BF174" s="119">
        <v>2.8</v>
      </c>
      <c r="BG174" s="49" t="s">
        <v>1384</v>
      </c>
      <c r="BH174" s="49" t="s">
        <v>1384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si="224"/>
        <v>65</v>
      </c>
      <c r="BW174" s="71">
        <f t="shared" si="225"/>
        <v>97</v>
      </c>
      <c r="BX174" s="72">
        <f t="shared" si="226"/>
        <v>101</v>
      </c>
      <c r="BY174" s="71">
        <f t="shared" si="227"/>
        <v>132</v>
      </c>
      <c r="BZ174" s="72">
        <f t="shared" si="228"/>
        <v>136</v>
      </c>
      <c r="CA174" s="71">
        <f t="shared" si="229"/>
        <v>172</v>
      </c>
      <c r="CB174" s="72">
        <f t="shared" si="230"/>
        <v>180</v>
      </c>
      <c r="CC174" s="71">
        <f t="shared" si="231"/>
        <v>217</v>
      </c>
      <c r="CD174" s="72">
        <f t="shared" si="232"/>
        <v>225</v>
      </c>
      <c r="CE174" s="71">
        <f t="shared" si="233"/>
        <v>274</v>
      </c>
      <c r="CF174" s="72">
        <f t="shared" si="234"/>
        <v>311</v>
      </c>
      <c r="CG174" s="71">
        <f t="shared" si="235"/>
        <v>340</v>
      </c>
      <c r="CH174" s="70">
        <f t="shared" si="236"/>
        <v>96</v>
      </c>
      <c r="CI174" s="71">
        <f t="shared" si="237"/>
        <v>100</v>
      </c>
      <c r="CJ174" s="72">
        <f t="shared" si="238"/>
        <v>130</v>
      </c>
      <c r="CK174" s="72">
        <f t="shared" si="239"/>
        <v>135</v>
      </c>
      <c r="CL174" s="72">
        <f t="shared" si="240"/>
        <v>171</v>
      </c>
      <c r="CM174" s="72">
        <f t="shared" si="241"/>
        <v>179</v>
      </c>
      <c r="CN174" s="72">
        <f t="shared" si="242"/>
        <v>206</v>
      </c>
      <c r="CO174" s="72">
        <f t="shared" si="243"/>
        <v>219</v>
      </c>
      <c r="CP174" s="72">
        <f t="shared" si="244"/>
        <v>257</v>
      </c>
      <c r="CQ174" s="72">
        <f t="shared" si="245"/>
        <v>306</v>
      </c>
      <c r="CR174" s="72">
        <f t="shared" si="246"/>
        <v>339</v>
      </c>
      <c r="CS174" s="72">
        <f t="shared" si="247"/>
        <v>352</v>
      </c>
      <c r="CT174" s="23">
        <f t="shared" si="248"/>
        <v>1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30" x14ac:dyDescent="0.2">
      <c r="A175" s="3" t="str">
        <f t="shared" si="249"/>
        <v>oprm_mouse_5C1M</v>
      </c>
      <c r="B175" s="3" t="s">
        <v>918</v>
      </c>
      <c r="C175" s="3" t="s">
        <v>84</v>
      </c>
      <c r="D175" s="3" t="str">
        <f>IFERROR(MID(VLOOKUP($B175,Seqs!$A:$B,2,0),E175,1),"")</f>
        <v>M</v>
      </c>
      <c r="E175" s="3">
        <v>65</v>
      </c>
      <c r="F175" s="3" t="str">
        <f>IFERROR(MID(VLOOKUP($B175,Seqs!$A:$B,2,0),G175,1),"")</f>
        <v>Y</v>
      </c>
      <c r="G175" s="3">
        <v>96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T</v>
      </c>
      <c r="M175" s="3">
        <v>101</v>
      </c>
      <c r="N175" s="3" t="str">
        <f>IFERROR(MID(VLOOKUP($B175,Seqs!$A:$B,2,0),O175,1),"")</f>
        <v>M</v>
      </c>
      <c r="O175" s="3">
        <v>130</v>
      </c>
      <c r="P175" s="3" t="str">
        <f>IFERROR(MID(VLOOKUP($B175,Seqs!$A:$B,2,0),Q175,1),"")</f>
        <v>T</v>
      </c>
      <c r="Q175" s="3">
        <v>132</v>
      </c>
      <c r="R175" s="3" t="str">
        <f>IFERROR(MID(VLOOKUP($B175,Seqs!$A:$B,2,0),S175,1),"")</f>
        <v>F</v>
      </c>
      <c r="S175" s="3">
        <v>135</v>
      </c>
      <c r="T175" s="3" t="str">
        <f>IFERROR(MID(VLOOKUP($B175,Seqs!$A:$B,2,0),U175,1),"")</f>
        <v>G</v>
      </c>
      <c r="U175" s="3">
        <v>136</v>
      </c>
      <c r="V175" s="3" t="str">
        <f>IFERROR(MID(VLOOKUP($B175,Seqs!$A:$B,2,0),W175,1),"")</f>
        <v>H</v>
      </c>
      <c r="W175" s="3">
        <v>171</v>
      </c>
      <c r="X175" s="3" t="str">
        <f>IFERROR(MID(VLOOKUP($B175,Seqs!$A:$B,2,0),Y175,1),"")</f>
        <v>P</v>
      </c>
      <c r="Y175" s="3">
        <v>172</v>
      </c>
      <c r="Z175" s="3" t="str">
        <f>IFERROR(MID(VLOOKUP($B175,Seqs!$A:$B,2,0),AA175,1),"")</f>
        <v>R</v>
      </c>
      <c r="AA175" s="3">
        <v>179</v>
      </c>
      <c r="AB175" s="3" t="str">
        <f>IFERROR(MID(VLOOKUP($B175,Seqs!$A:$B,2,0),AC175,1),"")</f>
        <v>T</v>
      </c>
      <c r="AC175" s="9">
        <v>180</v>
      </c>
      <c r="AD175" s="3" t="str">
        <f>IFERROR(MID(VLOOKUP($B175,Seqs!$A:$B,2,0),AE175,1),"")</f>
        <v>A</v>
      </c>
      <c r="AE175" s="3">
        <v>206</v>
      </c>
      <c r="AF175" s="3" t="str">
        <f>IFERROR(MID(VLOOKUP($B175,Seqs!$A:$B,2,0),AG175,1),"")</f>
        <v>C</v>
      </c>
      <c r="AG175" s="3">
        <v>217</v>
      </c>
      <c r="AH175" s="3" t="str">
        <f>IFERROR(MID(VLOOKUP($B175,Seqs!$A:$B,2,0),AI175,1),"")</f>
        <v>L</v>
      </c>
      <c r="AI175" s="3">
        <v>219</v>
      </c>
      <c r="AJ175" s="3" t="str">
        <f>IFERROR(MID(VLOOKUP($B175,Seqs!$A:$B,2,0),AK175,1),"")</f>
        <v>T</v>
      </c>
      <c r="AK175" s="3">
        <v>225</v>
      </c>
      <c r="AL175" s="3" t="str">
        <f>IFERROR(MID(VLOOKUP($B175,Seqs!$A:$B,2,0),AM175,1),"")</f>
        <v>V</v>
      </c>
      <c r="AM175" s="3">
        <v>262</v>
      </c>
      <c r="AN175" s="3" t="str">
        <f>IFERROR(MID(VLOOKUP($B175,Seqs!$A:$B,2,0),AO175,1),"")</f>
        <v>S</v>
      </c>
      <c r="AO175" s="3">
        <v>268</v>
      </c>
      <c r="AP175" s="3" t="str">
        <f>IFERROR(MID(VLOOKUP($B175,Seqs!$A:$B,2,0),AQ175,1),"")</f>
        <v>I</v>
      </c>
      <c r="AQ175" s="3">
        <v>306</v>
      </c>
      <c r="AR175" s="3" t="str">
        <f>IFERROR(MID(VLOOKUP($B175,Seqs!$A:$B,2,0),AS175,1),"")</f>
        <v>T</v>
      </c>
      <c r="AS175" s="3">
        <v>311</v>
      </c>
      <c r="AT175" s="3" t="str">
        <f>IFERROR(MID(VLOOKUP($B175,Seqs!$A:$B,2,0),AU175,1),"")</f>
        <v>P</v>
      </c>
      <c r="AU175" s="3">
        <v>333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7" t="str">
        <f>VLOOKUP(B175,Classification!A:D,2,0)</f>
        <v>A</v>
      </c>
      <c r="BA175" s="94" t="str">
        <f>VLOOKUP(B175,Classification!A:D,4,0)</f>
        <v>Opioid</v>
      </c>
      <c r="BB175" s="27" t="b">
        <f t="shared" si="250"/>
        <v>1</v>
      </c>
      <c r="BC175" s="23">
        <f t="shared" si="223"/>
        <v>242</v>
      </c>
      <c r="BD175" s="5" t="s">
        <v>1382</v>
      </c>
      <c r="BE175" s="3" t="s">
        <v>1297</v>
      </c>
      <c r="BF175" s="119">
        <v>2.1</v>
      </c>
      <c r="BG175" s="49" t="s">
        <v>1384</v>
      </c>
      <c r="BH175" s="49" t="s">
        <v>1384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224"/>
        <v>65</v>
      </c>
      <c r="BW175" s="71" t="str">
        <f t="shared" si="225"/>
        <v>-</v>
      </c>
      <c r="BX175" s="72">
        <f t="shared" si="226"/>
        <v>101</v>
      </c>
      <c r="BY175" s="71">
        <f t="shared" si="227"/>
        <v>132</v>
      </c>
      <c r="BZ175" s="72">
        <f t="shared" si="228"/>
        <v>136</v>
      </c>
      <c r="CA175" s="71">
        <f t="shared" si="229"/>
        <v>172</v>
      </c>
      <c r="CB175" s="72">
        <f t="shared" si="230"/>
        <v>180</v>
      </c>
      <c r="CC175" s="71">
        <f t="shared" si="231"/>
        <v>217</v>
      </c>
      <c r="CD175" s="72">
        <f t="shared" si="232"/>
        <v>225</v>
      </c>
      <c r="CE175" s="71">
        <f t="shared" si="233"/>
        <v>268</v>
      </c>
      <c r="CF175" s="72">
        <f t="shared" si="234"/>
        <v>311</v>
      </c>
      <c r="CG175" s="71" t="str">
        <f t="shared" si="235"/>
        <v>-</v>
      </c>
      <c r="CH175" s="70">
        <f t="shared" si="236"/>
        <v>96</v>
      </c>
      <c r="CI175" s="71" t="str">
        <f t="shared" si="237"/>
        <v>-</v>
      </c>
      <c r="CJ175" s="72">
        <f t="shared" si="238"/>
        <v>130</v>
      </c>
      <c r="CK175" s="72">
        <f t="shared" si="239"/>
        <v>135</v>
      </c>
      <c r="CL175" s="72">
        <f t="shared" si="240"/>
        <v>171</v>
      </c>
      <c r="CM175" s="72">
        <f t="shared" si="241"/>
        <v>179</v>
      </c>
      <c r="CN175" s="72">
        <f t="shared" si="242"/>
        <v>206</v>
      </c>
      <c r="CO175" s="72">
        <f t="shared" si="243"/>
        <v>219</v>
      </c>
      <c r="CP175" s="72">
        <f t="shared" si="244"/>
        <v>262</v>
      </c>
      <c r="CQ175" s="72">
        <f t="shared" si="245"/>
        <v>306</v>
      </c>
      <c r="CR175" s="72">
        <f t="shared" si="246"/>
        <v>333</v>
      </c>
      <c r="CS175" s="72" t="str">
        <f t="shared" si="247"/>
        <v>-</v>
      </c>
      <c r="CT175" s="23" t="e">
        <f t="shared" si="248"/>
        <v>#VALUE!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s="12" customFormat="1" x14ac:dyDescent="0.2">
      <c r="A176" s="9" t="str">
        <f t="shared" ref="A176" si="251">CONCATENATE(B176,"_",C176)</f>
        <v>oprm_mouse_6DDE</v>
      </c>
      <c r="B176" s="9" t="s">
        <v>918</v>
      </c>
      <c r="C176" s="9" t="s">
        <v>1516</v>
      </c>
      <c r="D176" s="9" t="str">
        <f>IFERROR(MID(VLOOKUP($B176,Seqs!$A:$B,2,0),E176,1),"")</f>
        <v>T</v>
      </c>
      <c r="E176" s="9">
        <v>67</v>
      </c>
      <c r="F176" s="9" t="str">
        <f>IFERROR(MID(VLOOKUP($B176,Seqs!$A:$B,2,0),G176,1),"")</f>
        <v>K</v>
      </c>
      <c r="G176" s="9">
        <v>98</v>
      </c>
      <c r="H176" s="9" t="str">
        <f>IFERROR(MID(VLOOKUP($B176,Seqs!$A:$B,2,0),I176,1),"")</f>
        <v/>
      </c>
      <c r="I176" s="109" t="s">
        <v>23</v>
      </c>
      <c r="J176" s="9" t="str">
        <f>IFERROR(MID(VLOOKUP($B176,Seqs!$A:$B,2,0),K176,1),"")</f>
        <v/>
      </c>
      <c r="K176" s="109" t="s">
        <v>23</v>
      </c>
      <c r="L176" s="9" t="str">
        <f>IFERROR(MID(VLOOKUP($B176,Seqs!$A:$B,2,0),M176,1),"")</f>
        <v>A</v>
      </c>
      <c r="M176" s="9">
        <v>102</v>
      </c>
      <c r="N176" s="9" t="str">
        <f>IFERROR(MID(VLOOKUP($B176,Seqs!$A:$B,2,0),O176,1),"")</f>
        <v>G</v>
      </c>
      <c r="O176" s="9">
        <v>131</v>
      </c>
      <c r="P176" s="9" t="str">
        <f>IFERROR(MID(VLOOKUP($B176,Seqs!$A:$B,2,0),Q176,1),"")</f>
        <v>T</v>
      </c>
      <c r="Q176" s="9">
        <v>132</v>
      </c>
      <c r="R176" s="9" t="str">
        <f>IFERROR(MID(VLOOKUP($B176,Seqs!$A:$B,2,0),S176,1),"")</f>
        <v>F</v>
      </c>
      <c r="S176" s="9">
        <v>135</v>
      </c>
      <c r="T176" s="9" t="str">
        <f>IFERROR(MID(VLOOKUP($B176,Seqs!$A:$B,2,0),U176,1),"")</f>
        <v>G</v>
      </c>
      <c r="U176" s="9">
        <v>136</v>
      </c>
      <c r="V176" s="9" t="str">
        <f>IFERROR(MID(VLOOKUP($B176,Seqs!$A:$B,2,0),W176,1),"")</f>
        <v>H</v>
      </c>
      <c r="W176" s="9">
        <v>171</v>
      </c>
      <c r="X176" s="9" t="str">
        <f>IFERROR(MID(VLOOKUP($B176,Seqs!$A:$B,2,0),Y176,1),"")</f>
        <v>P</v>
      </c>
      <c r="Y176" s="9">
        <v>172</v>
      </c>
      <c r="Z176" s="9" t="str">
        <f>IFERROR(MID(VLOOKUP($B176,Seqs!$A:$B,2,0),AA176,1),"")</f>
        <v>R</v>
      </c>
      <c r="AA176" s="9">
        <v>179</v>
      </c>
      <c r="AB176" s="9" t="str">
        <f>IFERROR(MID(VLOOKUP($B176,Seqs!$A:$B,2,0),AC176,1),"")</f>
        <v>T</v>
      </c>
      <c r="AC176" s="9">
        <v>180</v>
      </c>
      <c r="AD176" s="9" t="str">
        <f>IFERROR(MID(VLOOKUP($B176,Seqs!$A:$B,2,0),AE176,1),"")</f>
        <v>F</v>
      </c>
      <c r="AE176" s="9">
        <v>204</v>
      </c>
      <c r="AF176" s="9" t="str">
        <f>IFERROR(MID(VLOOKUP($B176,Seqs!$A:$B,2,0),AG176,1),"")</f>
        <v>C</v>
      </c>
      <c r="AG176" s="9">
        <v>217</v>
      </c>
      <c r="AH176" s="9" t="str">
        <f>IFERROR(MID(VLOOKUP($B176,Seqs!$A:$B,2,0),AI176,1),"")</f>
        <v>L</v>
      </c>
      <c r="AI176" s="9">
        <v>219</v>
      </c>
      <c r="AJ176" s="9" t="str">
        <f>IFERROR(MID(VLOOKUP($B176,Seqs!$A:$B,2,0),AK176,1),"")</f>
        <v>Y</v>
      </c>
      <c r="AK176" s="9">
        <v>227</v>
      </c>
      <c r="AL176" s="9" t="str">
        <f>IFERROR(MID(VLOOKUP($B176,Seqs!$A:$B,2,0),AM176,1),"")</f>
        <v>V</v>
      </c>
      <c r="AM176" s="9">
        <v>262</v>
      </c>
      <c r="AN176" s="9" t="str">
        <f>IFERROR(MID(VLOOKUP($B176,Seqs!$A:$B,2,0),AO176,1),"")</f>
        <v>S</v>
      </c>
      <c r="AO176" s="9">
        <v>268</v>
      </c>
      <c r="AP176" s="9" t="str">
        <f>IFERROR(MID(VLOOKUP($B176,Seqs!$A:$B,2,0),AQ176,1),"")</f>
        <v>I</v>
      </c>
      <c r="AQ176" s="9">
        <v>306</v>
      </c>
      <c r="AR176" s="9" t="str">
        <f>IFERROR(MID(VLOOKUP($B176,Seqs!$A:$B,2,0),AS176,1),"")</f>
        <v>F</v>
      </c>
      <c r="AS176" s="9">
        <v>313</v>
      </c>
      <c r="AT176" s="9" t="str">
        <f>IFERROR(MID(VLOOKUP($B176,Seqs!$A:$B,2,0),AU176,1),"")</f>
        <v>A</v>
      </c>
      <c r="AU176" s="9">
        <v>337</v>
      </c>
      <c r="AV176" s="9" t="str">
        <f>IFERROR(MID(VLOOKUP($B176,Seqs!$A:$B,2,0),AW176,1),"")</f>
        <v/>
      </c>
      <c r="AW176" s="9" t="s">
        <v>23</v>
      </c>
      <c r="AX176" s="9" t="str">
        <f>IFERROR(MID(VLOOKUP($B176,Seqs!$A:$B,2,0),AY176,1),"")</f>
        <v/>
      </c>
      <c r="AY176" s="9" t="s">
        <v>23</v>
      </c>
      <c r="AZ176" s="110" t="str">
        <f>VLOOKUP(B176,Classification!A:D,2,0)</f>
        <v>A</v>
      </c>
      <c r="BA176" s="98" t="str">
        <f>VLOOKUP(B176,Classification!A:D,4,0)</f>
        <v>Opioid</v>
      </c>
      <c r="BB176" s="36" t="b">
        <f t="shared" ref="BB176" si="252"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109">
        <f t="shared" ref="BC176" si="253">_xlfn.AGGREGATE(9,6,CH176:CS176)-_xlfn.AGGREGATE(9,6,BV176:CG176)+12</f>
        <v>240</v>
      </c>
      <c r="BD176" s="13" t="s">
        <v>23</v>
      </c>
      <c r="BE176" s="9" t="s">
        <v>1297</v>
      </c>
      <c r="BF176" s="120">
        <v>3.5</v>
      </c>
      <c r="BG176" s="51" t="s">
        <v>1433</v>
      </c>
      <c r="BH176" s="51" t="s">
        <v>1433</v>
      </c>
      <c r="BJ176" s="111" t="s">
        <v>1293</v>
      </c>
      <c r="BK176" s="112" t="s">
        <v>1293</v>
      </c>
      <c r="BL176" s="112" t="s">
        <v>1293</v>
      </c>
      <c r="BM176" s="112" t="s">
        <v>1293</v>
      </c>
      <c r="BN176" s="112" t="s">
        <v>1293</v>
      </c>
      <c r="BO176" s="112" t="s">
        <v>1293</v>
      </c>
      <c r="BP176" s="112" t="s">
        <v>1293</v>
      </c>
      <c r="BQ176" s="112" t="s">
        <v>1293</v>
      </c>
      <c r="BR176" s="112" t="s">
        <v>1293</v>
      </c>
      <c r="BS176" s="112" t="s">
        <v>1293</v>
      </c>
      <c r="BT176" s="112" t="s">
        <v>1293</v>
      </c>
      <c r="BU176" s="112" t="s">
        <v>1293</v>
      </c>
      <c r="BV176" s="111">
        <f t="shared" ref="BV176" si="254">E176</f>
        <v>67</v>
      </c>
      <c r="BW176" s="113" t="str">
        <f t="shared" ref="BW176" si="255">I176</f>
        <v>-</v>
      </c>
      <c r="BX176" s="114">
        <f t="shared" ref="BX176" si="256">M176</f>
        <v>102</v>
      </c>
      <c r="BY176" s="113">
        <f t="shared" ref="BY176" si="257">Q176</f>
        <v>132</v>
      </c>
      <c r="BZ176" s="114">
        <f t="shared" ref="BZ176" si="258">U176</f>
        <v>136</v>
      </c>
      <c r="CA176" s="113">
        <f t="shared" ref="CA176" si="259">Y176</f>
        <v>172</v>
      </c>
      <c r="CB176" s="114">
        <f t="shared" ref="CB176" si="260">AC176</f>
        <v>180</v>
      </c>
      <c r="CC176" s="113">
        <f t="shared" ref="CC176" si="261">AG176</f>
        <v>217</v>
      </c>
      <c r="CD176" s="114">
        <f t="shared" ref="CD176" si="262">AK176</f>
        <v>227</v>
      </c>
      <c r="CE176" s="113">
        <f t="shared" ref="CE176" si="263">AO176</f>
        <v>268</v>
      </c>
      <c r="CF176" s="114">
        <f t="shared" ref="CF176" si="264">AS176</f>
        <v>313</v>
      </c>
      <c r="CG176" s="113" t="str">
        <f t="shared" ref="CG176" si="265">AW176</f>
        <v>-</v>
      </c>
      <c r="CH176" s="111">
        <f t="shared" ref="CH176" si="266">G176</f>
        <v>98</v>
      </c>
      <c r="CI176" s="113" t="str">
        <f t="shared" ref="CI176" si="267">K176</f>
        <v>-</v>
      </c>
      <c r="CJ176" s="114">
        <f t="shared" ref="CJ176" si="268">O176</f>
        <v>131</v>
      </c>
      <c r="CK176" s="114">
        <f t="shared" ref="CK176" si="269">S176</f>
        <v>135</v>
      </c>
      <c r="CL176" s="114">
        <f t="shared" ref="CL176" si="270">W176</f>
        <v>171</v>
      </c>
      <c r="CM176" s="114">
        <f t="shared" ref="CM176" si="271">AA176</f>
        <v>179</v>
      </c>
      <c r="CN176" s="114">
        <f t="shared" ref="CN176" si="272">AE176</f>
        <v>204</v>
      </c>
      <c r="CO176" s="114">
        <f t="shared" ref="CO176" si="273">AI176</f>
        <v>219</v>
      </c>
      <c r="CP176" s="114">
        <f t="shared" ref="CP176" si="274">AM176</f>
        <v>262</v>
      </c>
      <c r="CQ176" s="114">
        <f t="shared" ref="CQ176" si="275">AQ176</f>
        <v>306</v>
      </c>
      <c r="CR176" s="114">
        <f t="shared" ref="CR176" si="276">AU176</f>
        <v>337</v>
      </c>
      <c r="CS176" s="114" t="str">
        <f t="shared" ref="CS176" si="277">AY176</f>
        <v>-</v>
      </c>
      <c r="CT176" s="109" t="e">
        <f t="shared" ref="CT176" si="278">M176-K176</f>
        <v>#VALUE!</v>
      </c>
    </row>
    <row r="177" spans="1:1030" s="12" customFormat="1" x14ac:dyDescent="0.2">
      <c r="A177" s="9" t="str">
        <f t="shared" ref="A177" si="279">CONCATENATE(B177,"_",C177)</f>
        <v>oprm_mouse_6DDF</v>
      </c>
      <c r="B177" s="9" t="s">
        <v>918</v>
      </c>
      <c r="C177" s="9" t="s">
        <v>1517</v>
      </c>
      <c r="D177" s="9" t="str">
        <f>IFERROR(MID(VLOOKUP($B177,Seqs!$A:$B,2,0),E177,1),"")</f>
        <v>T</v>
      </c>
      <c r="E177" s="9">
        <v>67</v>
      </c>
      <c r="F177" s="9" t="str">
        <f>IFERROR(MID(VLOOKUP($B177,Seqs!$A:$B,2,0),G177,1),"")</f>
        <v>K</v>
      </c>
      <c r="G177" s="9">
        <v>98</v>
      </c>
      <c r="H177" s="9" t="str">
        <f>IFERROR(MID(VLOOKUP($B177,Seqs!$A:$B,2,0),I177,1),"")</f>
        <v/>
      </c>
      <c r="I177" s="109" t="s">
        <v>23</v>
      </c>
      <c r="J177" s="9" t="str">
        <f>IFERROR(MID(VLOOKUP($B177,Seqs!$A:$B,2,0),K177,1),"")</f>
        <v/>
      </c>
      <c r="K177" s="109" t="s">
        <v>23</v>
      </c>
      <c r="L177" s="9" t="str">
        <f>IFERROR(MID(VLOOKUP($B177,Seqs!$A:$B,2,0),M177,1),"")</f>
        <v>A</v>
      </c>
      <c r="M177" s="9">
        <v>102</v>
      </c>
      <c r="N177" s="9" t="str">
        <f>IFERROR(MID(VLOOKUP($B177,Seqs!$A:$B,2,0),O177,1),"")</f>
        <v>G</v>
      </c>
      <c r="O177" s="9">
        <v>131</v>
      </c>
      <c r="P177" s="9" t="str">
        <f>IFERROR(MID(VLOOKUP($B177,Seqs!$A:$B,2,0),Q177,1),"")</f>
        <v>T</v>
      </c>
      <c r="Q177" s="9">
        <v>132</v>
      </c>
      <c r="R177" s="9" t="str">
        <f>IFERROR(MID(VLOOKUP($B177,Seqs!$A:$B,2,0),S177,1),"")</f>
        <v>F</v>
      </c>
      <c r="S177" s="9">
        <v>135</v>
      </c>
      <c r="T177" s="9" t="str">
        <f>IFERROR(MID(VLOOKUP($B177,Seqs!$A:$B,2,0),U177,1),"")</f>
        <v>G</v>
      </c>
      <c r="U177" s="9">
        <v>136</v>
      </c>
      <c r="V177" s="9" t="str">
        <f>IFERROR(MID(VLOOKUP($B177,Seqs!$A:$B,2,0),W177,1),"")</f>
        <v>H</v>
      </c>
      <c r="W177" s="9">
        <v>171</v>
      </c>
      <c r="X177" s="9" t="str">
        <f>IFERROR(MID(VLOOKUP($B177,Seqs!$A:$B,2,0),Y177,1),"")</f>
        <v>P</v>
      </c>
      <c r="Y177" s="9">
        <v>172</v>
      </c>
      <c r="Z177" s="9" t="str">
        <f>IFERROR(MID(VLOOKUP($B177,Seqs!$A:$B,2,0),AA177,1),"")</f>
        <v>R</v>
      </c>
      <c r="AA177" s="9">
        <v>179</v>
      </c>
      <c r="AB177" s="9" t="str">
        <f>IFERROR(MID(VLOOKUP($B177,Seqs!$A:$B,2,0),AC177,1),"")</f>
        <v>T</v>
      </c>
      <c r="AC177" s="9">
        <v>180</v>
      </c>
      <c r="AD177" s="9" t="str">
        <f>IFERROR(MID(VLOOKUP($B177,Seqs!$A:$B,2,0),AE177,1),"")</f>
        <v>F</v>
      </c>
      <c r="AE177" s="9">
        <v>204</v>
      </c>
      <c r="AF177" s="9" t="str">
        <f>IFERROR(MID(VLOOKUP($B177,Seqs!$A:$B,2,0),AG177,1),"")</f>
        <v>C</v>
      </c>
      <c r="AG177" s="9">
        <v>217</v>
      </c>
      <c r="AH177" s="9" t="str">
        <f>IFERROR(MID(VLOOKUP($B177,Seqs!$A:$B,2,0),AI177,1),"")</f>
        <v>L</v>
      </c>
      <c r="AI177" s="9">
        <v>219</v>
      </c>
      <c r="AJ177" s="9" t="str">
        <f>IFERROR(MID(VLOOKUP($B177,Seqs!$A:$B,2,0),AK177,1),"")</f>
        <v>Y</v>
      </c>
      <c r="AK177" s="9">
        <v>227</v>
      </c>
      <c r="AL177" s="9" t="str">
        <f>IFERROR(MID(VLOOKUP($B177,Seqs!$A:$B,2,0),AM177,1),"")</f>
        <v>V</v>
      </c>
      <c r="AM177" s="9">
        <v>262</v>
      </c>
      <c r="AN177" s="9" t="str">
        <f>IFERROR(MID(VLOOKUP($B177,Seqs!$A:$B,2,0),AO177,1),"")</f>
        <v>S</v>
      </c>
      <c r="AO177" s="9">
        <v>268</v>
      </c>
      <c r="AP177" s="9" t="str">
        <f>IFERROR(MID(VLOOKUP($B177,Seqs!$A:$B,2,0),AQ177,1),"")</f>
        <v>I</v>
      </c>
      <c r="AQ177" s="9">
        <v>306</v>
      </c>
      <c r="AR177" s="9" t="str">
        <f>IFERROR(MID(VLOOKUP($B177,Seqs!$A:$B,2,0),AS177,1),"")</f>
        <v>F</v>
      </c>
      <c r="AS177" s="9">
        <v>313</v>
      </c>
      <c r="AT177" s="9" t="str">
        <f>IFERROR(MID(VLOOKUP($B177,Seqs!$A:$B,2,0),AU177,1),"")</f>
        <v>A</v>
      </c>
      <c r="AU177" s="9">
        <v>337</v>
      </c>
      <c r="AV177" s="9" t="str">
        <f>IFERROR(MID(VLOOKUP($B177,Seqs!$A:$B,2,0),AW177,1),"")</f>
        <v/>
      </c>
      <c r="AW177" s="9" t="s">
        <v>23</v>
      </c>
      <c r="AX177" s="9" t="str">
        <f>IFERROR(MID(VLOOKUP($B177,Seqs!$A:$B,2,0),AY177,1),"")</f>
        <v/>
      </c>
      <c r="AY177" s="9" t="s">
        <v>23</v>
      </c>
      <c r="AZ177" s="110" t="str">
        <f>VLOOKUP(B177,Classification!A:D,2,0)</f>
        <v>A</v>
      </c>
      <c r="BA177" s="98" t="str">
        <f>VLOOKUP(B177,Classification!A:D,4,0)</f>
        <v>Opioid</v>
      </c>
      <c r="BB177" s="36" t="b">
        <f t="shared" ref="BB177" si="280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109">
        <f t="shared" ref="BC177" si="281">_xlfn.AGGREGATE(9,6,CH177:CS177)-_xlfn.AGGREGATE(9,6,BV177:CG177)+12</f>
        <v>240</v>
      </c>
      <c r="BD177" s="13" t="s">
        <v>23</v>
      </c>
      <c r="BE177" s="9" t="s">
        <v>1297</v>
      </c>
      <c r="BF177" s="120">
        <v>4.5</v>
      </c>
      <c r="BG177" s="51" t="s">
        <v>1433</v>
      </c>
      <c r="BH177" s="51" t="s">
        <v>1433</v>
      </c>
      <c r="BJ177" s="111" t="s">
        <v>1293</v>
      </c>
      <c r="BK177" s="112" t="s">
        <v>1293</v>
      </c>
      <c r="BL177" s="112" t="s">
        <v>1293</v>
      </c>
      <c r="BM177" s="112" t="s">
        <v>1293</v>
      </c>
      <c r="BN177" s="112" t="s">
        <v>1293</v>
      </c>
      <c r="BO177" s="112" t="s">
        <v>1293</v>
      </c>
      <c r="BP177" s="112" t="s">
        <v>1293</v>
      </c>
      <c r="BQ177" s="112" t="s">
        <v>1293</v>
      </c>
      <c r="BR177" s="112" t="s">
        <v>1293</v>
      </c>
      <c r="BS177" s="112" t="s">
        <v>1293</v>
      </c>
      <c r="BT177" s="112" t="s">
        <v>1293</v>
      </c>
      <c r="BU177" s="112" t="s">
        <v>1293</v>
      </c>
      <c r="BV177" s="111">
        <f t="shared" ref="BV177" si="282">E177</f>
        <v>67</v>
      </c>
      <c r="BW177" s="113" t="str">
        <f t="shared" ref="BW177" si="283">I177</f>
        <v>-</v>
      </c>
      <c r="BX177" s="114">
        <f t="shared" ref="BX177" si="284">M177</f>
        <v>102</v>
      </c>
      <c r="BY177" s="113">
        <f t="shared" ref="BY177" si="285">Q177</f>
        <v>132</v>
      </c>
      <c r="BZ177" s="114">
        <f t="shared" ref="BZ177" si="286">U177</f>
        <v>136</v>
      </c>
      <c r="CA177" s="113">
        <f t="shared" ref="CA177" si="287">Y177</f>
        <v>172</v>
      </c>
      <c r="CB177" s="114">
        <f t="shared" ref="CB177" si="288">AC177</f>
        <v>180</v>
      </c>
      <c r="CC177" s="113">
        <f t="shared" ref="CC177" si="289">AG177</f>
        <v>217</v>
      </c>
      <c r="CD177" s="114">
        <f t="shared" ref="CD177" si="290">AK177</f>
        <v>227</v>
      </c>
      <c r="CE177" s="113">
        <f t="shared" ref="CE177" si="291">AO177</f>
        <v>268</v>
      </c>
      <c r="CF177" s="114">
        <f t="shared" ref="CF177" si="292">AS177</f>
        <v>313</v>
      </c>
      <c r="CG177" s="113" t="str">
        <f t="shared" ref="CG177" si="293">AW177</f>
        <v>-</v>
      </c>
      <c r="CH177" s="111">
        <f t="shared" ref="CH177" si="294">G177</f>
        <v>98</v>
      </c>
      <c r="CI177" s="113" t="str">
        <f t="shared" ref="CI177" si="295">K177</f>
        <v>-</v>
      </c>
      <c r="CJ177" s="114">
        <f t="shared" ref="CJ177" si="296">O177</f>
        <v>131</v>
      </c>
      <c r="CK177" s="114">
        <f t="shared" ref="CK177" si="297">S177</f>
        <v>135</v>
      </c>
      <c r="CL177" s="114">
        <f t="shared" ref="CL177" si="298">W177</f>
        <v>171</v>
      </c>
      <c r="CM177" s="114">
        <f t="shared" ref="CM177" si="299">AA177</f>
        <v>179</v>
      </c>
      <c r="CN177" s="114">
        <f t="shared" ref="CN177" si="300">AE177</f>
        <v>204</v>
      </c>
      <c r="CO177" s="114">
        <f t="shared" ref="CO177" si="301">AI177</f>
        <v>219</v>
      </c>
      <c r="CP177" s="114">
        <f t="shared" ref="CP177" si="302">AM177</f>
        <v>262</v>
      </c>
      <c r="CQ177" s="114">
        <f t="shared" ref="CQ177" si="303">AQ177</f>
        <v>306</v>
      </c>
      <c r="CR177" s="114">
        <f t="shared" ref="CR177" si="304">AU177</f>
        <v>337</v>
      </c>
      <c r="CS177" s="114" t="str">
        <f t="shared" ref="CS177" si="305">AY177</f>
        <v>-</v>
      </c>
      <c r="CT177" s="109" t="e">
        <f t="shared" ref="CT177" si="306">M177-K177</f>
        <v>#VALUE!</v>
      </c>
    </row>
    <row r="178" spans="1:1030" x14ac:dyDescent="0.2">
      <c r="A178" s="3" t="str">
        <f t="shared" si="249"/>
        <v>oprx_human__wt</v>
      </c>
      <c r="B178" s="3" t="s">
        <v>1174</v>
      </c>
      <c r="C178" s="3" t="s">
        <v>100</v>
      </c>
      <c r="D178" s="3" t="str">
        <f>IFERROR(MID(VLOOKUP($B178,Seqs!$A:$B,2,0),E178,1),"")</f>
        <v>L</v>
      </c>
      <c r="E178" s="3">
        <v>48</v>
      </c>
      <c r="F178" s="3" t="str">
        <f>IFERROR(MID(VLOOKUP($B178,Seqs!$A:$B,2,0),G178,1),"")</f>
        <v>H</v>
      </c>
      <c r="G178" s="3">
        <v>79</v>
      </c>
      <c r="H178" s="3" t="str">
        <f>IFERROR(MID(VLOOKUP($B178,Seqs!$A:$B,2,0),I178,1),"")</f>
        <v>T</v>
      </c>
      <c r="I178" s="23">
        <v>80</v>
      </c>
      <c r="J178" s="3" t="str">
        <f>IFERROR(MID(VLOOKUP($B178,Seqs!$A:$B,2,0),K178,1),"")</f>
        <v>K</v>
      </c>
      <c r="K178" s="23">
        <v>83</v>
      </c>
      <c r="L178" s="3" t="str">
        <f>IFERROR(MID(VLOOKUP($B178,Seqs!$A:$B,2,0),M178,1),"")</f>
        <v>T</v>
      </c>
      <c r="M178" s="3">
        <v>84</v>
      </c>
      <c r="N178" s="3" t="str">
        <f>IFERROR(MID(VLOOKUP($B178,Seqs!$A:$B,2,0),O178,1),"")</f>
        <v>L</v>
      </c>
      <c r="O178" s="3">
        <v>113</v>
      </c>
      <c r="P178" s="3" t="str">
        <f>IFERROR(MID(VLOOKUP($B178,Seqs!$A:$B,2,0),Q178,1),"")</f>
        <v>F</v>
      </c>
      <c r="Q178" s="3">
        <v>115</v>
      </c>
      <c r="R178" s="3" t="str">
        <f>IFERROR(MID(VLOOKUP($B178,Seqs!$A:$B,2,0),S178,1),"")</f>
        <v>F</v>
      </c>
      <c r="S178" s="3">
        <v>118</v>
      </c>
      <c r="T178" s="3" t="str">
        <f>IFERROR(MID(VLOOKUP($B178,Seqs!$A:$B,2,0),U178,1),"")</f>
        <v>G</v>
      </c>
      <c r="U178" s="3">
        <v>119</v>
      </c>
      <c r="V178" s="3" t="str">
        <f>IFERROR(MID(VLOOKUP($B178,Seqs!$A:$B,2,0),W178,1),"")</f>
        <v>H</v>
      </c>
      <c r="W178" s="3">
        <v>154</v>
      </c>
      <c r="X178" s="3" t="str">
        <f>IFERROR(MID(VLOOKUP($B178,Seqs!$A:$B,2,0),Y178,1),"")</f>
        <v>P</v>
      </c>
      <c r="Y178" s="3">
        <v>155</v>
      </c>
      <c r="Z178" s="3" t="str">
        <f>IFERROR(MID(VLOOKUP($B178,Seqs!$A:$B,2,0),AA178,1),"")</f>
        <v>R</v>
      </c>
      <c r="AA178" s="3">
        <v>162</v>
      </c>
      <c r="AB178" s="3" t="str">
        <f>IFERROR(MID(VLOOKUP($B178,Seqs!$A:$B,2,0),AC178,1),"")</f>
        <v>T</v>
      </c>
      <c r="AC178" s="9">
        <v>163</v>
      </c>
      <c r="AD178" s="3" t="str">
        <f>IFERROR(MID(VLOOKUP($B178,Seqs!$A:$B,2,0),AE178,1),"")</f>
        <v>G</v>
      </c>
      <c r="AE178" s="3">
        <v>189</v>
      </c>
      <c r="AF178" s="3" t="str">
        <f>IFERROR(MID(VLOOKUP($B178,Seqs!$A:$B,2,0),AG178,1),"")</f>
        <v>C</v>
      </c>
      <c r="AG178" s="3">
        <v>200</v>
      </c>
      <c r="AH178" s="3" t="str">
        <f>IFERROR(MID(VLOOKUP($B178,Seqs!$A:$B,2,0),AI178,1),"")</f>
        <v>V</v>
      </c>
      <c r="AI178" s="3">
        <v>202</v>
      </c>
      <c r="AJ178" s="3" t="str">
        <f>IFERROR(MID(VLOOKUP($B178,Seqs!$A:$B,2,0),AK178,1),"")</f>
        <v>Q</v>
      </c>
      <c r="AK178" s="3">
        <v>208</v>
      </c>
      <c r="AL178" s="3" t="str">
        <f>IFERROR(MID(VLOOKUP($B178,Seqs!$A:$B,2,0),AM178,1),"")</f>
        <v>V</v>
      </c>
      <c r="AM178" s="3">
        <v>245</v>
      </c>
      <c r="AN178" s="3" t="str">
        <f>IFERROR(MID(VLOOKUP($B178,Seqs!$A:$B,2,0),AO178,1),"")</f>
        <v>S</v>
      </c>
      <c r="AO178" s="3">
        <v>251</v>
      </c>
      <c r="AP178" s="3" t="str">
        <f>IFERROR(MID(VLOOKUP($B178,Seqs!$A:$B,2,0),AQ178,1),"")</f>
        <v>G</v>
      </c>
      <c r="AQ178" s="3">
        <v>289</v>
      </c>
      <c r="AR178" s="3" t="str">
        <f>IFERROR(MID(VLOOKUP($B178,Seqs!$A:$B,2,0),AS178,1),"")</f>
        <v>S</v>
      </c>
      <c r="AS178" s="3">
        <v>294</v>
      </c>
      <c r="AT178" s="3" t="str">
        <f>IFERROR(MID(VLOOKUP($B178,Seqs!$A:$B,2,0),AU178,1),"")</f>
        <v>L</v>
      </c>
      <c r="AU178" s="3">
        <v>322</v>
      </c>
      <c r="AV178" s="3" t="str">
        <f>IFERROR(MID(VLOOKUP($B178,Seqs!$A:$B,2,0),AW178,1),"")</f>
        <v>D</v>
      </c>
      <c r="AW178" s="3">
        <v>323</v>
      </c>
      <c r="AX178" s="3" t="str">
        <f>IFERROR(MID(VLOOKUP($B178,Seqs!$A:$B,2,0),AY178,1),"")</f>
        <v>C</v>
      </c>
      <c r="AY178" s="3">
        <v>335</v>
      </c>
      <c r="AZ178" s="77" t="str">
        <f>VLOOKUP(B178,Classification!A:D,2,0)</f>
        <v>A</v>
      </c>
      <c r="BA178" s="94" t="str">
        <f>VLOOKUP(B178,Classification!A:D,4,0)</f>
        <v>Opioid</v>
      </c>
      <c r="BB178" s="27" t="b">
        <f t="shared" si="250"/>
        <v>1</v>
      </c>
      <c r="BC178" s="23">
        <f t="shared" si="223"/>
        <v>263</v>
      </c>
      <c r="BD178" s="56" t="s">
        <v>1379</v>
      </c>
      <c r="BE178" s="3" t="s">
        <v>23</v>
      </c>
      <c r="BF178" s="119" t="s">
        <v>23</v>
      </c>
      <c r="BG178" s="49" t="s">
        <v>1379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224"/>
        <v>48</v>
      </c>
      <c r="BW178" s="71">
        <f t="shared" si="225"/>
        <v>80</v>
      </c>
      <c r="BX178" s="72">
        <f t="shared" si="226"/>
        <v>84</v>
      </c>
      <c r="BY178" s="71">
        <f t="shared" si="227"/>
        <v>115</v>
      </c>
      <c r="BZ178" s="72">
        <f t="shared" si="228"/>
        <v>119</v>
      </c>
      <c r="CA178" s="71">
        <f t="shared" si="229"/>
        <v>155</v>
      </c>
      <c r="CB178" s="72">
        <f t="shared" si="230"/>
        <v>163</v>
      </c>
      <c r="CC178" s="71">
        <f t="shared" si="231"/>
        <v>200</v>
      </c>
      <c r="CD178" s="72">
        <f t="shared" si="232"/>
        <v>208</v>
      </c>
      <c r="CE178" s="71">
        <f t="shared" si="233"/>
        <v>251</v>
      </c>
      <c r="CF178" s="72">
        <f t="shared" si="234"/>
        <v>294</v>
      </c>
      <c r="CG178" s="71">
        <f t="shared" si="235"/>
        <v>323</v>
      </c>
      <c r="CH178" s="70">
        <f t="shared" si="236"/>
        <v>79</v>
      </c>
      <c r="CI178" s="71">
        <f t="shared" si="237"/>
        <v>83</v>
      </c>
      <c r="CJ178" s="72">
        <f t="shared" si="238"/>
        <v>113</v>
      </c>
      <c r="CK178" s="72">
        <f t="shared" si="239"/>
        <v>118</v>
      </c>
      <c r="CL178" s="72">
        <f t="shared" si="240"/>
        <v>154</v>
      </c>
      <c r="CM178" s="72">
        <f t="shared" si="241"/>
        <v>162</v>
      </c>
      <c r="CN178" s="72">
        <f t="shared" si="242"/>
        <v>189</v>
      </c>
      <c r="CO178" s="72">
        <f t="shared" si="243"/>
        <v>202</v>
      </c>
      <c r="CP178" s="72">
        <f t="shared" si="244"/>
        <v>245</v>
      </c>
      <c r="CQ178" s="72">
        <f t="shared" si="245"/>
        <v>289</v>
      </c>
      <c r="CR178" s="72">
        <f t="shared" si="246"/>
        <v>322</v>
      </c>
      <c r="CS178" s="72">
        <f t="shared" si="247"/>
        <v>335</v>
      </c>
      <c r="CT178" s="23">
        <f t="shared" si="248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249"/>
        <v>oprx_human_4EA3</v>
      </c>
      <c r="B179" s="3" t="s">
        <v>1174</v>
      </c>
      <c r="C179" s="3" t="s">
        <v>67</v>
      </c>
      <c r="D179" s="3" t="str">
        <f>IFERROR(MID(VLOOKUP($B179,Seqs!$A:$B,2,0),E179,1),"")</f>
        <v>L</v>
      </c>
      <c r="E179" s="3">
        <v>48</v>
      </c>
      <c r="F179" s="3" t="str">
        <f>IFERROR(MID(VLOOKUP($B179,Seqs!$A:$B,2,0),G179,1),"")</f>
        <v>H</v>
      </c>
      <c r="G179" s="3">
        <v>79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84</v>
      </c>
      <c r="N179" s="3" t="str">
        <f>IFERROR(MID(VLOOKUP($B179,Seqs!$A:$B,2,0),O179,1),"")</f>
        <v>L</v>
      </c>
      <c r="O179" s="3">
        <v>113</v>
      </c>
      <c r="P179" s="3" t="str">
        <f>IFERROR(MID(VLOOKUP($B179,Seqs!$A:$B,2,0),Q179,1),"")</f>
        <v>F</v>
      </c>
      <c r="Q179" s="3">
        <v>115</v>
      </c>
      <c r="R179" s="3" t="str">
        <f>IFERROR(MID(VLOOKUP($B179,Seqs!$A:$B,2,0),S179,1),"")</f>
        <v>F</v>
      </c>
      <c r="S179" s="3">
        <v>118</v>
      </c>
      <c r="T179" s="3" t="str">
        <f>IFERROR(MID(VLOOKUP($B179,Seqs!$A:$B,2,0),U179,1),"")</f>
        <v>G</v>
      </c>
      <c r="U179" s="3">
        <v>119</v>
      </c>
      <c r="V179" s="3" t="str">
        <f>IFERROR(MID(VLOOKUP($B179,Seqs!$A:$B,2,0),W179,1),"")</f>
        <v>H</v>
      </c>
      <c r="W179" s="3">
        <v>154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T</v>
      </c>
      <c r="AC179" s="9">
        <v>163</v>
      </c>
      <c r="AD179" s="3" t="str">
        <f>IFERROR(MID(VLOOKUP($B179,Seqs!$A:$B,2,0),AE179,1),"")</f>
        <v>G</v>
      </c>
      <c r="AE179" s="3">
        <v>189</v>
      </c>
      <c r="AF179" s="3" t="str">
        <f>IFERROR(MID(VLOOKUP($B179,Seqs!$A:$B,2,0),AG179,1),"")</f>
        <v>C</v>
      </c>
      <c r="AG179" s="3">
        <v>200</v>
      </c>
      <c r="AH179" s="3" t="str">
        <f>IFERROR(MID(VLOOKUP($B179,Seqs!$A:$B,2,0),AI179,1),"")</f>
        <v>V</v>
      </c>
      <c r="AI179" s="3">
        <v>202</v>
      </c>
      <c r="AJ179" s="3" t="str">
        <f>IFERROR(MID(VLOOKUP($B179,Seqs!$A:$B,2,0),AK179,1),"")</f>
        <v>Q</v>
      </c>
      <c r="AK179" s="3">
        <v>208</v>
      </c>
      <c r="AL179" s="3" t="str">
        <f>IFERROR(MID(VLOOKUP($B179,Seqs!$A:$B,2,0),AM179,1),"")</f>
        <v>L</v>
      </c>
      <c r="AM179" s="3">
        <v>242</v>
      </c>
      <c r="AN179" s="3" t="str">
        <f>IFERROR(MID(VLOOKUP($B179,Seqs!$A:$B,2,0),AO179,1),"")</f>
        <v>S</v>
      </c>
      <c r="AO179" s="3">
        <v>251</v>
      </c>
      <c r="AP179" s="3" t="str">
        <f>IFERROR(MID(VLOOKUP($B179,Seqs!$A:$B,2,0),AQ179,1),"")</f>
        <v>G</v>
      </c>
      <c r="AQ179" s="3">
        <v>289</v>
      </c>
      <c r="AR179" s="3" t="str">
        <f>IFERROR(MID(VLOOKUP($B179,Seqs!$A:$B,2,0),AS179,1),"")</f>
        <v>S</v>
      </c>
      <c r="AS179" s="3">
        <v>294</v>
      </c>
      <c r="AT179" s="3" t="str">
        <f>IFERROR(MID(VLOOKUP($B179,Seqs!$A:$B,2,0),AU179,1),"")</f>
        <v>L</v>
      </c>
      <c r="AU179" s="3">
        <v>322</v>
      </c>
      <c r="AV179" s="3" t="str">
        <f>IFERROR(MID(VLOOKUP($B179,Seqs!$A:$B,2,0),AW179,1),"")</f>
        <v>D</v>
      </c>
      <c r="AW179" s="3">
        <v>323</v>
      </c>
      <c r="AX179" s="3" t="str">
        <f>IFERROR(MID(VLOOKUP($B179,Seqs!$A:$B,2,0),AY179,1),"")</f>
        <v>R</v>
      </c>
      <c r="AY179" s="3">
        <v>331</v>
      </c>
      <c r="AZ179" s="77" t="str">
        <f>VLOOKUP(B179,Classification!A:D,2,0)</f>
        <v>A</v>
      </c>
      <c r="BA179" s="94" t="str">
        <f>VLOOKUP(B179,Classification!A:D,4,0)</f>
        <v>Opioid</v>
      </c>
      <c r="BB179" s="27" t="b">
        <f t="shared" si="250"/>
        <v>1</v>
      </c>
      <c r="BC179" s="23">
        <f t="shared" si="223"/>
        <v>246</v>
      </c>
      <c r="BD179" s="5" t="s">
        <v>23</v>
      </c>
      <c r="BE179" s="3" t="s">
        <v>1381</v>
      </c>
      <c r="BF179" s="119">
        <v>3.01</v>
      </c>
      <c r="BG179" s="49" t="s">
        <v>1384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224"/>
        <v>48</v>
      </c>
      <c r="BW179" s="71" t="str">
        <f t="shared" si="225"/>
        <v>-</v>
      </c>
      <c r="BX179" s="72">
        <f t="shared" si="226"/>
        <v>84</v>
      </c>
      <c r="BY179" s="71">
        <f t="shared" si="227"/>
        <v>115</v>
      </c>
      <c r="BZ179" s="72">
        <f t="shared" si="228"/>
        <v>119</v>
      </c>
      <c r="CA179" s="71" t="str">
        <f t="shared" si="229"/>
        <v>-</v>
      </c>
      <c r="CB179" s="72">
        <f t="shared" si="230"/>
        <v>163</v>
      </c>
      <c r="CC179" s="71">
        <f t="shared" si="231"/>
        <v>200</v>
      </c>
      <c r="CD179" s="72">
        <f t="shared" si="232"/>
        <v>208</v>
      </c>
      <c r="CE179" s="71">
        <f t="shared" si="233"/>
        <v>251</v>
      </c>
      <c r="CF179" s="72">
        <f t="shared" si="234"/>
        <v>294</v>
      </c>
      <c r="CG179" s="71">
        <f t="shared" si="235"/>
        <v>323</v>
      </c>
      <c r="CH179" s="70">
        <f t="shared" si="236"/>
        <v>79</v>
      </c>
      <c r="CI179" s="71" t="str">
        <f t="shared" si="237"/>
        <v>-</v>
      </c>
      <c r="CJ179" s="72">
        <f t="shared" si="238"/>
        <v>113</v>
      </c>
      <c r="CK179" s="72">
        <f t="shared" si="239"/>
        <v>118</v>
      </c>
      <c r="CL179" s="72">
        <f t="shared" si="240"/>
        <v>154</v>
      </c>
      <c r="CM179" s="72" t="str">
        <f t="shared" si="241"/>
        <v>-</v>
      </c>
      <c r="CN179" s="72">
        <f t="shared" si="242"/>
        <v>189</v>
      </c>
      <c r="CO179" s="72">
        <f t="shared" si="243"/>
        <v>202</v>
      </c>
      <c r="CP179" s="72">
        <f t="shared" si="244"/>
        <v>242</v>
      </c>
      <c r="CQ179" s="72">
        <f t="shared" si="245"/>
        <v>289</v>
      </c>
      <c r="CR179" s="72">
        <f t="shared" si="246"/>
        <v>322</v>
      </c>
      <c r="CS179" s="72">
        <f t="shared" si="247"/>
        <v>331</v>
      </c>
      <c r="CT179" s="23" t="e">
        <f t="shared" si="248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249"/>
        <v>oprx_human_5DHG</v>
      </c>
      <c r="B180" s="3" t="s">
        <v>1174</v>
      </c>
      <c r="C180" s="3" t="s">
        <v>1361</v>
      </c>
      <c r="D180" s="3" t="str">
        <f>IFERROR(MID(VLOOKUP($B180,Seqs!$A:$B,2,0),E180,1),"")</f>
        <v>L</v>
      </c>
      <c r="E180" s="3">
        <v>48</v>
      </c>
      <c r="F180" s="3" t="str">
        <f>IFERROR(MID(VLOOKUP($B180,Seqs!$A:$B,2,0),G180,1),"")</f>
        <v>H</v>
      </c>
      <c r="G180" s="3">
        <v>79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84</v>
      </c>
      <c r="N180" s="3" t="str">
        <f>IFERROR(MID(VLOOKUP($B180,Seqs!$A:$B,2,0),O180,1),"")</f>
        <v>L</v>
      </c>
      <c r="O180" s="3">
        <v>113</v>
      </c>
      <c r="P180" s="3" t="str">
        <f>IFERROR(MID(VLOOKUP($B180,Seqs!$A:$B,2,0),Q180,1),"")</f>
        <v>F</v>
      </c>
      <c r="Q180" s="3">
        <v>115</v>
      </c>
      <c r="R180" s="3" t="str">
        <f>IFERROR(MID(VLOOKUP($B180,Seqs!$A:$B,2,0),S180,1),"")</f>
        <v>F</v>
      </c>
      <c r="S180" s="3">
        <v>118</v>
      </c>
      <c r="T180" s="3" t="str">
        <f>IFERROR(MID(VLOOKUP($B180,Seqs!$A:$B,2,0),U180,1),"")</f>
        <v>G</v>
      </c>
      <c r="U180" s="3">
        <v>119</v>
      </c>
      <c r="V180" s="3" t="str">
        <f>IFERROR(MID(VLOOKUP($B180,Seqs!$A:$B,2,0),W180,1),"")</f>
        <v>H</v>
      </c>
      <c r="W180" s="3">
        <v>154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T</v>
      </c>
      <c r="AC180" s="9">
        <v>163</v>
      </c>
      <c r="AD180" s="3" t="str">
        <f>IFERROR(MID(VLOOKUP($B180,Seqs!$A:$B,2,0),AE180,1),"")</f>
        <v>G</v>
      </c>
      <c r="AE180" s="3">
        <v>189</v>
      </c>
      <c r="AF180" s="3" t="str">
        <f>IFERROR(MID(VLOOKUP($B180,Seqs!$A:$B,2,0),AG180,1),"")</f>
        <v>C</v>
      </c>
      <c r="AG180" s="3">
        <v>200</v>
      </c>
      <c r="AH180" s="3" t="str">
        <f>IFERROR(MID(VLOOKUP($B180,Seqs!$A:$B,2,0),AI180,1),"")</f>
        <v>V</v>
      </c>
      <c r="AI180" s="3">
        <v>202</v>
      </c>
      <c r="AJ180" s="3" t="str">
        <f>IFERROR(MID(VLOOKUP($B180,Seqs!$A:$B,2,0),AK180,1),"")</f>
        <v>Q</v>
      </c>
      <c r="AK180" s="3">
        <v>208</v>
      </c>
      <c r="AL180" s="3" t="str">
        <f>IFERROR(MID(VLOOKUP($B180,Seqs!$A:$B,2,0),AM180,1),"")</f>
        <v>L</v>
      </c>
      <c r="AM180" s="3">
        <v>242</v>
      </c>
      <c r="AN180" s="3" t="str">
        <f>IFERROR(MID(VLOOKUP($B180,Seqs!$A:$B,2,0),AO180,1),"")</f>
        <v>S</v>
      </c>
      <c r="AO180" s="3">
        <v>251</v>
      </c>
      <c r="AP180" s="3" t="str">
        <f>IFERROR(MID(VLOOKUP($B180,Seqs!$A:$B,2,0),AQ180,1),"")</f>
        <v>G</v>
      </c>
      <c r="AQ180" s="3">
        <v>289</v>
      </c>
      <c r="AR180" s="3" t="str">
        <f>IFERROR(MID(VLOOKUP($B180,Seqs!$A:$B,2,0),AS180,1),"")</f>
        <v>S</v>
      </c>
      <c r="AS180" s="3">
        <v>294</v>
      </c>
      <c r="AT180" s="3" t="str">
        <f>IFERROR(MID(VLOOKUP($B180,Seqs!$A:$B,2,0),AU180,1),"")</f>
        <v>L</v>
      </c>
      <c r="AU180" s="3">
        <v>322</v>
      </c>
      <c r="AV180" s="3" t="str">
        <f>IFERROR(MID(VLOOKUP($B180,Seqs!$A:$B,2,0),AW180,1),"")</f>
        <v>D</v>
      </c>
      <c r="AW180" s="3">
        <v>323</v>
      </c>
      <c r="AX180" s="3" t="str">
        <f>IFERROR(MID(VLOOKUP($B180,Seqs!$A:$B,2,0),AY180,1),"")</f>
        <v>F</v>
      </c>
      <c r="AY180" s="3">
        <v>333</v>
      </c>
      <c r="AZ180" s="77" t="str">
        <f>VLOOKUP(B180,Classification!A:D,2,0)</f>
        <v>A</v>
      </c>
      <c r="BA180" s="94" t="str">
        <f>VLOOKUP(B180,Classification!A:D,4,0)</f>
        <v>Opioid</v>
      </c>
      <c r="BB180" s="27" t="b">
        <f t="shared" si="250"/>
        <v>1</v>
      </c>
      <c r="BC180" s="23">
        <f t="shared" si="223"/>
        <v>248</v>
      </c>
      <c r="BD180" s="16" t="s">
        <v>1383</v>
      </c>
      <c r="BE180" s="3" t="s">
        <v>1381</v>
      </c>
      <c r="BF180" s="119">
        <v>3</v>
      </c>
      <c r="BG180" s="49" t="s">
        <v>1287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224"/>
        <v>48</v>
      </c>
      <c r="BW180" s="71" t="str">
        <f t="shared" si="225"/>
        <v>-</v>
      </c>
      <c r="BX180" s="72">
        <f t="shared" si="226"/>
        <v>84</v>
      </c>
      <c r="BY180" s="71">
        <f t="shared" si="227"/>
        <v>115</v>
      </c>
      <c r="BZ180" s="72">
        <f t="shared" si="228"/>
        <v>119</v>
      </c>
      <c r="CA180" s="71" t="str">
        <f t="shared" si="229"/>
        <v>-</v>
      </c>
      <c r="CB180" s="72">
        <f t="shared" si="230"/>
        <v>163</v>
      </c>
      <c r="CC180" s="71">
        <f t="shared" si="231"/>
        <v>200</v>
      </c>
      <c r="CD180" s="72">
        <f t="shared" si="232"/>
        <v>208</v>
      </c>
      <c r="CE180" s="71">
        <f t="shared" si="233"/>
        <v>251</v>
      </c>
      <c r="CF180" s="72">
        <f t="shared" si="234"/>
        <v>294</v>
      </c>
      <c r="CG180" s="71">
        <f t="shared" si="235"/>
        <v>323</v>
      </c>
      <c r="CH180" s="70">
        <f t="shared" si="236"/>
        <v>79</v>
      </c>
      <c r="CI180" s="71" t="str">
        <f t="shared" si="237"/>
        <v>-</v>
      </c>
      <c r="CJ180" s="72">
        <f t="shared" si="238"/>
        <v>113</v>
      </c>
      <c r="CK180" s="72">
        <f t="shared" si="239"/>
        <v>118</v>
      </c>
      <c r="CL180" s="72">
        <f t="shared" si="240"/>
        <v>154</v>
      </c>
      <c r="CM180" s="72" t="str">
        <f t="shared" si="241"/>
        <v>-</v>
      </c>
      <c r="CN180" s="72">
        <f t="shared" si="242"/>
        <v>189</v>
      </c>
      <c r="CO180" s="72">
        <f t="shared" si="243"/>
        <v>202</v>
      </c>
      <c r="CP180" s="72">
        <f t="shared" si="244"/>
        <v>242</v>
      </c>
      <c r="CQ180" s="72">
        <f t="shared" si="245"/>
        <v>289</v>
      </c>
      <c r="CR180" s="72">
        <f t="shared" si="246"/>
        <v>322</v>
      </c>
      <c r="CS180" s="72">
        <f t="shared" si="247"/>
        <v>333</v>
      </c>
      <c r="CT180" s="23" t="e">
        <f t="shared" si="248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249"/>
        <v>oprx_human_5DHH</v>
      </c>
      <c r="B181" s="3" t="s">
        <v>1174</v>
      </c>
      <c r="C181" s="3" t="s">
        <v>1362</v>
      </c>
      <c r="D181" s="3" t="str">
        <f>IFERROR(MID(VLOOKUP($B181,Seqs!$A:$B,2,0),E181,1),"")</f>
        <v>L</v>
      </c>
      <c r="E181" s="3">
        <v>48</v>
      </c>
      <c r="F181" s="3" t="str">
        <f>IFERROR(MID(VLOOKUP($B181,Seqs!$A:$B,2,0),G181,1),"")</f>
        <v>H</v>
      </c>
      <c r="G181" s="3">
        <v>79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84</v>
      </c>
      <c r="N181" s="3" t="str">
        <f>IFERROR(MID(VLOOKUP($B181,Seqs!$A:$B,2,0),O181,1),"")</f>
        <v>L</v>
      </c>
      <c r="O181" s="3">
        <v>113</v>
      </c>
      <c r="P181" s="3" t="str">
        <f>IFERROR(MID(VLOOKUP($B181,Seqs!$A:$B,2,0),Q181,1),"")</f>
        <v>F</v>
      </c>
      <c r="Q181" s="3">
        <v>115</v>
      </c>
      <c r="R181" s="3" t="str">
        <f>IFERROR(MID(VLOOKUP($B181,Seqs!$A:$B,2,0),S181,1),"")</f>
        <v>F</v>
      </c>
      <c r="S181" s="3">
        <v>118</v>
      </c>
      <c r="T181" s="3" t="str">
        <f>IFERROR(MID(VLOOKUP($B181,Seqs!$A:$B,2,0),U181,1),"")</f>
        <v>G</v>
      </c>
      <c r="U181" s="3">
        <v>119</v>
      </c>
      <c r="V181" s="3" t="str">
        <f>IFERROR(MID(VLOOKUP($B181,Seqs!$A:$B,2,0),W181,1),"")</f>
        <v>H</v>
      </c>
      <c r="W181" s="3">
        <v>154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T</v>
      </c>
      <c r="AC181" s="9">
        <v>163</v>
      </c>
      <c r="AD181" s="3" t="str">
        <f>IFERROR(MID(VLOOKUP($B181,Seqs!$A:$B,2,0),AE181,1),"")</f>
        <v>G</v>
      </c>
      <c r="AE181" s="3">
        <v>189</v>
      </c>
      <c r="AF181" s="3" t="str">
        <f>IFERROR(MID(VLOOKUP($B181,Seqs!$A:$B,2,0),AG181,1),"")</f>
        <v>C</v>
      </c>
      <c r="AG181" s="3">
        <v>200</v>
      </c>
      <c r="AH181" s="3" t="str">
        <f>IFERROR(MID(VLOOKUP($B181,Seqs!$A:$B,2,0),AI181,1),"")</f>
        <v>V</v>
      </c>
      <c r="AI181" s="3">
        <v>202</v>
      </c>
      <c r="AJ181" s="3" t="str">
        <f>IFERROR(MID(VLOOKUP($B181,Seqs!$A:$B,2,0),AK181,1),"")</f>
        <v>Q</v>
      </c>
      <c r="AK181" s="3">
        <v>208</v>
      </c>
      <c r="AL181" s="3" t="str">
        <f>IFERROR(MID(VLOOKUP($B181,Seqs!$A:$B,2,0),AM181,1),"")</f>
        <v>L</v>
      </c>
      <c r="AM181" s="3">
        <v>242</v>
      </c>
      <c r="AN181" s="3" t="str">
        <f>IFERROR(MID(VLOOKUP($B181,Seqs!$A:$B,2,0),AO181,1),"")</f>
        <v>S</v>
      </c>
      <c r="AO181" s="3">
        <v>251</v>
      </c>
      <c r="AP181" s="3" t="str">
        <f>IFERROR(MID(VLOOKUP($B181,Seqs!$A:$B,2,0),AQ181,1),"")</f>
        <v>G</v>
      </c>
      <c r="AQ181" s="3">
        <v>289</v>
      </c>
      <c r="AR181" s="3" t="str">
        <f>IFERROR(MID(VLOOKUP($B181,Seqs!$A:$B,2,0),AS181,1),"")</f>
        <v>S</v>
      </c>
      <c r="AS181" s="3">
        <v>294</v>
      </c>
      <c r="AT181" s="3" t="str">
        <f>IFERROR(MID(VLOOKUP($B181,Seqs!$A:$B,2,0),AU181,1),"")</f>
        <v>L</v>
      </c>
      <c r="AU181" s="3">
        <v>322</v>
      </c>
      <c r="AV181" s="3" t="str">
        <f>IFERROR(MID(VLOOKUP($B181,Seqs!$A:$B,2,0),AW181,1),"")</f>
        <v>D</v>
      </c>
      <c r="AW181" s="3">
        <v>323</v>
      </c>
      <c r="AX181" s="3" t="str">
        <f>IFERROR(MID(VLOOKUP($B181,Seqs!$A:$B,2,0),AY181,1),"")</f>
        <v>R</v>
      </c>
      <c r="AY181" s="3">
        <v>331</v>
      </c>
      <c r="AZ181" s="77" t="str">
        <f>VLOOKUP(B181,Classification!A:D,2,0)</f>
        <v>A</v>
      </c>
      <c r="BA181" s="94" t="str">
        <f>VLOOKUP(B181,Classification!A:D,4,0)</f>
        <v>Opioid</v>
      </c>
      <c r="BB181" s="27" t="b">
        <f t="shared" si="250"/>
        <v>1</v>
      </c>
      <c r="BC181" s="23">
        <f t="shared" si="223"/>
        <v>246</v>
      </c>
      <c r="BD181" s="5" t="s">
        <v>23</v>
      </c>
      <c r="BE181" s="3" t="s">
        <v>1381</v>
      </c>
      <c r="BF181" s="119">
        <v>3</v>
      </c>
      <c r="BG181" s="49" t="s">
        <v>1</v>
      </c>
      <c r="BH181" s="49" t="s">
        <v>1384</v>
      </c>
      <c r="BI181" s="1" t="s">
        <v>1366</v>
      </c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224"/>
        <v>48</v>
      </c>
      <c r="BW181" s="71" t="str">
        <f t="shared" si="225"/>
        <v>-</v>
      </c>
      <c r="BX181" s="72">
        <f t="shared" si="226"/>
        <v>84</v>
      </c>
      <c r="BY181" s="71">
        <f t="shared" si="227"/>
        <v>115</v>
      </c>
      <c r="BZ181" s="72">
        <f t="shared" si="228"/>
        <v>119</v>
      </c>
      <c r="CA181" s="71" t="str">
        <f t="shared" si="229"/>
        <v>-</v>
      </c>
      <c r="CB181" s="72">
        <f t="shared" si="230"/>
        <v>163</v>
      </c>
      <c r="CC181" s="71">
        <f t="shared" si="231"/>
        <v>200</v>
      </c>
      <c r="CD181" s="72">
        <f t="shared" si="232"/>
        <v>208</v>
      </c>
      <c r="CE181" s="71">
        <f t="shared" si="233"/>
        <v>251</v>
      </c>
      <c r="CF181" s="72">
        <f t="shared" si="234"/>
        <v>294</v>
      </c>
      <c r="CG181" s="71">
        <f t="shared" si="235"/>
        <v>323</v>
      </c>
      <c r="CH181" s="70">
        <f t="shared" si="236"/>
        <v>79</v>
      </c>
      <c r="CI181" s="71" t="str">
        <f t="shared" si="237"/>
        <v>-</v>
      </c>
      <c r="CJ181" s="72">
        <f t="shared" si="238"/>
        <v>113</v>
      </c>
      <c r="CK181" s="72">
        <f t="shared" si="239"/>
        <v>118</v>
      </c>
      <c r="CL181" s="72">
        <f t="shared" si="240"/>
        <v>154</v>
      </c>
      <c r="CM181" s="72" t="str">
        <f t="shared" si="241"/>
        <v>-</v>
      </c>
      <c r="CN181" s="72">
        <f t="shared" si="242"/>
        <v>189</v>
      </c>
      <c r="CO181" s="72">
        <f t="shared" si="243"/>
        <v>202</v>
      </c>
      <c r="CP181" s="72">
        <f t="shared" si="244"/>
        <v>242</v>
      </c>
      <c r="CQ181" s="72">
        <f t="shared" si="245"/>
        <v>289</v>
      </c>
      <c r="CR181" s="72">
        <f t="shared" si="246"/>
        <v>322</v>
      </c>
      <c r="CS181" s="72">
        <f t="shared" si="247"/>
        <v>331</v>
      </c>
      <c r="CT181" s="23" t="e">
        <f t="shared" si="248"/>
        <v>#VALUE!</v>
      </c>
    </row>
    <row r="182" spans="1:1030" x14ac:dyDescent="0.2">
      <c r="A182" s="3" t="str">
        <f t="shared" si="249"/>
        <v>opsd_bovin__wt</v>
      </c>
      <c r="B182" s="3" t="s">
        <v>920</v>
      </c>
      <c r="C182" s="3" t="s">
        <v>100</v>
      </c>
      <c r="D182" s="3" t="str">
        <f>IFERROR(MID(VLOOKUP($B182,Seqs!$A:$B,2,0),E182,1),"")</f>
        <v>E</v>
      </c>
      <c r="E182" s="105">
        <v>33</v>
      </c>
      <c r="F182" s="3" t="str">
        <f>IFERROR(MID(VLOOKUP($B182,Seqs!$A:$B,2,0),G182,1),"")</f>
        <v>H</v>
      </c>
      <c r="G182" s="3">
        <v>65</v>
      </c>
      <c r="H182" s="3" t="str">
        <f>IFERROR(MID(VLOOKUP($B182,Seqs!$A:$B,2,0),I182,1),"")</f>
        <v>K</v>
      </c>
      <c r="I182" s="23">
        <v>66</v>
      </c>
      <c r="J182" s="3" t="str">
        <f>IFERROR(MID(VLOOKUP($B182,Seqs!$A:$B,2,0),K182,1),"")</f>
        <v>R</v>
      </c>
      <c r="K182" s="23">
        <v>69</v>
      </c>
      <c r="L182" s="3" t="str">
        <f>IFERROR(MID(VLOOKUP($B182,Seqs!$A:$B,2,0),M182,1),"")</f>
        <v>T</v>
      </c>
      <c r="M182" s="3">
        <v>70</v>
      </c>
      <c r="N182" s="3" t="str">
        <f>IFERROR(MID(VLOOKUP($B182,Seqs!$A:$B,2,0),O182,1),"")</f>
        <v>H</v>
      </c>
      <c r="O182" s="3">
        <v>100</v>
      </c>
      <c r="P182" s="3" t="str">
        <f>IFERROR(MID(VLOOKUP($B182,Seqs!$A:$B,2,0),Q182,1),"")</f>
        <v>Y</v>
      </c>
      <c r="Q182" s="3">
        <v>102</v>
      </c>
      <c r="R182" s="3" t="str">
        <f>IFERROR(MID(VLOOKUP($B182,Seqs!$A:$B,2,0),S182,1),"")</f>
        <v>F</v>
      </c>
      <c r="S182" s="3">
        <v>105</v>
      </c>
      <c r="T182" s="3" t="str">
        <f>IFERROR(MID(VLOOKUP($B182,Seqs!$A:$B,2,0),U182,1),"")</f>
        <v>G</v>
      </c>
      <c r="U182" s="3">
        <v>106</v>
      </c>
      <c r="V182" s="3" t="str">
        <f>IFERROR(MID(VLOOKUP($B182,Seqs!$A:$B,2,0),W182,1),"")</f>
        <v>K</v>
      </c>
      <c r="W182" s="3">
        <v>141</v>
      </c>
      <c r="X182" s="3" t="str">
        <f>IFERROR(MID(VLOOKUP($B182,Seqs!$A:$B,2,0),Y182,1),"")</f>
        <v>P</v>
      </c>
      <c r="Y182" s="3">
        <v>142</v>
      </c>
      <c r="Z182" s="3" t="str">
        <f>IFERROR(MID(VLOOKUP($B182,Seqs!$A:$B,2,0),AA182,1),"")</f>
        <v>F</v>
      </c>
      <c r="AA182" s="105">
        <v>148</v>
      </c>
      <c r="AB182" s="3" t="str">
        <f>IFERROR(MID(VLOOKUP($B182,Seqs!$A:$B,2,0),AC182,1),"")</f>
        <v>G</v>
      </c>
      <c r="AC182" s="105">
        <v>149</v>
      </c>
      <c r="AD182" s="3" t="str">
        <f>IFERROR(MID(VLOOKUP($B182,Seqs!$A:$B,2,0),AE182,1),"")</f>
        <v>V</v>
      </c>
      <c r="AE182" s="3">
        <v>173</v>
      </c>
      <c r="AF182" s="3" t="str">
        <f>IFERROR(MID(VLOOKUP($B182,Seqs!$A:$B,2,0),AG182,1),"")</f>
        <v>C</v>
      </c>
      <c r="AG182" s="3">
        <v>187</v>
      </c>
      <c r="AH182" s="3" t="str">
        <f>IFERROR(MID(VLOOKUP($B182,Seqs!$A:$B,2,0),AI182,1),"")</f>
        <v>I</v>
      </c>
      <c r="AI182" s="3">
        <v>189</v>
      </c>
      <c r="AJ182" s="3" t="str">
        <f>IFERROR(MID(VLOOKUP($B182,Seqs!$A:$B,2,0),AK182,1),"")</f>
        <v>N</v>
      </c>
      <c r="AK182" s="3">
        <v>199</v>
      </c>
      <c r="AL182" s="3" t="str">
        <f>IFERROR(MID(VLOOKUP($B182,Seqs!$A:$B,2,0),AM182,1),"")</f>
        <v>Q</v>
      </c>
      <c r="AM182" s="3">
        <v>237</v>
      </c>
      <c r="AN182" s="3" t="str">
        <f>IFERROR(MID(VLOOKUP($B182,Seqs!$A:$B,2,0),AO182,1),"")</f>
        <v>A</v>
      </c>
      <c r="AO182" s="3">
        <v>241</v>
      </c>
      <c r="AP182" s="3" t="str">
        <f>IFERROR(MID(VLOOKUP($B182,Seqs!$A:$B,2,0),AQ182,1),"")</f>
        <v>H</v>
      </c>
      <c r="AQ182" s="3">
        <v>278</v>
      </c>
      <c r="AR182" s="3" t="str">
        <f>IFERROR(MID(VLOOKUP($B182,Seqs!$A:$B,2,0),AS182,1),"")</f>
        <v>G</v>
      </c>
      <c r="AS182" s="3">
        <v>284</v>
      </c>
      <c r="AT182" s="3" t="str">
        <f>IFERROR(MID(VLOOKUP($B182,Seqs!$A:$B,2,0),AU182,1),"")</f>
        <v>M</v>
      </c>
      <c r="AU182" s="3">
        <v>309</v>
      </c>
      <c r="AV182" s="3" t="str">
        <f>IFERROR(MID(VLOOKUP($B182,Seqs!$A:$B,2,0),AW182,1),"")</f>
        <v>N</v>
      </c>
      <c r="AW182" s="3">
        <v>310</v>
      </c>
      <c r="AX182" s="3" t="str">
        <f>IFERROR(MID(VLOOKUP($B182,Seqs!$A:$B,2,0),AY182,1),"")</f>
        <v>C</v>
      </c>
      <c r="AY182" s="3">
        <v>322</v>
      </c>
      <c r="AZ182" s="77" t="str">
        <f>VLOOKUP(B182,Classification!A:D,2,0)</f>
        <v>A</v>
      </c>
      <c r="BA182" s="94" t="str">
        <f>VLOOKUP(B182,Classification!A:D,4,0)</f>
        <v>Opsins</v>
      </c>
      <c r="BB182" s="27" t="b">
        <f t="shared" si="250"/>
        <v>1</v>
      </c>
      <c r="BC182" s="23">
        <f t="shared" si="223"/>
        <v>259</v>
      </c>
      <c r="BD182" s="34" t="s">
        <v>1379</v>
      </c>
      <c r="BE182" s="3" t="s">
        <v>23</v>
      </c>
      <c r="BF182" s="119" t="s">
        <v>23</v>
      </c>
      <c r="BG182" s="49" t="s">
        <v>1379</v>
      </c>
      <c r="BH182" s="49" t="s">
        <v>1384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 t="shared" si="224"/>
        <v>33</v>
      </c>
      <c r="BW182" s="71">
        <f t="shared" si="225"/>
        <v>66</v>
      </c>
      <c r="BX182" s="72">
        <f t="shared" si="226"/>
        <v>70</v>
      </c>
      <c r="BY182" s="71">
        <f t="shared" si="227"/>
        <v>102</v>
      </c>
      <c r="BZ182" s="72">
        <f t="shared" si="228"/>
        <v>106</v>
      </c>
      <c r="CA182" s="71">
        <f t="shared" si="229"/>
        <v>142</v>
      </c>
      <c r="CB182" s="72">
        <f t="shared" si="230"/>
        <v>149</v>
      </c>
      <c r="CC182" s="71">
        <f t="shared" si="231"/>
        <v>187</v>
      </c>
      <c r="CD182" s="72">
        <f t="shared" si="232"/>
        <v>199</v>
      </c>
      <c r="CE182" s="71">
        <f t="shared" si="233"/>
        <v>241</v>
      </c>
      <c r="CF182" s="72">
        <f t="shared" si="234"/>
        <v>284</v>
      </c>
      <c r="CG182" s="71">
        <f t="shared" si="235"/>
        <v>310</v>
      </c>
      <c r="CH182" s="70">
        <f t="shared" si="236"/>
        <v>65</v>
      </c>
      <c r="CI182" s="71">
        <f t="shared" si="237"/>
        <v>69</v>
      </c>
      <c r="CJ182" s="72">
        <f t="shared" si="238"/>
        <v>100</v>
      </c>
      <c r="CK182" s="72">
        <f t="shared" si="239"/>
        <v>105</v>
      </c>
      <c r="CL182" s="72">
        <f t="shared" si="240"/>
        <v>141</v>
      </c>
      <c r="CM182" s="72">
        <f t="shared" si="241"/>
        <v>148</v>
      </c>
      <c r="CN182" s="72">
        <f t="shared" si="242"/>
        <v>173</v>
      </c>
      <c r="CO182" s="72">
        <f t="shared" si="243"/>
        <v>189</v>
      </c>
      <c r="CP182" s="72">
        <f t="shared" si="244"/>
        <v>237</v>
      </c>
      <c r="CQ182" s="72">
        <f t="shared" si="245"/>
        <v>278</v>
      </c>
      <c r="CR182" s="72">
        <f t="shared" si="246"/>
        <v>309</v>
      </c>
      <c r="CS182" s="72">
        <f t="shared" si="247"/>
        <v>322</v>
      </c>
      <c r="CT182" s="23">
        <f t="shared" si="248"/>
        <v>1</v>
      </c>
    </row>
    <row r="183" spans="1:1030" x14ac:dyDescent="0.2">
      <c r="A183" s="3" t="str">
        <f t="shared" si="249"/>
        <v>opsd_bovin_1GZM</v>
      </c>
      <c r="B183" s="3" t="s">
        <v>920</v>
      </c>
      <c r="C183" s="3" t="s">
        <v>1343</v>
      </c>
      <c r="D183" s="3" t="str">
        <f>IFERROR(MID(VLOOKUP($B183,Seqs!$A:$B,2,0),E183,1),"")</f>
        <v>E</v>
      </c>
      <c r="E183" s="105">
        <v>33</v>
      </c>
      <c r="F183" s="3" t="str">
        <f>IFERROR(MID(VLOOKUP($B183,Seqs!$A:$B,2,0),G183,1),"")</f>
        <v>H</v>
      </c>
      <c r="G183" s="3">
        <v>65</v>
      </c>
      <c r="H183" s="3" t="str">
        <f>IFERROR(MID(VLOOKUP($B183,Seqs!$A:$B,2,0),I183,1),"")</f>
        <v>K</v>
      </c>
      <c r="I183" s="23">
        <v>66</v>
      </c>
      <c r="J183" s="3" t="str">
        <f>IFERROR(MID(VLOOKUP($B183,Seqs!$A:$B,2,0),K183,1),"")</f>
        <v>R</v>
      </c>
      <c r="K183" s="23">
        <v>69</v>
      </c>
      <c r="L183" s="3" t="str">
        <f>IFERROR(MID(VLOOKUP($B183,Seqs!$A:$B,2,0),M183,1),"")</f>
        <v>T</v>
      </c>
      <c r="M183" s="3">
        <v>70</v>
      </c>
      <c r="N183" s="3" t="str">
        <f>IFERROR(MID(VLOOKUP($B183,Seqs!$A:$B,2,0),O183,1),"")</f>
        <v>H</v>
      </c>
      <c r="O183" s="3">
        <v>100</v>
      </c>
      <c r="P183" s="3" t="str">
        <f>IFERROR(MID(VLOOKUP($B183,Seqs!$A:$B,2,0),Q183,1),"")</f>
        <v>Y</v>
      </c>
      <c r="Q183" s="3">
        <v>102</v>
      </c>
      <c r="R183" s="3" t="str">
        <f>IFERROR(MID(VLOOKUP($B183,Seqs!$A:$B,2,0),S183,1),"")</f>
        <v>F</v>
      </c>
      <c r="S183" s="3">
        <v>105</v>
      </c>
      <c r="T183" s="3" t="str">
        <f>IFERROR(MID(VLOOKUP($B183,Seqs!$A:$B,2,0),U183,1),"")</f>
        <v>G</v>
      </c>
      <c r="U183" s="3">
        <v>106</v>
      </c>
      <c r="V183" s="3" t="str">
        <f>IFERROR(MID(VLOOKUP($B183,Seqs!$A:$B,2,0),W183,1),"")</f>
        <v>K</v>
      </c>
      <c r="W183" s="3">
        <v>141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G</v>
      </c>
      <c r="AC183" s="9">
        <v>149</v>
      </c>
      <c r="AD183" s="3" t="str">
        <f>IFERROR(MID(VLOOKUP($B183,Seqs!$A:$B,2,0),AE183,1),"")</f>
        <v>V</v>
      </c>
      <c r="AE183" s="3">
        <v>173</v>
      </c>
      <c r="AF183" s="3" t="str">
        <f>IFERROR(MID(VLOOKUP($B183,Seqs!$A:$B,2,0),AG183,1),"")</f>
        <v>C</v>
      </c>
      <c r="AG183" s="3">
        <v>187</v>
      </c>
      <c r="AH183" s="3" t="str">
        <f>IFERROR(MID(VLOOKUP($B183,Seqs!$A:$B,2,0),AI183,1),"")</f>
        <v>I</v>
      </c>
      <c r="AI183" s="3">
        <v>189</v>
      </c>
      <c r="AJ183" s="3" t="str">
        <f>IFERROR(MID(VLOOKUP($B183,Seqs!$A:$B,2,0),AK183,1),"")</f>
        <v>N</v>
      </c>
      <c r="AK183" s="3">
        <v>199</v>
      </c>
      <c r="AL183" s="3" t="str">
        <f>IFERROR(MID(VLOOKUP($B183,Seqs!$A:$B,2,0),AM183,1),"")</f>
        <v>A</v>
      </c>
      <c r="AM183" s="3">
        <v>233</v>
      </c>
      <c r="AN183" s="3" t="str">
        <f>IFERROR(MID(VLOOKUP($B183,Seqs!$A:$B,2,0),AO183,1),"")</f>
        <v>A</v>
      </c>
      <c r="AO183" s="3">
        <v>241</v>
      </c>
      <c r="AP183" s="3" t="str">
        <f>IFERROR(MID(VLOOKUP($B183,Seqs!$A:$B,2,0),AQ183,1),"")</f>
        <v>H</v>
      </c>
      <c r="AQ183" s="3">
        <v>278</v>
      </c>
      <c r="AR183" s="3" t="str">
        <f>IFERROR(MID(VLOOKUP($B183,Seqs!$A:$B,2,0),AS183,1),"")</f>
        <v>G</v>
      </c>
      <c r="AS183" s="3">
        <v>284</v>
      </c>
      <c r="AT183" s="3" t="str">
        <f>IFERROR(MID(VLOOKUP($B183,Seqs!$A:$B,2,0),AU183,1),"")</f>
        <v>M</v>
      </c>
      <c r="AU183" s="3">
        <v>309</v>
      </c>
      <c r="AV183" s="3" t="str">
        <f>IFERROR(MID(VLOOKUP($B183,Seqs!$A:$B,2,0),AW183,1),"")</f>
        <v>N</v>
      </c>
      <c r="AW183" s="3">
        <v>310</v>
      </c>
      <c r="AX183" s="3" t="str">
        <f>IFERROR(MID(VLOOKUP($B183,Seqs!$A:$B,2,0),AY183,1),"")</f>
        <v>C</v>
      </c>
      <c r="AY183" s="3">
        <v>322</v>
      </c>
      <c r="AZ183" s="77" t="str">
        <f>VLOOKUP(B183,Classification!A:D,2,0)</f>
        <v>A</v>
      </c>
      <c r="BA183" s="94" t="str">
        <f>VLOOKUP(B183,Classification!A:D,4,0)</f>
        <v>Opsins</v>
      </c>
      <c r="BB183" s="27" t="b">
        <f t="shared" si="250"/>
        <v>1</v>
      </c>
      <c r="BC183" s="23">
        <f t="shared" si="223"/>
        <v>249</v>
      </c>
      <c r="BD183" s="56" t="s">
        <v>1383</v>
      </c>
      <c r="BE183" s="3" t="s">
        <v>1381</v>
      </c>
      <c r="BF183" s="119">
        <v>2.65</v>
      </c>
      <c r="BG183" s="49" t="s">
        <v>1384</v>
      </c>
      <c r="BH183" s="49" t="s">
        <v>1384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 t="shared" si="224"/>
        <v>33</v>
      </c>
      <c r="BW183" s="71">
        <f t="shared" si="225"/>
        <v>66</v>
      </c>
      <c r="BX183" s="72">
        <f t="shared" si="226"/>
        <v>70</v>
      </c>
      <c r="BY183" s="71">
        <f t="shared" si="227"/>
        <v>102</v>
      </c>
      <c r="BZ183" s="72">
        <f t="shared" si="228"/>
        <v>106</v>
      </c>
      <c r="CA183" s="71" t="str">
        <f t="shared" si="229"/>
        <v>-</v>
      </c>
      <c r="CB183" s="72">
        <f t="shared" si="230"/>
        <v>149</v>
      </c>
      <c r="CC183" s="71">
        <f t="shared" si="231"/>
        <v>187</v>
      </c>
      <c r="CD183" s="72">
        <f t="shared" si="232"/>
        <v>199</v>
      </c>
      <c r="CE183" s="71">
        <f t="shared" si="233"/>
        <v>241</v>
      </c>
      <c r="CF183" s="72">
        <f t="shared" si="234"/>
        <v>284</v>
      </c>
      <c r="CG183" s="71">
        <f t="shared" si="235"/>
        <v>310</v>
      </c>
      <c r="CH183" s="70">
        <f t="shared" si="236"/>
        <v>65</v>
      </c>
      <c r="CI183" s="71">
        <f t="shared" si="237"/>
        <v>69</v>
      </c>
      <c r="CJ183" s="72">
        <f t="shared" si="238"/>
        <v>100</v>
      </c>
      <c r="CK183" s="72">
        <f t="shared" si="239"/>
        <v>105</v>
      </c>
      <c r="CL183" s="72">
        <f t="shared" si="240"/>
        <v>141</v>
      </c>
      <c r="CM183" s="72" t="str">
        <f t="shared" si="241"/>
        <v>-</v>
      </c>
      <c r="CN183" s="72">
        <f t="shared" si="242"/>
        <v>173</v>
      </c>
      <c r="CO183" s="72">
        <f t="shared" si="243"/>
        <v>189</v>
      </c>
      <c r="CP183" s="72">
        <f t="shared" si="244"/>
        <v>233</v>
      </c>
      <c r="CQ183" s="72">
        <f t="shared" si="245"/>
        <v>278</v>
      </c>
      <c r="CR183" s="72">
        <f t="shared" si="246"/>
        <v>309</v>
      </c>
      <c r="CS183" s="72">
        <f t="shared" si="247"/>
        <v>322</v>
      </c>
      <c r="CT183" s="23">
        <f t="shared" si="248"/>
        <v>1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30" x14ac:dyDescent="0.2">
      <c r="A184" s="3" t="str">
        <f t="shared" si="249"/>
        <v>opsd_bovin_1U19</v>
      </c>
      <c r="B184" s="3" t="s">
        <v>920</v>
      </c>
      <c r="C184" s="3" t="s">
        <v>53</v>
      </c>
      <c r="D184" s="3" t="str">
        <f>IFERROR(MID(VLOOKUP($B184,Seqs!$A:$B,2,0),E184,1),"")</f>
        <v>E</v>
      </c>
      <c r="E184" s="105">
        <v>33</v>
      </c>
      <c r="F184" s="3" t="str">
        <f>IFERROR(MID(VLOOKUP($B184,Seqs!$A:$B,2,0),G184,1),"")</f>
        <v>H</v>
      </c>
      <c r="G184" s="3">
        <v>65</v>
      </c>
      <c r="H184" s="3" t="str">
        <f>IFERROR(MID(VLOOKUP($B184,Seqs!$A:$B,2,0),I184,1),"")</f>
        <v>K</v>
      </c>
      <c r="I184" s="23">
        <v>66</v>
      </c>
      <c r="J184" s="3" t="str">
        <f>IFERROR(MID(VLOOKUP($B184,Seqs!$A:$B,2,0),K184,1),"")</f>
        <v>R</v>
      </c>
      <c r="K184" s="23">
        <v>69</v>
      </c>
      <c r="L184" s="3" t="str">
        <f>IFERROR(MID(VLOOKUP($B184,Seqs!$A:$B,2,0),M184,1),"")</f>
        <v>T</v>
      </c>
      <c r="M184" s="3">
        <v>70</v>
      </c>
      <c r="N184" s="3" t="str">
        <f>IFERROR(MID(VLOOKUP($B184,Seqs!$A:$B,2,0),O184,1),"")</f>
        <v>H</v>
      </c>
      <c r="O184" s="3">
        <v>100</v>
      </c>
      <c r="P184" s="3" t="str">
        <f>IFERROR(MID(VLOOKUP($B184,Seqs!$A:$B,2,0),Q184,1),"")</f>
        <v>Y</v>
      </c>
      <c r="Q184" s="3">
        <v>102</v>
      </c>
      <c r="R184" s="3" t="str">
        <f>IFERROR(MID(VLOOKUP($B184,Seqs!$A:$B,2,0),S184,1),"")</f>
        <v>F</v>
      </c>
      <c r="S184" s="3">
        <v>105</v>
      </c>
      <c r="T184" s="3" t="str">
        <f>IFERROR(MID(VLOOKUP($B184,Seqs!$A:$B,2,0),U184,1),"")</f>
        <v>G</v>
      </c>
      <c r="U184" s="3">
        <v>106</v>
      </c>
      <c r="V184" s="3" t="str">
        <f>IFERROR(MID(VLOOKUP($B184,Seqs!$A:$B,2,0),W184,1),"")</f>
        <v>K</v>
      </c>
      <c r="W184" s="3">
        <v>141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G</v>
      </c>
      <c r="AC184" s="9">
        <v>149</v>
      </c>
      <c r="AD184" s="3" t="str">
        <f>IFERROR(MID(VLOOKUP($B184,Seqs!$A:$B,2,0),AE184,1),"")</f>
        <v>V</v>
      </c>
      <c r="AE184" s="3">
        <v>173</v>
      </c>
      <c r="AF184" s="3" t="str">
        <f>IFERROR(MID(VLOOKUP($B184,Seqs!$A:$B,2,0),AG184,1),"")</f>
        <v>C</v>
      </c>
      <c r="AG184" s="3">
        <v>187</v>
      </c>
      <c r="AH184" s="3" t="str">
        <f>IFERROR(MID(VLOOKUP($B184,Seqs!$A:$B,2,0),AI184,1),"")</f>
        <v>I</v>
      </c>
      <c r="AI184" s="3">
        <v>189</v>
      </c>
      <c r="AJ184" s="3" t="str">
        <f>IFERROR(MID(VLOOKUP($B184,Seqs!$A:$B,2,0),AK184,1),"")</f>
        <v>N</v>
      </c>
      <c r="AK184" s="3">
        <v>199</v>
      </c>
      <c r="AL184" s="3" t="str">
        <f>IFERROR(MID(VLOOKUP($B184,Seqs!$A:$B,2,0),AM184,1),"")</f>
        <v>Q</v>
      </c>
      <c r="AM184" s="3">
        <v>225</v>
      </c>
      <c r="AN184" s="3" t="str">
        <f>IFERROR(MID(VLOOKUP($B184,Seqs!$A:$B,2,0),AO184,1),"")</f>
        <v>T</v>
      </c>
      <c r="AO184" s="3">
        <v>243</v>
      </c>
      <c r="AP184" s="3" t="str">
        <f>IFERROR(MID(VLOOKUP($B184,Seqs!$A:$B,2,0),AQ184,1),"")</f>
        <v>H</v>
      </c>
      <c r="AQ184" s="3">
        <v>278</v>
      </c>
      <c r="AR184" s="3" t="str">
        <f>IFERROR(MID(VLOOKUP($B184,Seqs!$A:$B,2,0),AS184,1),"")</f>
        <v>G</v>
      </c>
      <c r="AS184" s="3">
        <v>284</v>
      </c>
      <c r="AT184" s="3" t="str">
        <f>IFERROR(MID(VLOOKUP($B184,Seqs!$A:$B,2,0),AU184,1),"")</f>
        <v>M</v>
      </c>
      <c r="AU184" s="3">
        <v>309</v>
      </c>
      <c r="AV184" s="3" t="str">
        <f>IFERROR(MID(VLOOKUP($B184,Seqs!$A:$B,2,0),AW184,1),"")</f>
        <v>N</v>
      </c>
      <c r="AW184" s="3">
        <v>310</v>
      </c>
      <c r="AX184" s="3" t="str">
        <f>IFERROR(MID(VLOOKUP($B184,Seqs!$A:$B,2,0),AY184,1),"")</f>
        <v>C</v>
      </c>
      <c r="AY184" s="3">
        <v>322</v>
      </c>
      <c r="AZ184" s="77" t="str">
        <f>VLOOKUP(B184,Classification!A:D,2,0)</f>
        <v>A</v>
      </c>
      <c r="BA184" s="94" t="str">
        <f>VLOOKUP(B184,Classification!A:D,4,0)</f>
        <v>Opsins</v>
      </c>
      <c r="BB184" s="27" t="b">
        <f t="shared" si="250"/>
        <v>1</v>
      </c>
      <c r="BC184" s="23">
        <f t="shared" si="223"/>
        <v>239</v>
      </c>
      <c r="BD184" s="74" t="s">
        <v>23</v>
      </c>
      <c r="BE184" s="3" t="s">
        <v>1381</v>
      </c>
      <c r="BF184" s="119">
        <v>2.2000000000000002</v>
      </c>
      <c r="BG184" s="49" t="s">
        <v>1</v>
      </c>
      <c r="BH184" s="49" t="s">
        <v>1384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 t="shared" si="224"/>
        <v>33</v>
      </c>
      <c r="BW184" s="71">
        <f t="shared" si="225"/>
        <v>66</v>
      </c>
      <c r="BX184" s="72">
        <f t="shared" si="226"/>
        <v>70</v>
      </c>
      <c r="BY184" s="71">
        <f t="shared" si="227"/>
        <v>102</v>
      </c>
      <c r="BZ184" s="72">
        <f t="shared" si="228"/>
        <v>106</v>
      </c>
      <c r="CA184" s="71" t="str">
        <f t="shared" si="229"/>
        <v>-</v>
      </c>
      <c r="CB184" s="72">
        <f t="shared" si="230"/>
        <v>149</v>
      </c>
      <c r="CC184" s="71">
        <f t="shared" si="231"/>
        <v>187</v>
      </c>
      <c r="CD184" s="72">
        <f t="shared" si="232"/>
        <v>199</v>
      </c>
      <c r="CE184" s="71">
        <f t="shared" si="233"/>
        <v>243</v>
      </c>
      <c r="CF184" s="72">
        <f t="shared" si="234"/>
        <v>284</v>
      </c>
      <c r="CG184" s="71">
        <f t="shared" si="235"/>
        <v>310</v>
      </c>
      <c r="CH184" s="70">
        <f t="shared" si="236"/>
        <v>65</v>
      </c>
      <c r="CI184" s="71">
        <f t="shared" si="237"/>
        <v>69</v>
      </c>
      <c r="CJ184" s="72">
        <f t="shared" si="238"/>
        <v>100</v>
      </c>
      <c r="CK184" s="72">
        <f t="shared" si="239"/>
        <v>105</v>
      </c>
      <c r="CL184" s="72">
        <f t="shared" si="240"/>
        <v>141</v>
      </c>
      <c r="CM184" s="72" t="str">
        <f t="shared" si="241"/>
        <v>-</v>
      </c>
      <c r="CN184" s="72">
        <f t="shared" si="242"/>
        <v>173</v>
      </c>
      <c r="CO184" s="72">
        <f t="shared" si="243"/>
        <v>189</v>
      </c>
      <c r="CP184" s="72">
        <f t="shared" si="244"/>
        <v>225</v>
      </c>
      <c r="CQ184" s="72">
        <f t="shared" si="245"/>
        <v>278</v>
      </c>
      <c r="CR184" s="72">
        <f t="shared" si="246"/>
        <v>309</v>
      </c>
      <c r="CS184" s="72">
        <f t="shared" si="247"/>
        <v>322</v>
      </c>
      <c r="CT184" s="23">
        <f t="shared" si="248"/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30" x14ac:dyDescent="0.2">
      <c r="A185" s="3" t="str">
        <f t="shared" si="249"/>
        <v>opsd_bovin_2X72</v>
      </c>
      <c r="B185" s="2" t="s">
        <v>920</v>
      </c>
      <c r="C185" s="3" t="s">
        <v>1376</v>
      </c>
      <c r="D185" s="3" t="str">
        <f>IFERROR(MID(VLOOKUP($B185,Seqs!$A:$B,2,0),E185,1),"")</f>
        <v>E</v>
      </c>
      <c r="E185" s="105">
        <v>33</v>
      </c>
      <c r="F185" s="3" t="str">
        <f>IFERROR(MID(VLOOKUP($B185,Seqs!$A:$B,2,0),G185,1),"")</f>
        <v>H</v>
      </c>
      <c r="G185" s="3">
        <v>65</v>
      </c>
      <c r="H185" s="3" t="str">
        <f>IFERROR(MID(VLOOKUP($B185,Seqs!$A:$B,2,0),I185,1),"")</f>
        <v>K</v>
      </c>
      <c r="I185" s="23">
        <v>66</v>
      </c>
      <c r="J185" s="3" t="str">
        <f>IFERROR(MID(VLOOKUP($B185,Seqs!$A:$B,2,0),K185,1),"")</f>
        <v>R</v>
      </c>
      <c r="K185" s="23">
        <v>69</v>
      </c>
      <c r="L185" s="3" t="str">
        <f>IFERROR(MID(VLOOKUP($B185,Seqs!$A:$B,2,0),M185,1),"")</f>
        <v>T</v>
      </c>
      <c r="M185" s="3">
        <v>70</v>
      </c>
      <c r="N185" s="3" t="str">
        <f>IFERROR(MID(VLOOKUP($B185,Seqs!$A:$B,2,0),O185,1),"")</f>
        <v>H</v>
      </c>
      <c r="O185" s="3">
        <v>100</v>
      </c>
      <c r="P185" s="3" t="str">
        <f>IFERROR(MID(VLOOKUP($B185,Seqs!$A:$B,2,0),Q185,1),"")</f>
        <v>Y</v>
      </c>
      <c r="Q185" s="3">
        <v>102</v>
      </c>
      <c r="R185" s="3" t="str">
        <f>IFERROR(MID(VLOOKUP($B185,Seqs!$A:$B,2,0),S185,1),"")</f>
        <v>F</v>
      </c>
      <c r="S185" s="3">
        <v>105</v>
      </c>
      <c r="T185" s="3" t="str">
        <f>IFERROR(MID(VLOOKUP($B185,Seqs!$A:$B,2,0),U185,1),"")</f>
        <v>G</v>
      </c>
      <c r="U185" s="3">
        <v>106</v>
      </c>
      <c r="V185" s="3" t="str">
        <f>IFERROR(MID(VLOOKUP($B185,Seqs!$A:$B,2,0),W185,1),"")</f>
        <v>K</v>
      </c>
      <c r="W185" s="3">
        <v>141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G</v>
      </c>
      <c r="AC185" s="9">
        <v>149</v>
      </c>
      <c r="AD185" s="3" t="str">
        <f>IFERROR(MID(VLOOKUP($B185,Seqs!$A:$B,2,0),AE185,1),"")</f>
        <v>V</v>
      </c>
      <c r="AE185" s="3">
        <v>173</v>
      </c>
      <c r="AF185" s="3" t="str">
        <f>IFERROR(MID(VLOOKUP($B185,Seqs!$A:$B,2,0),AG185,1),"")</f>
        <v>C</v>
      </c>
      <c r="AG185" s="3">
        <v>187</v>
      </c>
      <c r="AH185" s="3" t="str">
        <f>IFERROR(MID(VLOOKUP($B185,Seqs!$A:$B,2,0),AI185,1),"")</f>
        <v>I</v>
      </c>
      <c r="AI185" s="3">
        <v>189</v>
      </c>
      <c r="AJ185" s="3" t="str">
        <f>IFERROR(MID(VLOOKUP($B185,Seqs!$A:$B,2,0),AK185,1),"")</f>
        <v>N</v>
      </c>
      <c r="AK185" s="3">
        <v>199</v>
      </c>
      <c r="AL185" s="3" t="str">
        <f>IFERROR(MID(VLOOKUP($B185,Seqs!$A:$B,2,0),AM185,1),"")</f>
        <v>Q</v>
      </c>
      <c r="AM185" s="3">
        <v>237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H</v>
      </c>
      <c r="AQ185" s="3">
        <v>278</v>
      </c>
      <c r="AR185" s="3" t="str">
        <f>IFERROR(MID(VLOOKUP($B185,Seqs!$A:$B,2,0),AS185,1),"")</f>
        <v>G</v>
      </c>
      <c r="AS185" s="3">
        <v>284</v>
      </c>
      <c r="AT185" s="3" t="str">
        <f>IFERROR(MID(VLOOKUP($B185,Seqs!$A:$B,2,0),AU185,1),"")</f>
        <v>M</v>
      </c>
      <c r="AU185" s="3">
        <v>309</v>
      </c>
      <c r="AV185" s="3" t="str">
        <f>IFERROR(MID(VLOOKUP($B185,Seqs!$A:$B,2,0),AW185,1),"")</f>
        <v>N</v>
      </c>
      <c r="AW185" s="3">
        <v>310</v>
      </c>
      <c r="AX185" s="3" t="str">
        <f>IFERROR(MID(VLOOKUP($B185,Seqs!$A:$B,2,0),AY185,1),"")</f>
        <v>C</v>
      </c>
      <c r="AY185" s="3">
        <v>322</v>
      </c>
      <c r="AZ185" s="77" t="str">
        <f>VLOOKUP(B185,Classification!A:D,2,0)</f>
        <v>A</v>
      </c>
      <c r="BA185" s="94" t="str">
        <f>VLOOKUP(B185,Classification!A:D,4,0)</f>
        <v>Opsins</v>
      </c>
      <c r="BB185" s="27" t="b">
        <f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>_xlfn.AGGREGATE(9,6,CH185:CS185)-_xlfn.AGGREGATE(9,6,BV185:CG185)+12</f>
        <v>253</v>
      </c>
      <c r="BD185" s="56" t="s">
        <v>23</v>
      </c>
      <c r="BE185" s="3" t="s">
        <v>1297</v>
      </c>
      <c r="BF185" s="119">
        <v>3</v>
      </c>
      <c r="BG185" s="49" t="s">
        <v>1384</v>
      </c>
      <c r="BH185" s="49" t="s">
        <v>1384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>E185</f>
        <v>33</v>
      </c>
      <c r="BW185" s="71">
        <f>I185</f>
        <v>66</v>
      </c>
      <c r="BX185" s="72">
        <f>M185</f>
        <v>70</v>
      </c>
      <c r="BY185" s="71">
        <f>Q185</f>
        <v>102</v>
      </c>
      <c r="BZ185" s="72">
        <f>U185</f>
        <v>106</v>
      </c>
      <c r="CA185" s="71" t="str">
        <f>Y185</f>
        <v>-</v>
      </c>
      <c r="CB185" s="72">
        <f>AC185</f>
        <v>149</v>
      </c>
      <c r="CC185" s="71">
        <f>AG185</f>
        <v>187</v>
      </c>
      <c r="CD185" s="72">
        <f>AK185</f>
        <v>199</v>
      </c>
      <c r="CE185" s="71">
        <f>AO185</f>
        <v>241</v>
      </c>
      <c r="CF185" s="72">
        <f>AS185</f>
        <v>284</v>
      </c>
      <c r="CG185" s="71">
        <f>AW185</f>
        <v>310</v>
      </c>
      <c r="CH185" s="70">
        <f>G185</f>
        <v>65</v>
      </c>
      <c r="CI185" s="71">
        <f>K185</f>
        <v>69</v>
      </c>
      <c r="CJ185" s="72">
        <f>O185</f>
        <v>100</v>
      </c>
      <c r="CK185" s="72">
        <f>S185</f>
        <v>105</v>
      </c>
      <c r="CL185" s="72">
        <f>W185</f>
        <v>141</v>
      </c>
      <c r="CM185" s="72" t="str">
        <f>AA185</f>
        <v>-</v>
      </c>
      <c r="CN185" s="72">
        <f>AE185</f>
        <v>173</v>
      </c>
      <c r="CO185" s="72">
        <f>AI185</f>
        <v>189</v>
      </c>
      <c r="CP185" s="72">
        <f>AM185</f>
        <v>237</v>
      </c>
      <c r="CQ185" s="72">
        <f>AQ185</f>
        <v>278</v>
      </c>
      <c r="CR185" s="72">
        <f>AU185</f>
        <v>309</v>
      </c>
      <c r="CS185" s="72">
        <f>AY185</f>
        <v>322</v>
      </c>
      <c r="CT185" s="23">
        <f>M185-K185</f>
        <v>1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si="249"/>
        <v>opsd_bovin_3DQB</v>
      </c>
      <c r="B186" s="3" t="s">
        <v>920</v>
      </c>
      <c r="C186" s="3" t="s">
        <v>54</v>
      </c>
      <c r="D186" s="3" t="str">
        <f>IFERROR(MID(VLOOKUP($B186,Seqs!$A:$B,2,0),E186,1),"")</f>
        <v>E</v>
      </c>
      <c r="E186" s="105">
        <v>33</v>
      </c>
      <c r="F186" s="3" t="str">
        <f>IFERROR(MID(VLOOKUP($B186,Seqs!$A:$B,2,0),G186,1),"")</f>
        <v>H</v>
      </c>
      <c r="G186" s="3">
        <v>65</v>
      </c>
      <c r="H186" s="3" t="str">
        <f>IFERROR(MID(VLOOKUP($B186,Seqs!$A:$B,2,0),I186,1),"")</f>
        <v>K</v>
      </c>
      <c r="I186" s="23">
        <v>66</v>
      </c>
      <c r="J186" s="3" t="str">
        <f>IFERROR(MID(VLOOKUP($B186,Seqs!$A:$B,2,0),K186,1),"")</f>
        <v>R</v>
      </c>
      <c r="K186" s="23">
        <v>69</v>
      </c>
      <c r="L186" s="3" t="str">
        <f>IFERROR(MID(VLOOKUP($B186,Seqs!$A:$B,2,0),M186,1),"")</f>
        <v>T</v>
      </c>
      <c r="M186" s="3">
        <v>70</v>
      </c>
      <c r="N186" s="3" t="str">
        <f>IFERROR(MID(VLOOKUP($B186,Seqs!$A:$B,2,0),O186,1),"")</f>
        <v>H</v>
      </c>
      <c r="O186" s="3">
        <v>100</v>
      </c>
      <c r="P186" s="3" t="str">
        <f>IFERROR(MID(VLOOKUP($B186,Seqs!$A:$B,2,0),Q186,1),"")</f>
        <v>Y</v>
      </c>
      <c r="Q186" s="3">
        <v>102</v>
      </c>
      <c r="R186" s="3" t="str">
        <f>IFERROR(MID(VLOOKUP($B186,Seqs!$A:$B,2,0),S186,1),"")</f>
        <v>F</v>
      </c>
      <c r="S186" s="3">
        <v>105</v>
      </c>
      <c r="T186" s="3" t="str">
        <f>IFERROR(MID(VLOOKUP($B186,Seqs!$A:$B,2,0),U186,1),"")</f>
        <v>G</v>
      </c>
      <c r="U186" s="3">
        <v>106</v>
      </c>
      <c r="V186" s="3" t="str">
        <f>IFERROR(MID(VLOOKUP($B186,Seqs!$A:$B,2,0),W186,1),"")</f>
        <v>K</v>
      </c>
      <c r="W186" s="3">
        <v>141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G</v>
      </c>
      <c r="AC186" s="9">
        <v>149</v>
      </c>
      <c r="AD186" s="3" t="str">
        <f>IFERROR(MID(VLOOKUP($B186,Seqs!$A:$B,2,0),AE186,1),"")</f>
        <v>V</v>
      </c>
      <c r="AE186" s="3">
        <v>173</v>
      </c>
      <c r="AF186" s="3" t="str">
        <f>IFERROR(MID(VLOOKUP($B186,Seqs!$A:$B,2,0),AG186,1),"")</f>
        <v>C</v>
      </c>
      <c r="AG186" s="3">
        <v>187</v>
      </c>
      <c r="AH186" s="3" t="str">
        <f>IFERROR(MID(VLOOKUP($B186,Seqs!$A:$B,2,0),AI186,1),"")</f>
        <v>I</v>
      </c>
      <c r="AI186" s="3">
        <v>189</v>
      </c>
      <c r="AJ186" s="3" t="str">
        <f>IFERROR(MID(VLOOKUP($B186,Seqs!$A:$B,2,0),AK186,1),"")</f>
        <v>N</v>
      </c>
      <c r="AK186" s="3">
        <v>199</v>
      </c>
      <c r="AL186" s="3" t="str">
        <f>IFERROR(MID(VLOOKUP($B186,Seqs!$A:$B,2,0),AM186,1),"")</f>
        <v>Q</v>
      </c>
      <c r="AM186" s="3">
        <v>237</v>
      </c>
      <c r="AN186" s="3" t="str">
        <f>IFERROR(MID(VLOOKUP($B186,Seqs!$A:$B,2,0),AO186,1),"")</f>
        <v>A</v>
      </c>
      <c r="AO186" s="3">
        <v>241</v>
      </c>
      <c r="AP186" s="3" t="str">
        <f>IFERROR(MID(VLOOKUP($B186,Seqs!$A:$B,2,0),AQ186,1),"")</f>
        <v>H</v>
      </c>
      <c r="AQ186" s="3">
        <v>278</v>
      </c>
      <c r="AR186" s="3" t="str">
        <f>IFERROR(MID(VLOOKUP($B186,Seqs!$A:$B,2,0),AS186,1),"")</f>
        <v>G</v>
      </c>
      <c r="AS186" s="3">
        <v>284</v>
      </c>
      <c r="AT186" s="3" t="str">
        <f>IFERROR(MID(VLOOKUP($B186,Seqs!$A:$B,2,0),AU186,1),"")</f>
        <v>M</v>
      </c>
      <c r="AU186" s="3">
        <v>309</v>
      </c>
      <c r="AV186" s="3" t="str">
        <f>IFERROR(MID(VLOOKUP($B186,Seqs!$A:$B,2,0),AW186,1),"")</f>
        <v>N</v>
      </c>
      <c r="AW186" s="3">
        <v>310</v>
      </c>
      <c r="AX186" s="3" t="str">
        <f>IFERROR(MID(VLOOKUP($B186,Seqs!$A:$B,2,0),AY186,1),"")</f>
        <v>C</v>
      </c>
      <c r="AY186" s="3">
        <v>322</v>
      </c>
      <c r="AZ186" s="77" t="str">
        <f>VLOOKUP(B186,Classification!A:D,2,0)</f>
        <v>A</v>
      </c>
      <c r="BA186" s="94" t="str">
        <f>VLOOKUP(B186,Classification!A:D,4,0)</f>
        <v>Opsins</v>
      </c>
      <c r="BB186" s="27" t="b">
        <f t="shared" si="250"/>
        <v>1</v>
      </c>
      <c r="BC186" s="23">
        <f>_xlfn.AGGREGATE(9,6,CH186:CS186)-_xlfn.AGGREGATE(9,6,BV186:CG186)+12</f>
        <v>253</v>
      </c>
      <c r="BD186" s="74" t="s">
        <v>23</v>
      </c>
      <c r="BE186" s="3" t="s">
        <v>1297</v>
      </c>
      <c r="BF186" s="119">
        <v>3.2</v>
      </c>
      <c r="BG186" s="49" t="s">
        <v>1384</v>
      </c>
      <c r="BH186" s="49" t="s">
        <v>1384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>E186</f>
        <v>33</v>
      </c>
      <c r="BW186" s="71">
        <f>I186</f>
        <v>66</v>
      </c>
      <c r="BX186" s="72">
        <f>M186</f>
        <v>70</v>
      </c>
      <c r="BY186" s="71">
        <f>Q186</f>
        <v>102</v>
      </c>
      <c r="BZ186" s="72">
        <f>U186</f>
        <v>106</v>
      </c>
      <c r="CA186" s="71" t="str">
        <f>Y186</f>
        <v>-</v>
      </c>
      <c r="CB186" s="72">
        <f>AC186</f>
        <v>149</v>
      </c>
      <c r="CC186" s="71">
        <f>AG186</f>
        <v>187</v>
      </c>
      <c r="CD186" s="72">
        <f>AK186</f>
        <v>199</v>
      </c>
      <c r="CE186" s="71">
        <f>AO186</f>
        <v>241</v>
      </c>
      <c r="CF186" s="72">
        <f>AS186</f>
        <v>284</v>
      </c>
      <c r="CG186" s="71">
        <f>AW186</f>
        <v>310</v>
      </c>
      <c r="CH186" s="70">
        <f>G186</f>
        <v>65</v>
      </c>
      <c r="CI186" s="71">
        <f>K186</f>
        <v>69</v>
      </c>
      <c r="CJ186" s="72">
        <f>O186</f>
        <v>100</v>
      </c>
      <c r="CK186" s="72">
        <f>S186</f>
        <v>105</v>
      </c>
      <c r="CL186" s="72">
        <f>W186</f>
        <v>141</v>
      </c>
      <c r="CM186" s="72" t="str">
        <f>AA186</f>
        <v>-</v>
      </c>
      <c r="CN186" s="72">
        <f>AE186</f>
        <v>173</v>
      </c>
      <c r="CO186" s="72">
        <f>AI186</f>
        <v>189</v>
      </c>
      <c r="CP186" s="72">
        <f>AM186</f>
        <v>237</v>
      </c>
      <c r="CQ186" s="72">
        <f>AQ186</f>
        <v>278</v>
      </c>
      <c r="CR186" s="72">
        <f>AU186</f>
        <v>309</v>
      </c>
      <c r="CS186" s="72">
        <f>AY186</f>
        <v>322</v>
      </c>
      <c r="CT186" s="23">
        <f>M186-K186</f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249"/>
        <v>opsd_bovin_3PQR</v>
      </c>
      <c r="B187" s="3" t="s">
        <v>920</v>
      </c>
      <c r="C187" s="3" t="s">
        <v>1033</v>
      </c>
      <c r="D187" s="3" t="str">
        <f>IFERROR(MID(VLOOKUP($B187,Seqs!$A:$B,2,0),E187,1),"")</f>
        <v>E</v>
      </c>
      <c r="E187" s="105">
        <v>33</v>
      </c>
      <c r="F187" s="3" t="str">
        <f>IFERROR(MID(VLOOKUP($B187,Seqs!$A:$B,2,0),G187,1),"")</f>
        <v>H</v>
      </c>
      <c r="G187" s="3">
        <v>65</v>
      </c>
      <c r="H187" s="3" t="str">
        <f>IFERROR(MID(VLOOKUP($B187,Seqs!$A:$B,2,0),I187,1),"")</f>
        <v>K</v>
      </c>
      <c r="I187" s="23">
        <v>66</v>
      </c>
      <c r="J187" s="3" t="str">
        <f>IFERROR(MID(VLOOKUP($B187,Seqs!$A:$B,2,0),K187,1),"")</f>
        <v>R</v>
      </c>
      <c r="K187" s="23">
        <v>69</v>
      </c>
      <c r="L187" s="3" t="str">
        <f>IFERROR(MID(VLOOKUP($B187,Seqs!$A:$B,2,0),M187,1),"")</f>
        <v>T</v>
      </c>
      <c r="M187" s="3">
        <v>70</v>
      </c>
      <c r="N187" s="3" t="str">
        <f>IFERROR(MID(VLOOKUP($B187,Seqs!$A:$B,2,0),O187,1),"")</f>
        <v>H</v>
      </c>
      <c r="O187" s="3">
        <v>100</v>
      </c>
      <c r="P187" s="3" t="str">
        <f>IFERROR(MID(VLOOKUP($B187,Seqs!$A:$B,2,0),Q187,1),"")</f>
        <v>Y</v>
      </c>
      <c r="Q187" s="3">
        <v>102</v>
      </c>
      <c r="R187" s="3" t="str">
        <f>IFERROR(MID(VLOOKUP($B187,Seqs!$A:$B,2,0),S187,1),"")</f>
        <v>F</v>
      </c>
      <c r="S187" s="3">
        <v>105</v>
      </c>
      <c r="T187" s="3" t="str">
        <f>IFERROR(MID(VLOOKUP($B187,Seqs!$A:$B,2,0),U187,1),"")</f>
        <v>G</v>
      </c>
      <c r="U187" s="3">
        <v>106</v>
      </c>
      <c r="V187" s="3" t="str">
        <f>IFERROR(MID(VLOOKUP($B187,Seqs!$A:$B,2,0),W187,1),"")</f>
        <v>K</v>
      </c>
      <c r="W187" s="3">
        <v>141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G</v>
      </c>
      <c r="AC187" s="9">
        <v>149</v>
      </c>
      <c r="AD187" s="3" t="str">
        <f>IFERROR(MID(VLOOKUP($B187,Seqs!$A:$B,2,0),AE187,1),"")</f>
        <v>V</v>
      </c>
      <c r="AE187" s="3">
        <v>173</v>
      </c>
      <c r="AF187" s="3" t="str">
        <f>IFERROR(MID(VLOOKUP($B187,Seqs!$A:$B,2,0),AG187,1),"")</f>
        <v>C</v>
      </c>
      <c r="AG187" s="3">
        <v>187</v>
      </c>
      <c r="AH187" s="3" t="str">
        <f>IFERROR(MID(VLOOKUP($B187,Seqs!$A:$B,2,0),AI187,1),"")</f>
        <v>I</v>
      </c>
      <c r="AI187" s="3">
        <v>189</v>
      </c>
      <c r="AJ187" s="3" t="str">
        <f>IFERROR(MID(VLOOKUP($B187,Seqs!$A:$B,2,0),AK187,1),"")</f>
        <v>N</v>
      </c>
      <c r="AK187" s="3">
        <v>199</v>
      </c>
      <c r="AL187" s="3" t="str">
        <f>IFERROR(MID(VLOOKUP($B187,Seqs!$A:$B,2,0),AM187,1),"")</f>
        <v>Q</v>
      </c>
      <c r="AM187" s="3">
        <v>237</v>
      </c>
      <c r="AN187" s="3" t="str">
        <f>IFERROR(MID(VLOOKUP($B187,Seqs!$A:$B,2,0),AO187,1),"")</f>
        <v>A</v>
      </c>
      <c r="AO187" s="3">
        <v>241</v>
      </c>
      <c r="AP187" s="3" t="str">
        <f>IFERROR(MID(VLOOKUP($B187,Seqs!$A:$B,2,0),AQ187,1),"")</f>
        <v>H</v>
      </c>
      <c r="AQ187" s="3">
        <v>278</v>
      </c>
      <c r="AR187" s="3" t="str">
        <f>IFERROR(MID(VLOOKUP($B187,Seqs!$A:$B,2,0),AS187,1),"")</f>
        <v>G</v>
      </c>
      <c r="AS187" s="3">
        <v>284</v>
      </c>
      <c r="AT187" s="3" t="str">
        <f>IFERROR(MID(VLOOKUP($B187,Seqs!$A:$B,2,0),AU187,1),"")</f>
        <v>M</v>
      </c>
      <c r="AU187" s="3">
        <v>309</v>
      </c>
      <c r="AV187" s="3" t="str">
        <f>IFERROR(MID(VLOOKUP($B187,Seqs!$A:$B,2,0),AW187,1),"")</f>
        <v>N</v>
      </c>
      <c r="AW187" s="3">
        <v>310</v>
      </c>
      <c r="AX187" s="3" t="str">
        <f>IFERROR(MID(VLOOKUP($B187,Seqs!$A:$B,2,0),AY187,1),"")</f>
        <v>C</v>
      </c>
      <c r="AY187" s="3">
        <v>322</v>
      </c>
      <c r="AZ187" s="77" t="str">
        <f>VLOOKUP(B187,Classification!A:D,2,0)</f>
        <v>A</v>
      </c>
      <c r="BA187" s="94" t="str">
        <f>VLOOKUP(B187,Classification!A:D,4,0)</f>
        <v>Opsins</v>
      </c>
      <c r="BB187" s="27" t="b">
        <f t="shared" si="250"/>
        <v>1</v>
      </c>
      <c r="BC187" s="23">
        <f>_xlfn.AGGREGATE(9,6,CH187:CS187)-_xlfn.AGGREGATE(9,6,BV187:CG187)+12</f>
        <v>253</v>
      </c>
      <c r="BD187" s="4" t="s">
        <v>23</v>
      </c>
      <c r="BE187" s="3" t="s">
        <v>1297</v>
      </c>
      <c r="BF187" s="119">
        <v>2.85</v>
      </c>
      <c r="BG187" s="49" t="s">
        <v>1384</v>
      </c>
      <c r="BH187" s="49" t="s">
        <v>1384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>E187</f>
        <v>33</v>
      </c>
      <c r="BW187" s="71">
        <f>I187</f>
        <v>66</v>
      </c>
      <c r="BX187" s="72">
        <f>M187</f>
        <v>70</v>
      </c>
      <c r="BY187" s="71">
        <f>Q187</f>
        <v>102</v>
      </c>
      <c r="BZ187" s="72">
        <f>U187</f>
        <v>106</v>
      </c>
      <c r="CA187" s="71" t="str">
        <f>Y187</f>
        <v>-</v>
      </c>
      <c r="CB187" s="72">
        <f>AC187</f>
        <v>149</v>
      </c>
      <c r="CC187" s="71">
        <f>AG187</f>
        <v>187</v>
      </c>
      <c r="CD187" s="72">
        <f>AK187</f>
        <v>199</v>
      </c>
      <c r="CE187" s="71">
        <f>AO187</f>
        <v>241</v>
      </c>
      <c r="CF187" s="72">
        <f>AS187</f>
        <v>284</v>
      </c>
      <c r="CG187" s="71">
        <f>AW187</f>
        <v>310</v>
      </c>
      <c r="CH187" s="70">
        <f>G187</f>
        <v>65</v>
      </c>
      <c r="CI187" s="71">
        <f>K187</f>
        <v>69</v>
      </c>
      <c r="CJ187" s="72">
        <f>O187</f>
        <v>100</v>
      </c>
      <c r="CK187" s="72">
        <f>S187</f>
        <v>105</v>
      </c>
      <c r="CL187" s="72">
        <f>W187</f>
        <v>141</v>
      </c>
      <c r="CM187" s="72" t="str">
        <f>AA187</f>
        <v>-</v>
      </c>
      <c r="CN187" s="72">
        <f>AE187</f>
        <v>173</v>
      </c>
      <c r="CO187" s="72">
        <f>AI187</f>
        <v>189</v>
      </c>
      <c r="CP187" s="72">
        <f>AM187</f>
        <v>237</v>
      </c>
      <c r="CQ187" s="72">
        <f>AQ187</f>
        <v>278</v>
      </c>
      <c r="CR187" s="72">
        <f>AU187</f>
        <v>309</v>
      </c>
      <c r="CS187" s="72">
        <f>AY187</f>
        <v>322</v>
      </c>
      <c r="CT187" s="23">
        <f>M187-K187</f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 t="shared" si="249"/>
        <v>opsd_bovin_4A4M</v>
      </c>
      <c r="B188" s="2" t="s">
        <v>920</v>
      </c>
      <c r="C188" s="3" t="s">
        <v>1377</v>
      </c>
      <c r="D188" s="3" t="str">
        <f>IFERROR(MID(VLOOKUP($B188,Seqs!$A:$B,2,0),E188,1),"")</f>
        <v>E</v>
      </c>
      <c r="E188" s="105">
        <v>33</v>
      </c>
      <c r="F188" s="3" t="str">
        <f>IFERROR(MID(VLOOKUP($B188,Seqs!$A:$B,2,0),G188,1),"")</f>
        <v>H</v>
      </c>
      <c r="G188" s="3">
        <v>65</v>
      </c>
      <c r="H188" s="3" t="str">
        <f>IFERROR(MID(VLOOKUP($B188,Seqs!$A:$B,2,0),I188,1),"")</f>
        <v>K</v>
      </c>
      <c r="I188" s="23">
        <v>66</v>
      </c>
      <c r="J188" s="3" t="str">
        <f>IFERROR(MID(VLOOKUP($B188,Seqs!$A:$B,2,0),K188,1),"")</f>
        <v>R</v>
      </c>
      <c r="K188" s="23">
        <v>69</v>
      </c>
      <c r="L188" s="3" t="str">
        <f>IFERROR(MID(VLOOKUP($B188,Seqs!$A:$B,2,0),M188,1),"")</f>
        <v>T</v>
      </c>
      <c r="M188" s="3">
        <v>70</v>
      </c>
      <c r="N188" s="3" t="str">
        <f>IFERROR(MID(VLOOKUP($B188,Seqs!$A:$B,2,0),O188,1),"")</f>
        <v>H</v>
      </c>
      <c r="O188" s="3">
        <v>100</v>
      </c>
      <c r="P188" s="3" t="str">
        <f>IFERROR(MID(VLOOKUP($B188,Seqs!$A:$B,2,0),Q188,1),"")</f>
        <v>Y</v>
      </c>
      <c r="Q188" s="3">
        <v>102</v>
      </c>
      <c r="R188" s="3" t="str">
        <f>IFERROR(MID(VLOOKUP($B188,Seqs!$A:$B,2,0),S188,1),"")</f>
        <v>F</v>
      </c>
      <c r="S188" s="3">
        <v>105</v>
      </c>
      <c r="T188" s="3" t="str">
        <f>IFERROR(MID(VLOOKUP($B188,Seqs!$A:$B,2,0),U188,1),"")</f>
        <v>G</v>
      </c>
      <c r="U188" s="3">
        <v>106</v>
      </c>
      <c r="V188" s="3" t="str">
        <f>IFERROR(MID(VLOOKUP($B188,Seqs!$A:$B,2,0),W188,1),"")</f>
        <v>K</v>
      </c>
      <c r="W188" s="3">
        <v>141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G</v>
      </c>
      <c r="AC188" s="9">
        <v>149</v>
      </c>
      <c r="AD188" s="3" t="str">
        <f>IFERROR(MID(VLOOKUP($B188,Seqs!$A:$B,2,0),AE188,1),"")</f>
        <v>V</v>
      </c>
      <c r="AE188" s="3">
        <v>173</v>
      </c>
      <c r="AF188" s="3" t="str">
        <f>IFERROR(MID(VLOOKUP($B188,Seqs!$A:$B,2,0),AG188,1),"")</f>
        <v>C</v>
      </c>
      <c r="AG188" s="3">
        <v>187</v>
      </c>
      <c r="AH188" s="3" t="str">
        <f>IFERROR(MID(VLOOKUP($B188,Seqs!$A:$B,2,0),AI188,1),"")</f>
        <v>I</v>
      </c>
      <c r="AI188" s="3">
        <v>189</v>
      </c>
      <c r="AJ188" s="3" t="str">
        <f>IFERROR(MID(VLOOKUP($B188,Seqs!$A:$B,2,0),AK188,1),"")</f>
        <v>N</v>
      </c>
      <c r="AK188" s="3">
        <v>199</v>
      </c>
      <c r="AL188" s="3" t="str">
        <f>IFERROR(MID(VLOOKUP($B188,Seqs!$A:$B,2,0),AM188,1),"")</f>
        <v>Q</v>
      </c>
      <c r="AM188" s="3">
        <v>237</v>
      </c>
      <c r="AN188" s="3" t="str">
        <f>IFERROR(MID(VLOOKUP($B188,Seqs!$A:$B,2,0),AO188,1),"")</f>
        <v>A</v>
      </c>
      <c r="AO188" s="3">
        <v>241</v>
      </c>
      <c r="AP188" s="3" t="str">
        <f>IFERROR(MID(VLOOKUP($B188,Seqs!$A:$B,2,0),AQ188,1),"")</f>
        <v>H</v>
      </c>
      <c r="AQ188" s="3">
        <v>278</v>
      </c>
      <c r="AR188" s="3" t="str">
        <f>IFERROR(MID(VLOOKUP($B188,Seqs!$A:$B,2,0),AS188,1),"")</f>
        <v>G</v>
      </c>
      <c r="AS188" s="3">
        <v>284</v>
      </c>
      <c r="AT188" s="3" t="str">
        <f>IFERROR(MID(VLOOKUP($B188,Seqs!$A:$B,2,0),AU188,1),"")</f>
        <v>M</v>
      </c>
      <c r="AU188" s="3">
        <v>309</v>
      </c>
      <c r="AV188" s="3" t="str">
        <f>IFERROR(MID(VLOOKUP($B188,Seqs!$A:$B,2,0),AW188,1),"")</f>
        <v>N</v>
      </c>
      <c r="AW188" s="3">
        <v>310</v>
      </c>
      <c r="AX188" s="3" t="str">
        <f>IFERROR(MID(VLOOKUP($B188,Seqs!$A:$B,2,0),AY188,1),"")</f>
        <v>C</v>
      </c>
      <c r="AY188" s="3">
        <v>322</v>
      </c>
      <c r="AZ188" s="77" t="str">
        <f>VLOOKUP(B188,Classification!A:D,2,0)</f>
        <v>A</v>
      </c>
      <c r="BA188" s="94" t="str">
        <f>VLOOKUP(B188,Classification!A:D,4,0)</f>
        <v>Opsins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253</v>
      </c>
      <c r="BD188" s="4" t="s">
        <v>23</v>
      </c>
      <c r="BE188" s="3" t="s">
        <v>1297</v>
      </c>
      <c r="BF188" s="119">
        <v>3.3</v>
      </c>
      <c r="BG188" s="49" t="s">
        <v>1384</v>
      </c>
      <c r="BH188" s="49" t="s">
        <v>1384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>E188</f>
        <v>33</v>
      </c>
      <c r="BW188" s="71">
        <f>I188</f>
        <v>66</v>
      </c>
      <c r="BX188" s="72">
        <f>M188</f>
        <v>70</v>
      </c>
      <c r="BY188" s="71">
        <f>Q188</f>
        <v>102</v>
      </c>
      <c r="BZ188" s="72">
        <f>U188</f>
        <v>106</v>
      </c>
      <c r="CA188" s="71" t="str">
        <f>Y188</f>
        <v>-</v>
      </c>
      <c r="CB188" s="72">
        <f>AC188</f>
        <v>149</v>
      </c>
      <c r="CC188" s="71">
        <f>AG188</f>
        <v>187</v>
      </c>
      <c r="CD188" s="72">
        <f>AK188</f>
        <v>199</v>
      </c>
      <c r="CE188" s="71">
        <f>AO188</f>
        <v>241</v>
      </c>
      <c r="CF188" s="72">
        <f>AS188</f>
        <v>284</v>
      </c>
      <c r="CG188" s="71">
        <f>AW188</f>
        <v>310</v>
      </c>
      <c r="CH188" s="70">
        <f>G188</f>
        <v>65</v>
      </c>
      <c r="CI188" s="71">
        <f>K188</f>
        <v>69</v>
      </c>
      <c r="CJ188" s="72">
        <f>O188</f>
        <v>100</v>
      </c>
      <c r="CK188" s="72">
        <f>S188</f>
        <v>105</v>
      </c>
      <c r="CL188" s="72">
        <f>W188</f>
        <v>141</v>
      </c>
      <c r="CM188" s="72" t="str">
        <f>AA188</f>
        <v>-</v>
      </c>
      <c r="CN188" s="72">
        <f>AE188</f>
        <v>173</v>
      </c>
      <c r="CO188" s="72">
        <f>AI188</f>
        <v>189</v>
      </c>
      <c r="CP188" s="72">
        <f>AM188</f>
        <v>237</v>
      </c>
      <c r="CQ188" s="72">
        <f>AQ188</f>
        <v>278</v>
      </c>
      <c r="CR188" s="72">
        <f>AU188</f>
        <v>309</v>
      </c>
      <c r="CS188" s="72">
        <f>AY188</f>
        <v>322</v>
      </c>
      <c r="CT188" s="23">
        <f>M188-K188</f>
        <v>1</v>
      </c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  <c r="ALU188" s="6"/>
      <c r="ALV188" s="6"/>
      <c r="ALW188" s="6"/>
      <c r="ALX188" s="6"/>
      <c r="ALY188" s="6"/>
      <c r="ALZ188" s="6"/>
      <c r="AMA188" s="6"/>
      <c r="AMB188" s="6"/>
      <c r="AMC188" s="6"/>
      <c r="AMD188" s="6"/>
      <c r="AME188" s="6"/>
      <c r="AMF188" s="6"/>
      <c r="AMG188" s="6"/>
      <c r="AMH188" s="6"/>
      <c r="AMI188" s="6"/>
      <c r="AMJ188" s="6"/>
      <c r="AMK188" s="6"/>
      <c r="AML188" s="6"/>
      <c r="AMM188" s="6"/>
      <c r="AMN188" s="6"/>
      <c r="AMO188" s="6"/>
      <c r="AMP188" s="6"/>
    </row>
    <row r="189" spans="1:1030" x14ac:dyDescent="0.2">
      <c r="A189" s="3" t="str">
        <f t="shared" si="249"/>
        <v>opsd_bovin_4J4Q</v>
      </c>
      <c r="B189" s="3" t="s">
        <v>920</v>
      </c>
      <c r="C189" s="3" t="s">
        <v>1044</v>
      </c>
      <c r="D189" s="3" t="str">
        <f>IFERROR(MID(VLOOKUP($B189,Seqs!$A:$B,2,0),E189,1),"")</f>
        <v>E</v>
      </c>
      <c r="E189" s="105">
        <v>33</v>
      </c>
      <c r="F189" s="3" t="str">
        <f>IFERROR(MID(VLOOKUP($B189,Seqs!$A:$B,2,0),G189,1),"")</f>
        <v>H</v>
      </c>
      <c r="G189" s="3">
        <v>65</v>
      </c>
      <c r="H189" s="3" t="str">
        <f>IFERROR(MID(VLOOKUP($B189,Seqs!$A:$B,2,0),I189,1),"")</f>
        <v>K</v>
      </c>
      <c r="I189" s="23">
        <v>66</v>
      </c>
      <c r="J189" s="3" t="str">
        <f>IFERROR(MID(VLOOKUP($B189,Seqs!$A:$B,2,0),K189,1),"")</f>
        <v>R</v>
      </c>
      <c r="K189" s="23">
        <v>69</v>
      </c>
      <c r="L189" s="3" t="str">
        <f>IFERROR(MID(VLOOKUP($B189,Seqs!$A:$B,2,0),M189,1),"")</f>
        <v>T</v>
      </c>
      <c r="M189" s="3">
        <v>70</v>
      </c>
      <c r="N189" s="3" t="str">
        <f>IFERROR(MID(VLOOKUP($B189,Seqs!$A:$B,2,0),O189,1),"")</f>
        <v>H</v>
      </c>
      <c r="O189" s="3">
        <v>100</v>
      </c>
      <c r="P189" s="3" t="str">
        <f>IFERROR(MID(VLOOKUP($B189,Seqs!$A:$B,2,0),Q189,1),"")</f>
        <v>Y</v>
      </c>
      <c r="Q189" s="3">
        <v>102</v>
      </c>
      <c r="R189" s="3" t="str">
        <f>IFERROR(MID(VLOOKUP($B189,Seqs!$A:$B,2,0),S189,1),"")</f>
        <v>F</v>
      </c>
      <c r="S189" s="3">
        <v>105</v>
      </c>
      <c r="T189" s="3" t="str">
        <f>IFERROR(MID(VLOOKUP($B189,Seqs!$A:$B,2,0),U189,1),"")</f>
        <v>G</v>
      </c>
      <c r="U189" s="3">
        <v>106</v>
      </c>
      <c r="V189" s="3" t="str">
        <f>IFERROR(MID(VLOOKUP($B189,Seqs!$A:$B,2,0),W189,1),"")</f>
        <v>K</v>
      </c>
      <c r="W189" s="3">
        <v>141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G</v>
      </c>
      <c r="AC189" s="9">
        <v>149</v>
      </c>
      <c r="AD189" s="3" t="str">
        <f>IFERROR(MID(VLOOKUP($B189,Seqs!$A:$B,2,0),AE189,1),"")</f>
        <v>V</v>
      </c>
      <c r="AE189" s="3">
        <v>173</v>
      </c>
      <c r="AF189" s="3" t="str">
        <f>IFERROR(MID(VLOOKUP($B189,Seqs!$A:$B,2,0),AG189,1),"")</f>
        <v>C</v>
      </c>
      <c r="AG189" s="3">
        <v>187</v>
      </c>
      <c r="AH189" s="3" t="str">
        <f>IFERROR(MID(VLOOKUP($B189,Seqs!$A:$B,2,0),AI189,1),"")</f>
        <v>I</v>
      </c>
      <c r="AI189" s="3">
        <v>189</v>
      </c>
      <c r="AJ189" s="3" t="str">
        <f>IFERROR(MID(VLOOKUP($B189,Seqs!$A:$B,2,0),AK189,1),"")</f>
        <v>N</v>
      </c>
      <c r="AK189" s="3">
        <v>199</v>
      </c>
      <c r="AL189" s="3" t="str">
        <f>IFERROR(MID(VLOOKUP($B189,Seqs!$A:$B,2,0),AM189,1),"")</f>
        <v>Q</v>
      </c>
      <c r="AM189" s="3">
        <v>237</v>
      </c>
      <c r="AN189" s="3" t="str">
        <f>IFERROR(MID(VLOOKUP($B189,Seqs!$A:$B,2,0),AO189,1),"")</f>
        <v>A</v>
      </c>
      <c r="AO189" s="3">
        <v>241</v>
      </c>
      <c r="AP189" s="3" t="str">
        <f>IFERROR(MID(VLOOKUP($B189,Seqs!$A:$B,2,0),AQ189,1),"")</f>
        <v>H</v>
      </c>
      <c r="AQ189" s="3">
        <v>278</v>
      </c>
      <c r="AR189" s="3" t="str">
        <f>IFERROR(MID(VLOOKUP($B189,Seqs!$A:$B,2,0),AS189,1),"")</f>
        <v>G</v>
      </c>
      <c r="AS189" s="3">
        <v>284</v>
      </c>
      <c r="AT189" s="3" t="str">
        <f>IFERROR(MID(VLOOKUP($B189,Seqs!$A:$B,2,0),AU189,1),"")</f>
        <v>M</v>
      </c>
      <c r="AU189" s="3">
        <v>309</v>
      </c>
      <c r="AV189" s="3" t="str">
        <f>IFERROR(MID(VLOOKUP($B189,Seqs!$A:$B,2,0),AW189,1),"")</f>
        <v>N</v>
      </c>
      <c r="AW189" s="3">
        <v>310</v>
      </c>
      <c r="AX189" s="3" t="str">
        <f>IFERROR(MID(VLOOKUP($B189,Seqs!$A:$B,2,0),AY189,1),"")</f>
        <v>C</v>
      </c>
      <c r="AY189" s="3">
        <v>322</v>
      </c>
      <c r="AZ189" s="77" t="str">
        <f>VLOOKUP(B189,Classification!A:D,2,0)</f>
        <v>A</v>
      </c>
      <c r="BA189" s="94" t="str">
        <f>VLOOKUP(B189,Classification!A:D,4,0)</f>
        <v>Opsins</v>
      </c>
      <c r="BB189" s="27" t="b">
        <f t="shared" si="250"/>
        <v>1</v>
      </c>
      <c r="BC189" s="23">
        <f t="shared" ref="BC189:BC240" si="307">_xlfn.AGGREGATE(9,6,CH189:CS189)-_xlfn.AGGREGATE(9,6,BV189:CG189)+12</f>
        <v>253</v>
      </c>
      <c r="BD189" s="4" t="s">
        <v>23</v>
      </c>
      <c r="BE189" s="3" t="s">
        <v>1297</v>
      </c>
      <c r="BF189" s="119">
        <v>2.65</v>
      </c>
      <c r="BG189" s="49" t="s">
        <v>1384</v>
      </c>
      <c r="BH189" s="49" t="s">
        <v>1384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ref="BV189:BV240" si="308">E189</f>
        <v>33</v>
      </c>
      <c r="BW189" s="71">
        <f t="shared" ref="BW189:BW240" si="309">I189</f>
        <v>66</v>
      </c>
      <c r="BX189" s="72">
        <f t="shared" ref="BX189:BX240" si="310">M189</f>
        <v>70</v>
      </c>
      <c r="BY189" s="71">
        <f t="shared" ref="BY189:BY240" si="311">Q189</f>
        <v>102</v>
      </c>
      <c r="BZ189" s="72">
        <f t="shared" ref="BZ189:BZ240" si="312">U189</f>
        <v>106</v>
      </c>
      <c r="CA189" s="71" t="str">
        <f t="shared" ref="CA189:CA240" si="313">Y189</f>
        <v>-</v>
      </c>
      <c r="CB189" s="72">
        <f t="shared" ref="CB189:CB240" si="314">AC189</f>
        <v>149</v>
      </c>
      <c r="CC189" s="71">
        <f t="shared" ref="CC189:CC240" si="315">AG189</f>
        <v>187</v>
      </c>
      <c r="CD189" s="72">
        <f t="shared" ref="CD189:CD240" si="316">AK189</f>
        <v>199</v>
      </c>
      <c r="CE189" s="71">
        <f t="shared" ref="CE189:CE240" si="317">AO189</f>
        <v>241</v>
      </c>
      <c r="CF189" s="72">
        <f t="shared" ref="CF189:CF240" si="318">AS189</f>
        <v>284</v>
      </c>
      <c r="CG189" s="71">
        <f t="shared" ref="CG189:CG240" si="319">AW189</f>
        <v>310</v>
      </c>
      <c r="CH189" s="70">
        <f t="shared" ref="CH189:CH240" si="320">G189</f>
        <v>65</v>
      </c>
      <c r="CI189" s="71">
        <f t="shared" ref="CI189:CI240" si="321">K189</f>
        <v>69</v>
      </c>
      <c r="CJ189" s="72">
        <f t="shared" ref="CJ189:CJ240" si="322">O189</f>
        <v>100</v>
      </c>
      <c r="CK189" s="72">
        <f t="shared" ref="CK189:CK240" si="323">S189</f>
        <v>105</v>
      </c>
      <c r="CL189" s="72">
        <f t="shared" ref="CL189:CL240" si="324">W189</f>
        <v>141</v>
      </c>
      <c r="CM189" s="72" t="str">
        <f t="shared" ref="CM189:CM240" si="325">AA189</f>
        <v>-</v>
      </c>
      <c r="CN189" s="72">
        <f t="shared" ref="CN189:CN240" si="326">AE189</f>
        <v>173</v>
      </c>
      <c r="CO189" s="72">
        <f t="shared" ref="CO189:CO240" si="327">AI189</f>
        <v>189</v>
      </c>
      <c r="CP189" s="72">
        <f t="shared" ref="CP189:CP240" si="328">AM189</f>
        <v>237</v>
      </c>
      <c r="CQ189" s="72">
        <f t="shared" ref="CQ189:CQ240" si="329">AQ189</f>
        <v>278</v>
      </c>
      <c r="CR189" s="72">
        <f t="shared" ref="CR189:CR240" si="330">AU189</f>
        <v>309</v>
      </c>
      <c r="CS189" s="72">
        <f t="shared" ref="CS189:CS240" si="331">AY189</f>
        <v>322</v>
      </c>
      <c r="CT189" s="23">
        <f t="shared" ref="CT189:CT240" si="332">M189-K189</f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 t="shared" si="249"/>
        <v>opsd_bovin_5DYS</v>
      </c>
      <c r="B190" s="3" t="s">
        <v>920</v>
      </c>
      <c r="C190" s="3" t="s">
        <v>1363</v>
      </c>
      <c r="D190" s="3" t="str">
        <f>IFERROR(MID(VLOOKUP($B190,Seqs!$A:$B,2,0),E190,1),"")</f>
        <v>E</v>
      </c>
      <c r="E190" s="105">
        <v>33</v>
      </c>
      <c r="F190" s="3" t="str">
        <f>IFERROR(MID(VLOOKUP($B190,Seqs!$A:$B,2,0),G190,1),"")</f>
        <v>H</v>
      </c>
      <c r="G190" s="3">
        <v>65</v>
      </c>
      <c r="H190" s="3" t="str">
        <f>IFERROR(MID(VLOOKUP($B190,Seqs!$A:$B,2,0),I190,1),"")</f>
        <v>K</v>
      </c>
      <c r="I190" s="23">
        <v>66</v>
      </c>
      <c r="J190" s="3" t="str">
        <f>IFERROR(MID(VLOOKUP($B190,Seqs!$A:$B,2,0),K190,1),"")</f>
        <v>R</v>
      </c>
      <c r="K190" s="23">
        <v>69</v>
      </c>
      <c r="L190" s="3" t="str">
        <f>IFERROR(MID(VLOOKUP($B190,Seqs!$A:$B,2,0),M190,1),"")</f>
        <v>T</v>
      </c>
      <c r="M190" s="3">
        <v>70</v>
      </c>
      <c r="N190" s="3" t="str">
        <f>IFERROR(MID(VLOOKUP($B190,Seqs!$A:$B,2,0),O190,1),"")</f>
        <v>H</v>
      </c>
      <c r="O190" s="3">
        <v>100</v>
      </c>
      <c r="P190" s="3" t="str">
        <f>IFERROR(MID(VLOOKUP($B190,Seqs!$A:$B,2,0),Q190,1),"")</f>
        <v>Y</v>
      </c>
      <c r="Q190" s="3">
        <v>102</v>
      </c>
      <c r="R190" s="3" t="str">
        <f>IFERROR(MID(VLOOKUP($B190,Seqs!$A:$B,2,0),S190,1),"")</f>
        <v>F</v>
      </c>
      <c r="S190" s="3">
        <v>105</v>
      </c>
      <c r="T190" s="3" t="str">
        <f>IFERROR(MID(VLOOKUP($B190,Seqs!$A:$B,2,0),U190,1),"")</f>
        <v>G</v>
      </c>
      <c r="U190" s="3">
        <v>106</v>
      </c>
      <c r="V190" s="3" t="str">
        <f>IFERROR(MID(VLOOKUP($B190,Seqs!$A:$B,2,0),W190,1),"")</f>
        <v>K</v>
      </c>
      <c r="W190" s="3">
        <v>141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G</v>
      </c>
      <c r="AC190" s="9">
        <v>149</v>
      </c>
      <c r="AD190" s="3" t="str">
        <f>IFERROR(MID(VLOOKUP($B190,Seqs!$A:$B,2,0),AE190,1),"")</f>
        <v>V</v>
      </c>
      <c r="AE190" s="3">
        <v>173</v>
      </c>
      <c r="AF190" s="3" t="str">
        <f>IFERROR(MID(VLOOKUP($B190,Seqs!$A:$B,2,0),AG190,1),"")</f>
        <v>C</v>
      </c>
      <c r="AG190" s="3">
        <v>187</v>
      </c>
      <c r="AH190" s="3" t="str">
        <f>IFERROR(MID(VLOOKUP($B190,Seqs!$A:$B,2,0),AI190,1),"")</f>
        <v>I</v>
      </c>
      <c r="AI190" s="3">
        <v>189</v>
      </c>
      <c r="AJ190" s="3" t="str">
        <f>IFERROR(MID(VLOOKUP($B190,Seqs!$A:$B,2,0),AK190,1),"")</f>
        <v>N</v>
      </c>
      <c r="AK190" s="3">
        <v>199</v>
      </c>
      <c r="AL190" s="3" t="str">
        <f>IFERROR(MID(VLOOKUP($B190,Seqs!$A:$B,2,0),AM190,1),"")</f>
        <v>Q</v>
      </c>
      <c r="AM190" s="3">
        <v>237</v>
      </c>
      <c r="AN190" s="3" t="str">
        <f>IFERROR(MID(VLOOKUP($B190,Seqs!$A:$B,2,0),AO190,1),"")</f>
        <v>A</v>
      </c>
      <c r="AO190" s="3">
        <v>241</v>
      </c>
      <c r="AP190" s="3" t="str">
        <f>IFERROR(MID(VLOOKUP($B190,Seqs!$A:$B,2,0),AQ190,1),"")</f>
        <v>H</v>
      </c>
      <c r="AQ190" s="3">
        <v>278</v>
      </c>
      <c r="AR190" s="3" t="str">
        <f>IFERROR(MID(VLOOKUP($B190,Seqs!$A:$B,2,0),AS190,1),"")</f>
        <v>G</v>
      </c>
      <c r="AS190" s="3">
        <v>284</v>
      </c>
      <c r="AT190" s="3" t="str">
        <f>IFERROR(MID(VLOOKUP($B190,Seqs!$A:$B,2,0),AU190,1),"")</f>
        <v>M</v>
      </c>
      <c r="AU190" s="3">
        <v>309</v>
      </c>
      <c r="AV190" s="3" t="str">
        <f>IFERROR(MID(VLOOKUP($B190,Seqs!$A:$B,2,0),AW190,1),"")</f>
        <v>N</v>
      </c>
      <c r="AW190" s="3">
        <v>310</v>
      </c>
      <c r="AX190" s="3" t="str">
        <f>IFERROR(MID(VLOOKUP($B190,Seqs!$A:$B,2,0),AY190,1),"")</f>
        <v>C</v>
      </c>
      <c r="AY190" s="3">
        <v>322</v>
      </c>
      <c r="AZ190" s="77" t="str">
        <f>VLOOKUP(B190,Classification!A:D,2,0)</f>
        <v>A</v>
      </c>
      <c r="BA190" s="94" t="str">
        <f>VLOOKUP(B190,Classification!A:D,4,0)</f>
        <v>Opsins</v>
      </c>
      <c r="BB190" s="27" t="b">
        <f t="shared" si="250"/>
        <v>1</v>
      </c>
      <c r="BC190" s="23">
        <f t="shared" si="307"/>
        <v>253</v>
      </c>
      <c r="BD190" s="5" t="s">
        <v>1382</v>
      </c>
      <c r="BE190" s="3" t="s">
        <v>1297</v>
      </c>
      <c r="BF190" s="119">
        <v>2.2999999999999998</v>
      </c>
      <c r="BG190" s="49" t="s">
        <v>1384</v>
      </c>
      <c r="BH190" s="49" t="s">
        <v>1384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308"/>
        <v>33</v>
      </c>
      <c r="BW190" s="71">
        <f t="shared" si="309"/>
        <v>66</v>
      </c>
      <c r="BX190" s="72">
        <f t="shared" si="310"/>
        <v>70</v>
      </c>
      <c r="BY190" s="71">
        <f t="shared" si="311"/>
        <v>102</v>
      </c>
      <c r="BZ190" s="72">
        <f t="shared" si="312"/>
        <v>106</v>
      </c>
      <c r="CA190" s="71" t="str">
        <f t="shared" si="313"/>
        <v>-</v>
      </c>
      <c r="CB190" s="72">
        <f t="shared" si="314"/>
        <v>149</v>
      </c>
      <c r="CC190" s="71">
        <f t="shared" si="315"/>
        <v>187</v>
      </c>
      <c r="CD190" s="72">
        <f t="shared" si="316"/>
        <v>199</v>
      </c>
      <c r="CE190" s="71">
        <f t="shared" si="317"/>
        <v>241</v>
      </c>
      <c r="CF190" s="72">
        <f t="shared" si="318"/>
        <v>284</v>
      </c>
      <c r="CG190" s="71">
        <f t="shared" si="319"/>
        <v>310</v>
      </c>
      <c r="CH190" s="70">
        <f t="shared" si="320"/>
        <v>65</v>
      </c>
      <c r="CI190" s="71">
        <f t="shared" si="321"/>
        <v>69</v>
      </c>
      <c r="CJ190" s="72">
        <f t="shared" si="322"/>
        <v>100</v>
      </c>
      <c r="CK190" s="72">
        <f t="shared" si="323"/>
        <v>105</v>
      </c>
      <c r="CL190" s="72">
        <f t="shared" si="324"/>
        <v>141</v>
      </c>
      <c r="CM190" s="72" t="str">
        <f t="shared" si="325"/>
        <v>-</v>
      </c>
      <c r="CN190" s="72">
        <f t="shared" si="326"/>
        <v>173</v>
      </c>
      <c r="CO190" s="72">
        <f t="shared" si="327"/>
        <v>189</v>
      </c>
      <c r="CP190" s="72">
        <f t="shared" si="328"/>
        <v>237</v>
      </c>
      <c r="CQ190" s="72">
        <f t="shared" si="329"/>
        <v>278</v>
      </c>
      <c r="CR190" s="72">
        <f t="shared" si="330"/>
        <v>309</v>
      </c>
      <c r="CS190" s="72">
        <f t="shared" si="331"/>
        <v>322</v>
      </c>
      <c r="CT190" s="23">
        <f t="shared" si="33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 t="shared" ref="A191:A254" si="333">CONCATENATE(B191,"_",C191)</f>
        <v>opsd_bovin_5EN0</v>
      </c>
      <c r="B191" s="3" t="s">
        <v>920</v>
      </c>
      <c r="C191" s="3" t="s">
        <v>1364</v>
      </c>
      <c r="D191" s="3" t="str">
        <f>IFERROR(MID(VLOOKUP($B191,Seqs!$A:$B,2,0),E191,1),"")</f>
        <v>E</v>
      </c>
      <c r="E191" s="105">
        <v>33</v>
      </c>
      <c r="F191" s="3" t="str">
        <f>IFERROR(MID(VLOOKUP($B191,Seqs!$A:$B,2,0),G191,1),"")</f>
        <v>H</v>
      </c>
      <c r="G191" s="3">
        <v>65</v>
      </c>
      <c r="H191" s="3" t="str">
        <f>IFERROR(MID(VLOOKUP($B191,Seqs!$A:$B,2,0),I191,1),"")</f>
        <v>K</v>
      </c>
      <c r="I191" s="23">
        <v>66</v>
      </c>
      <c r="J191" s="3" t="str">
        <f>IFERROR(MID(VLOOKUP($B191,Seqs!$A:$B,2,0),K191,1),"")</f>
        <v>R</v>
      </c>
      <c r="K191" s="23">
        <v>69</v>
      </c>
      <c r="L191" s="3" t="str">
        <f>IFERROR(MID(VLOOKUP($B191,Seqs!$A:$B,2,0),M191,1),"")</f>
        <v>T</v>
      </c>
      <c r="M191" s="3">
        <v>70</v>
      </c>
      <c r="N191" s="3" t="str">
        <f>IFERROR(MID(VLOOKUP($B191,Seqs!$A:$B,2,0),O191,1),"")</f>
        <v>H</v>
      </c>
      <c r="O191" s="3">
        <v>100</v>
      </c>
      <c r="P191" s="3" t="str">
        <f>IFERROR(MID(VLOOKUP($B191,Seqs!$A:$B,2,0),Q191,1),"")</f>
        <v>Y</v>
      </c>
      <c r="Q191" s="3">
        <v>102</v>
      </c>
      <c r="R191" s="3" t="str">
        <f>IFERROR(MID(VLOOKUP($B191,Seqs!$A:$B,2,0),S191,1),"")</f>
        <v>F</v>
      </c>
      <c r="S191" s="3">
        <v>105</v>
      </c>
      <c r="T191" s="3" t="str">
        <f>IFERROR(MID(VLOOKUP($B191,Seqs!$A:$B,2,0),U191,1),"")</f>
        <v>G</v>
      </c>
      <c r="U191" s="3">
        <v>106</v>
      </c>
      <c r="V191" s="3" t="str">
        <f>IFERROR(MID(VLOOKUP($B191,Seqs!$A:$B,2,0),W191,1),"")</f>
        <v>K</v>
      </c>
      <c r="W191" s="3">
        <v>141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G</v>
      </c>
      <c r="AC191" s="9">
        <v>149</v>
      </c>
      <c r="AD191" s="3" t="str">
        <f>IFERROR(MID(VLOOKUP($B191,Seqs!$A:$B,2,0),AE191,1),"")</f>
        <v>V</v>
      </c>
      <c r="AE191" s="3">
        <v>173</v>
      </c>
      <c r="AF191" s="3" t="str">
        <f>IFERROR(MID(VLOOKUP($B191,Seqs!$A:$B,2,0),AG191,1),"")</f>
        <v>C</v>
      </c>
      <c r="AG191" s="3">
        <v>187</v>
      </c>
      <c r="AH191" s="3" t="str">
        <f>IFERROR(MID(VLOOKUP($B191,Seqs!$A:$B,2,0),AI191,1),"")</f>
        <v>I</v>
      </c>
      <c r="AI191" s="3">
        <v>189</v>
      </c>
      <c r="AJ191" s="3" t="str">
        <f>IFERROR(MID(VLOOKUP($B191,Seqs!$A:$B,2,0),AK191,1),"")</f>
        <v>N</v>
      </c>
      <c r="AK191" s="3">
        <v>199</v>
      </c>
      <c r="AL191" s="3" t="str">
        <f>IFERROR(MID(VLOOKUP($B191,Seqs!$A:$B,2,0),AM191,1),"")</f>
        <v>Q</v>
      </c>
      <c r="AM191" s="3">
        <v>237</v>
      </c>
      <c r="AN191" s="3" t="str">
        <f>IFERROR(MID(VLOOKUP($B191,Seqs!$A:$B,2,0),AO191,1),"")</f>
        <v>A</v>
      </c>
      <c r="AO191" s="3">
        <v>241</v>
      </c>
      <c r="AP191" s="3" t="str">
        <f>IFERROR(MID(VLOOKUP($B191,Seqs!$A:$B,2,0),AQ191,1),"")</f>
        <v>H</v>
      </c>
      <c r="AQ191" s="3">
        <v>278</v>
      </c>
      <c r="AR191" s="3" t="str">
        <f>IFERROR(MID(VLOOKUP($B191,Seqs!$A:$B,2,0),AS191,1),"")</f>
        <v>G</v>
      </c>
      <c r="AS191" s="3">
        <v>284</v>
      </c>
      <c r="AT191" s="3" t="str">
        <f>IFERROR(MID(VLOOKUP($B191,Seqs!$A:$B,2,0),AU191,1),"")</f>
        <v>M</v>
      </c>
      <c r="AU191" s="3">
        <v>309</v>
      </c>
      <c r="AV191" s="3" t="str">
        <f>IFERROR(MID(VLOOKUP($B191,Seqs!$A:$B,2,0),AW191,1),"")</f>
        <v>N</v>
      </c>
      <c r="AW191" s="3">
        <v>310</v>
      </c>
      <c r="AX191" s="3" t="str">
        <f>IFERROR(MID(VLOOKUP($B191,Seqs!$A:$B,2,0),AY191,1),"")</f>
        <v>C</v>
      </c>
      <c r="AY191" s="3">
        <v>322</v>
      </c>
      <c r="AZ191" s="77" t="str">
        <f>VLOOKUP(B191,Classification!A:D,2,0)</f>
        <v>A</v>
      </c>
      <c r="BA191" s="94" t="str">
        <f>VLOOKUP(B191,Classification!A:D,4,0)</f>
        <v>Opsins</v>
      </c>
      <c r="BB191" s="27" t="b">
        <f t="shared" ref="BB191:BB254" si="334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 t="shared" si="307"/>
        <v>253</v>
      </c>
      <c r="BD191" s="4" t="s">
        <v>23</v>
      </c>
      <c r="BE191" s="3" t="s">
        <v>1297</v>
      </c>
      <c r="BF191" s="119">
        <v>2.81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308"/>
        <v>33</v>
      </c>
      <c r="BW191" s="71">
        <f t="shared" si="309"/>
        <v>66</v>
      </c>
      <c r="BX191" s="72">
        <f t="shared" si="310"/>
        <v>70</v>
      </c>
      <c r="BY191" s="71">
        <f t="shared" si="311"/>
        <v>102</v>
      </c>
      <c r="BZ191" s="72">
        <f t="shared" si="312"/>
        <v>106</v>
      </c>
      <c r="CA191" s="71" t="str">
        <f t="shared" si="313"/>
        <v>-</v>
      </c>
      <c r="CB191" s="72">
        <f t="shared" si="314"/>
        <v>149</v>
      </c>
      <c r="CC191" s="71">
        <f t="shared" si="315"/>
        <v>187</v>
      </c>
      <c r="CD191" s="72">
        <f t="shared" si="316"/>
        <v>199</v>
      </c>
      <c r="CE191" s="71">
        <f t="shared" si="317"/>
        <v>241</v>
      </c>
      <c r="CF191" s="72">
        <f t="shared" si="318"/>
        <v>284</v>
      </c>
      <c r="CG191" s="71">
        <f t="shared" si="319"/>
        <v>310</v>
      </c>
      <c r="CH191" s="70">
        <f t="shared" si="320"/>
        <v>65</v>
      </c>
      <c r="CI191" s="71">
        <f t="shared" si="321"/>
        <v>69</v>
      </c>
      <c r="CJ191" s="72">
        <f t="shared" si="322"/>
        <v>100</v>
      </c>
      <c r="CK191" s="72">
        <f t="shared" si="323"/>
        <v>105</v>
      </c>
      <c r="CL191" s="72">
        <f t="shared" si="324"/>
        <v>141</v>
      </c>
      <c r="CM191" s="72" t="str">
        <f t="shared" si="325"/>
        <v>-</v>
      </c>
      <c r="CN191" s="72">
        <f t="shared" si="326"/>
        <v>173</v>
      </c>
      <c r="CO191" s="72">
        <f t="shared" si="327"/>
        <v>189</v>
      </c>
      <c r="CP191" s="72">
        <f t="shared" si="328"/>
        <v>237</v>
      </c>
      <c r="CQ191" s="72">
        <f t="shared" si="329"/>
        <v>278</v>
      </c>
      <c r="CR191" s="72">
        <f t="shared" si="330"/>
        <v>309</v>
      </c>
      <c r="CS191" s="72">
        <f t="shared" si="331"/>
        <v>322</v>
      </c>
      <c r="CT191" s="23">
        <f t="shared" si="332"/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 t="shared" ref="A192:A202" si="335">CONCATENATE(B192,"_",C192)</f>
        <v>opsd_bovin_5TE3</v>
      </c>
      <c r="B192" s="3" t="s">
        <v>920</v>
      </c>
      <c r="C192" s="3" t="s">
        <v>1407</v>
      </c>
      <c r="D192" s="3" t="str">
        <f>IFERROR(MID(VLOOKUP($B192,Seqs!$A:$B,2,0),E192,1),"")</f>
        <v>E</v>
      </c>
      <c r="E192" s="105">
        <v>33</v>
      </c>
      <c r="F192" s="3" t="str">
        <f>IFERROR(MID(VLOOKUP($B192,Seqs!$A:$B,2,0),G192,1),"")</f>
        <v>H</v>
      </c>
      <c r="G192" s="3">
        <v>65</v>
      </c>
      <c r="H192" s="3" t="str">
        <f>IFERROR(MID(VLOOKUP($B192,Seqs!$A:$B,2,0),I192,1),"")</f>
        <v>K</v>
      </c>
      <c r="I192" s="23">
        <v>66</v>
      </c>
      <c r="J192" s="3" t="str">
        <f>IFERROR(MID(VLOOKUP($B192,Seqs!$A:$B,2,0),K192,1),"")</f>
        <v>R</v>
      </c>
      <c r="K192" s="23">
        <v>69</v>
      </c>
      <c r="L192" s="3" t="str">
        <f>IFERROR(MID(VLOOKUP($B192,Seqs!$A:$B,2,0),M192,1),"")</f>
        <v>T</v>
      </c>
      <c r="M192" s="3">
        <v>70</v>
      </c>
      <c r="N192" s="3" t="str">
        <f>IFERROR(MID(VLOOKUP($B192,Seqs!$A:$B,2,0),O192,1),"")</f>
        <v>H</v>
      </c>
      <c r="O192" s="3">
        <v>100</v>
      </c>
      <c r="P192" s="3" t="str">
        <f>IFERROR(MID(VLOOKUP($B192,Seqs!$A:$B,2,0),Q192,1),"")</f>
        <v>Y</v>
      </c>
      <c r="Q192" s="3">
        <v>102</v>
      </c>
      <c r="R192" s="3" t="str">
        <f>IFERROR(MID(VLOOKUP($B192,Seqs!$A:$B,2,0),S192,1),"")</f>
        <v>F</v>
      </c>
      <c r="S192" s="3">
        <v>105</v>
      </c>
      <c r="T192" s="3" t="str">
        <f>IFERROR(MID(VLOOKUP($B192,Seqs!$A:$B,2,0),U192,1),"")</f>
        <v>G</v>
      </c>
      <c r="U192" s="3">
        <v>106</v>
      </c>
      <c r="V192" s="3" t="str">
        <f>IFERROR(MID(VLOOKUP($B192,Seqs!$A:$B,2,0),W192,1),"")</f>
        <v>K</v>
      </c>
      <c r="W192" s="3">
        <v>141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G</v>
      </c>
      <c r="AC192" s="3">
        <v>149</v>
      </c>
      <c r="AD192" s="3" t="str">
        <f>IFERROR(MID(VLOOKUP($B192,Seqs!$A:$B,2,0),AE192,1),"")</f>
        <v>V</v>
      </c>
      <c r="AE192" s="3">
        <v>173</v>
      </c>
      <c r="AF192" s="3" t="str">
        <f>IFERROR(MID(VLOOKUP($B192,Seqs!$A:$B,2,0),AG192,1),"")</f>
        <v>C</v>
      </c>
      <c r="AG192" s="3">
        <v>187</v>
      </c>
      <c r="AH192" s="3" t="str">
        <f>IFERROR(MID(VLOOKUP($B192,Seqs!$A:$B,2,0),AI192,1),"")</f>
        <v>I</v>
      </c>
      <c r="AI192" s="3">
        <v>189</v>
      </c>
      <c r="AJ192" s="3" t="str">
        <f>IFERROR(MID(VLOOKUP($B192,Seqs!$A:$B,2,0),AK192,1),"")</f>
        <v>N</v>
      </c>
      <c r="AK192" s="3">
        <v>199</v>
      </c>
      <c r="AL192" s="3" t="str">
        <f>IFERROR(MID(VLOOKUP($B192,Seqs!$A:$B,2,0),AM192,1),"")</f>
        <v>Q</v>
      </c>
      <c r="AM192" s="3">
        <v>237</v>
      </c>
      <c r="AN192" s="3" t="str">
        <f>IFERROR(MID(VLOOKUP($B192,Seqs!$A:$B,2,0),AO192,1),"")</f>
        <v>A</v>
      </c>
      <c r="AO192" s="3">
        <v>241</v>
      </c>
      <c r="AP192" s="3" t="str">
        <f>IFERROR(MID(VLOOKUP($B192,Seqs!$A:$B,2,0),AQ192,1),"")</f>
        <v>H</v>
      </c>
      <c r="AQ192" s="3">
        <v>278</v>
      </c>
      <c r="AR192" s="3" t="str">
        <f>IFERROR(MID(VLOOKUP($B192,Seqs!$A:$B,2,0),AS192,1),"")</f>
        <v>G</v>
      </c>
      <c r="AS192" s="3">
        <v>284</v>
      </c>
      <c r="AT192" s="3" t="str">
        <f>IFERROR(MID(VLOOKUP($B192,Seqs!$A:$B,2,0),AU192,1),"")</f>
        <v>M</v>
      </c>
      <c r="AU192" s="3">
        <v>309</v>
      </c>
      <c r="AV192" s="3" t="str">
        <f>IFERROR(MID(VLOOKUP($B192,Seqs!$A:$B,2,0),AW192,1),"")</f>
        <v>N</v>
      </c>
      <c r="AW192" s="3">
        <v>310</v>
      </c>
      <c r="AX192" s="3" t="str">
        <f>IFERROR(MID(VLOOKUP($B192,Seqs!$A:$B,2,0),AY192,1),"")</f>
        <v>C</v>
      </c>
      <c r="AY192" s="3">
        <v>322</v>
      </c>
      <c r="AZ192" s="77" t="str">
        <f>VLOOKUP(B192,Classification!A:D,2,0)</f>
        <v>A</v>
      </c>
      <c r="BA192" s="94" t="str">
        <f>VLOOKUP(B192,Classification!A:D,4,0)</f>
        <v>Opsins</v>
      </c>
      <c r="BB192" s="27" t="b">
        <f t="shared" ref="BB192:BB202" si="336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 t="shared" ref="BC192:BC202" si="337">_xlfn.AGGREGATE(9,6,CH192:CS192)-_xlfn.AGGREGATE(9,6,BV192:CG192)+12</f>
        <v>253</v>
      </c>
      <c r="BD192" s="2" t="s">
        <v>23</v>
      </c>
      <c r="BE192" s="3" t="s">
        <v>1297</v>
      </c>
      <c r="BF192" s="119">
        <v>2.7</v>
      </c>
      <c r="BG192" s="49" t="s">
        <v>1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ref="BV192:BV202" si="338">E192</f>
        <v>33</v>
      </c>
      <c r="BW192" s="71">
        <f t="shared" ref="BW192:BW202" si="339">I192</f>
        <v>66</v>
      </c>
      <c r="BX192" s="72">
        <f t="shared" ref="BX192:BX202" si="340">M192</f>
        <v>70</v>
      </c>
      <c r="BY192" s="71">
        <f t="shared" ref="BY192:BY202" si="341">Q192</f>
        <v>102</v>
      </c>
      <c r="BZ192" s="72">
        <f t="shared" ref="BZ192:BZ202" si="342">U192</f>
        <v>106</v>
      </c>
      <c r="CA192" s="71" t="str">
        <f t="shared" ref="CA192:CA202" si="343">Y192</f>
        <v>-</v>
      </c>
      <c r="CB192" s="72">
        <f t="shared" ref="CB192:CB202" si="344">AC192</f>
        <v>149</v>
      </c>
      <c r="CC192" s="71">
        <f t="shared" ref="CC192:CC202" si="345">AG192</f>
        <v>187</v>
      </c>
      <c r="CD192" s="72">
        <f t="shared" ref="CD192:CD202" si="346">AK192</f>
        <v>199</v>
      </c>
      <c r="CE192" s="71">
        <f t="shared" ref="CE192:CE202" si="347">AO192</f>
        <v>241</v>
      </c>
      <c r="CF192" s="72">
        <f t="shared" ref="CF192:CF202" si="348">AS192</f>
        <v>284</v>
      </c>
      <c r="CG192" s="71">
        <f t="shared" ref="CG192:CG202" si="349">AW192</f>
        <v>310</v>
      </c>
      <c r="CH192" s="70">
        <f t="shared" ref="CH192:CH202" si="350">G192</f>
        <v>65</v>
      </c>
      <c r="CI192" s="71">
        <f t="shared" ref="CI192:CI202" si="351">K192</f>
        <v>69</v>
      </c>
      <c r="CJ192" s="72">
        <f t="shared" ref="CJ192:CJ202" si="352">O192</f>
        <v>100</v>
      </c>
      <c r="CK192" s="72">
        <f t="shared" ref="CK192:CK202" si="353">S192</f>
        <v>105</v>
      </c>
      <c r="CL192" s="72">
        <f t="shared" ref="CL192:CL202" si="354">W192</f>
        <v>141</v>
      </c>
      <c r="CM192" s="72" t="str">
        <f t="shared" ref="CM192:CM202" si="355">AA192</f>
        <v>-</v>
      </c>
      <c r="CN192" s="72">
        <f t="shared" ref="CN192:CN202" si="356">AE192</f>
        <v>173</v>
      </c>
      <c r="CO192" s="72">
        <f t="shared" ref="CO192:CO202" si="357">AI192</f>
        <v>189</v>
      </c>
      <c r="CP192" s="72">
        <f t="shared" ref="CP192:CP202" si="358">AM192</f>
        <v>237</v>
      </c>
      <c r="CQ192" s="72">
        <f t="shared" ref="CQ192:CQ202" si="359">AQ192</f>
        <v>278</v>
      </c>
      <c r="CR192" s="72">
        <f t="shared" ref="CR192:CR202" si="360">AU192</f>
        <v>309</v>
      </c>
      <c r="CS192" s="72">
        <f t="shared" ref="CS192:CS202" si="361">AY192</f>
        <v>322</v>
      </c>
      <c r="CT192" s="23">
        <f t="shared" ref="CT192:CT202" si="362">M192-K192</f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3" t="str">
        <f t="shared" si="335"/>
        <v>opsd_bovin_5TE5</v>
      </c>
      <c r="B193" s="3" t="s">
        <v>920</v>
      </c>
      <c r="C193" s="3" t="s">
        <v>1408</v>
      </c>
      <c r="D193" s="3" t="str">
        <f>IFERROR(MID(VLOOKUP($B193,Seqs!$A:$B,2,0),E193,1),"")</f>
        <v>Q</v>
      </c>
      <c r="E193" s="3">
        <v>36</v>
      </c>
      <c r="F193" s="3" t="str">
        <f>IFERROR(MID(VLOOKUP($B193,Seqs!$A:$B,2,0),G193,1),"")</f>
        <v>H</v>
      </c>
      <c r="G193" s="3">
        <v>65</v>
      </c>
      <c r="H193" s="3" t="str">
        <f>IFERROR(MID(VLOOKUP($B193,Seqs!$A:$B,2,0),I193,1),"")</f>
        <v>K</v>
      </c>
      <c r="I193" s="23">
        <v>66</v>
      </c>
      <c r="J193" s="3" t="str">
        <f>IFERROR(MID(VLOOKUP($B193,Seqs!$A:$B,2,0),K193,1),"")</f>
        <v>R</v>
      </c>
      <c r="K193" s="23">
        <v>69</v>
      </c>
      <c r="L193" s="3" t="str">
        <f>IFERROR(MID(VLOOKUP($B193,Seqs!$A:$B,2,0),M193,1),"")</f>
        <v>T</v>
      </c>
      <c r="M193" s="3">
        <v>70</v>
      </c>
      <c r="N193" s="3" t="str">
        <f>IFERROR(MID(VLOOKUP($B193,Seqs!$A:$B,2,0),O193,1),"")</f>
        <v>G</v>
      </c>
      <c r="O193" s="3">
        <v>101</v>
      </c>
      <c r="P193" s="3" t="str">
        <f>IFERROR(MID(VLOOKUP($B193,Seqs!$A:$B,2,0),Q193,1),"")</f>
        <v>Y</v>
      </c>
      <c r="Q193" s="3">
        <v>102</v>
      </c>
      <c r="R193" s="3" t="str">
        <f>IFERROR(MID(VLOOKUP($B193,Seqs!$A:$B,2,0),S193,1),"")</f>
        <v>F</v>
      </c>
      <c r="S193" s="3">
        <v>105</v>
      </c>
      <c r="T193" s="3" t="str">
        <f>IFERROR(MID(VLOOKUP($B193,Seqs!$A:$B,2,0),U193,1),"")</f>
        <v>G</v>
      </c>
      <c r="U193" s="3">
        <v>106</v>
      </c>
      <c r="V193" s="3" t="str">
        <f>IFERROR(MID(VLOOKUP($B193,Seqs!$A:$B,2,0),W193,1),"")</f>
        <v>K</v>
      </c>
      <c r="W193" s="3">
        <v>141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G</v>
      </c>
      <c r="AC193" s="3">
        <v>149</v>
      </c>
      <c r="AD193" s="3" t="str">
        <f>IFERROR(MID(VLOOKUP($B193,Seqs!$A:$B,2,0),AE193,1),"")</f>
        <v>V</v>
      </c>
      <c r="AE193" s="3">
        <v>173</v>
      </c>
      <c r="AF193" s="3" t="str">
        <f>IFERROR(MID(VLOOKUP($B193,Seqs!$A:$B,2,0),AG193,1),"")</f>
        <v>C</v>
      </c>
      <c r="AG193" s="3">
        <v>187</v>
      </c>
      <c r="AH193" s="3" t="str">
        <f>IFERROR(MID(VLOOKUP($B193,Seqs!$A:$B,2,0),AI193,1),"")</f>
        <v>I</v>
      </c>
      <c r="AI193" s="3">
        <v>189</v>
      </c>
      <c r="AJ193" s="3" t="str">
        <f>IFERROR(MID(VLOOKUP($B193,Seqs!$A:$B,2,0),AK193,1),"")</f>
        <v>S</v>
      </c>
      <c r="AK193" s="3">
        <v>202</v>
      </c>
      <c r="AL193" s="3" t="str">
        <f>IFERROR(MID(VLOOKUP($B193,Seqs!$A:$B,2,0),AM193,1),"")</f>
        <v>L</v>
      </c>
      <c r="AM193" s="3">
        <v>226</v>
      </c>
      <c r="AN193" s="3" t="str">
        <f>IFERROR(MID(VLOOKUP($B193,Seqs!$A:$B,2,0),AO193,1),"")</f>
        <v>T</v>
      </c>
      <c r="AO193" s="3">
        <v>243</v>
      </c>
      <c r="AP193" s="3" t="str">
        <f>IFERROR(MID(VLOOKUP($B193,Seqs!$A:$B,2,0),AQ193,1),"")</f>
        <v>H</v>
      </c>
      <c r="AQ193" s="3">
        <v>278</v>
      </c>
      <c r="AR193" s="3" t="str">
        <f>IFERROR(MID(VLOOKUP($B193,Seqs!$A:$B,2,0),AS193,1),"")</f>
        <v>P</v>
      </c>
      <c r="AS193" s="3">
        <v>285</v>
      </c>
      <c r="AT193" s="3" t="str">
        <f>IFERROR(MID(VLOOKUP($B193,Seqs!$A:$B,2,0),AU193,1),"")</f>
        <v>M</v>
      </c>
      <c r="AU193" s="3">
        <v>309</v>
      </c>
      <c r="AV193" s="3" t="str">
        <f>IFERROR(MID(VLOOKUP($B193,Seqs!$A:$B,2,0),AW193,1),"")</f>
        <v>N</v>
      </c>
      <c r="AW193" s="3">
        <v>310</v>
      </c>
      <c r="AX193" s="3" t="str">
        <f>IFERROR(MID(VLOOKUP($B193,Seqs!$A:$B,2,0),AY193,1),"")</f>
        <v>C</v>
      </c>
      <c r="AY193" s="3">
        <v>323</v>
      </c>
      <c r="AZ193" s="77" t="str">
        <f>VLOOKUP(B193,Classification!A:D,2,0)</f>
        <v>A</v>
      </c>
      <c r="BA193" s="94" t="str">
        <f>VLOOKUP(B193,Classification!A:D,4,0)</f>
        <v>Opsins</v>
      </c>
      <c r="BB193" s="27" t="b">
        <f t="shared" si="336"/>
        <v>1</v>
      </c>
      <c r="BC193" s="23">
        <f t="shared" si="337"/>
        <v>235</v>
      </c>
      <c r="BD193" s="2" t="s">
        <v>23</v>
      </c>
      <c r="BE193" s="3" t="s">
        <v>1381</v>
      </c>
      <c r="BF193" s="119">
        <v>4.01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338"/>
        <v>36</v>
      </c>
      <c r="BW193" s="71">
        <f t="shared" si="339"/>
        <v>66</v>
      </c>
      <c r="BX193" s="72">
        <f t="shared" si="340"/>
        <v>70</v>
      </c>
      <c r="BY193" s="71">
        <f t="shared" si="341"/>
        <v>102</v>
      </c>
      <c r="BZ193" s="72">
        <f t="shared" si="342"/>
        <v>106</v>
      </c>
      <c r="CA193" s="71" t="str">
        <f t="shared" si="343"/>
        <v>-</v>
      </c>
      <c r="CB193" s="72">
        <f t="shared" si="344"/>
        <v>149</v>
      </c>
      <c r="CC193" s="71">
        <f t="shared" si="345"/>
        <v>187</v>
      </c>
      <c r="CD193" s="72">
        <f t="shared" si="346"/>
        <v>202</v>
      </c>
      <c r="CE193" s="71">
        <f t="shared" si="347"/>
        <v>243</v>
      </c>
      <c r="CF193" s="72">
        <f t="shared" si="348"/>
        <v>285</v>
      </c>
      <c r="CG193" s="71">
        <f t="shared" si="349"/>
        <v>310</v>
      </c>
      <c r="CH193" s="70">
        <f t="shared" si="350"/>
        <v>65</v>
      </c>
      <c r="CI193" s="71">
        <f t="shared" si="351"/>
        <v>69</v>
      </c>
      <c r="CJ193" s="72">
        <f t="shared" si="352"/>
        <v>101</v>
      </c>
      <c r="CK193" s="72">
        <f t="shared" si="353"/>
        <v>105</v>
      </c>
      <c r="CL193" s="72">
        <f t="shared" si="354"/>
        <v>141</v>
      </c>
      <c r="CM193" s="72" t="str">
        <f t="shared" si="355"/>
        <v>-</v>
      </c>
      <c r="CN193" s="72">
        <f t="shared" si="356"/>
        <v>173</v>
      </c>
      <c r="CO193" s="72">
        <f t="shared" si="357"/>
        <v>189</v>
      </c>
      <c r="CP193" s="72">
        <f t="shared" si="358"/>
        <v>226</v>
      </c>
      <c r="CQ193" s="72">
        <f t="shared" si="359"/>
        <v>278</v>
      </c>
      <c r="CR193" s="72">
        <f t="shared" si="360"/>
        <v>309</v>
      </c>
      <c r="CS193" s="72">
        <f t="shared" si="361"/>
        <v>323</v>
      </c>
      <c r="CT193" s="23">
        <f t="shared" si="362"/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3" t="str">
        <f t="shared" si="335"/>
        <v>opsd_bovin_5WKT</v>
      </c>
      <c r="B194" s="3" t="s">
        <v>920</v>
      </c>
      <c r="C194" s="3" t="s">
        <v>1462</v>
      </c>
      <c r="D194" s="3" t="str">
        <f>IFERROR(MID(VLOOKUP($B194,Seqs!$A:$B,2,0),E194,1),"")</f>
        <v>E</v>
      </c>
      <c r="E194" s="3">
        <v>33</v>
      </c>
      <c r="F194" s="3" t="str">
        <f>IFERROR(MID(VLOOKUP($B194,Seqs!$A:$B,2,0),G194,1),"")</f>
        <v>Q</v>
      </c>
      <c r="G194" s="3">
        <v>64</v>
      </c>
      <c r="H194" s="3" t="str">
        <f>IFERROR(MID(VLOOKUP($B194,Seqs!$A:$B,2,0),I194,1),"")</f>
        <v>K</v>
      </c>
      <c r="I194" s="23">
        <v>66</v>
      </c>
      <c r="J194" s="3" t="str">
        <f>IFERROR(MID(VLOOKUP($B194,Seqs!$A:$B,2,0),K194,1),"")</f>
        <v>R</v>
      </c>
      <c r="K194" s="23">
        <v>69</v>
      </c>
      <c r="L194" s="3" t="str">
        <f>IFERROR(MID(VLOOKUP($B194,Seqs!$A:$B,2,0),M194,1),"")</f>
        <v>N</v>
      </c>
      <c r="M194" s="3">
        <v>73</v>
      </c>
      <c r="N194" s="3" t="str">
        <f>IFERROR(MID(VLOOKUP($B194,Seqs!$A:$B,2,0),O194,1),"")</f>
        <v>G</v>
      </c>
      <c r="O194" s="3">
        <v>101</v>
      </c>
      <c r="P194" s="3" t="str">
        <f>IFERROR(MID(VLOOKUP($B194,Seqs!$A:$B,2,0),Q194,1),"")</f>
        <v>Y</v>
      </c>
      <c r="Q194" s="3">
        <v>102</v>
      </c>
      <c r="R194" s="3" t="str">
        <f>IFERROR(MID(VLOOKUP($B194,Seqs!$A:$B,2,0),S194,1),"")</f>
        <v>G</v>
      </c>
      <c r="S194" s="3">
        <v>106</v>
      </c>
      <c r="T194" s="3" t="str">
        <f>IFERROR(MID(VLOOKUP($B194,Seqs!$A:$B,2,0),U194,1),"")</f>
        <v>P</v>
      </c>
      <c r="U194" s="3">
        <v>107</v>
      </c>
      <c r="V194" s="3" t="str">
        <f>IFERROR(MID(VLOOKUP($B194,Seqs!$A:$B,2,0),W194,1),"")</f>
        <v>K</v>
      </c>
      <c r="W194" s="3">
        <v>141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G</v>
      </c>
      <c r="AC194" s="3">
        <v>149</v>
      </c>
      <c r="AD194" s="3" t="str">
        <f>IFERROR(MID(VLOOKUP($B194,Seqs!$A:$B,2,0),AE194,1),"")</f>
        <v>V</v>
      </c>
      <c r="AE194" s="3">
        <v>173</v>
      </c>
      <c r="AF194" s="3" t="str">
        <f>IFERROR(MID(VLOOKUP($B194,Seqs!$A:$B,2,0),AG194,1),"")</f>
        <v>C</v>
      </c>
      <c r="AG194" s="3">
        <v>187</v>
      </c>
      <c r="AH194" s="3" t="str">
        <f>IFERROR(MID(VLOOKUP($B194,Seqs!$A:$B,2,0),AI194,1),"")</f>
        <v>I</v>
      </c>
      <c r="AI194" s="3">
        <v>189</v>
      </c>
      <c r="AJ194" s="3" t="str">
        <f>IFERROR(MID(VLOOKUP($B194,Seqs!$A:$B,2,0),AK194,1),"")</f>
        <v>N</v>
      </c>
      <c r="AK194" s="3">
        <v>199</v>
      </c>
      <c r="AL194" s="3" t="str">
        <f>IFERROR(MID(VLOOKUP($B194,Seqs!$A:$B,2,0),AM194,1),"")</f>
        <v>Q</v>
      </c>
      <c r="AM194" s="3">
        <v>236</v>
      </c>
      <c r="AN194" s="3" t="str">
        <f>IFERROR(MID(VLOOKUP($B194,Seqs!$A:$B,2,0),AO194,1),"")</f>
        <v>S</v>
      </c>
      <c r="AO194" s="3">
        <v>240</v>
      </c>
      <c r="AP194" s="3" t="str">
        <f>IFERROR(MID(VLOOKUP($B194,Seqs!$A:$B,2,0),AQ194,1),"")</f>
        <v>H</v>
      </c>
      <c r="AQ194" s="3">
        <v>278</v>
      </c>
      <c r="AR194" s="3" t="str">
        <f>IFERROR(MID(VLOOKUP($B194,Seqs!$A:$B,2,0),AS194,1),"")</f>
        <v>G</v>
      </c>
      <c r="AS194" s="3">
        <v>284</v>
      </c>
      <c r="AT194" s="3" t="str">
        <f>IFERROR(MID(VLOOKUP($B194,Seqs!$A:$B,2,0),AU194,1),"")</f>
        <v>M</v>
      </c>
      <c r="AU194" s="3">
        <v>309</v>
      </c>
      <c r="AV194" s="3" t="str">
        <f>IFERROR(MID(VLOOKUP($B194,Seqs!$A:$B,2,0),AW194,1),"")</f>
        <v>N</v>
      </c>
      <c r="AW194" s="3">
        <v>310</v>
      </c>
      <c r="AX194" s="3" t="str">
        <f>IFERROR(MID(VLOOKUP($B194,Seqs!$A:$B,2,0),AY194,1),"")</f>
        <v>C</v>
      </c>
      <c r="AY194" s="3">
        <v>322</v>
      </c>
      <c r="AZ194" s="77" t="str">
        <f>VLOOKUP(B194,Classification!A:D,2,0)</f>
        <v>A</v>
      </c>
      <c r="BA194" s="94" t="str">
        <f>VLOOKUP(B194,Classification!A:D,4,0)</f>
        <v>Opsins</v>
      </c>
      <c r="BB194" s="27" t="b">
        <f t="shared" si="336"/>
        <v>1</v>
      </c>
      <c r="BC194" s="23">
        <f t="shared" si="337"/>
        <v>250</v>
      </c>
      <c r="BD194" s="2" t="s">
        <v>23</v>
      </c>
      <c r="BE194" s="3" t="s">
        <v>1297</v>
      </c>
      <c r="BF194" s="119">
        <v>3.2</v>
      </c>
      <c r="BG194" s="49" t="s">
        <v>1</v>
      </c>
      <c r="BH194" s="49" t="s">
        <v>1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338"/>
        <v>33</v>
      </c>
      <c r="BW194" s="71">
        <f t="shared" si="339"/>
        <v>66</v>
      </c>
      <c r="BX194" s="72">
        <f t="shared" si="340"/>
        <v>73</v>
      </c>
      <c r="BY194" s="71">
        <f t="shared" si="341"/>
        <v>102</v>
      </c>
      <c r="BZ194" s="72">
        <f t="shared" si="342"/>
        <v>107</v>
      </c>
      <c r="CA194" s="71" t="str">
        <f t="shared" si="343"/>
        <v>-</v>
      </c>
      <c r="CB194" s="72">
        <f t="shared" si="344"/>
        <v>149</v>
      </c>
      <c r="CC194" s="71">
        <f t="shared" si="345"/>
        <v>187</v>
      </c>
      <c r="CD194" s="72">
        <f t="shared" si="346"/>
        <v>199</v>
      </c>
      <c r="CE194" s="71">
        <f t="shared" si="347"/>
        <v>240</v>
      </c>
      <c r="CF194" s="72">
        <f t="shared" si="348"/>
        <v>284</v>
      </c>
      <c r="CG194" s="71">
        <f t="shared" si="349"/>
        <v>310</v>
      </c>
      <c r="CH194" s="70">
        <f t="shared" si="350"/>
        <v>64</v>
      </c>
      <c r="CI194" s="71">
        <f t="shared" si="351"/>
        <v>69</v>
      </c>
      <c r="CJ194" s="72">
        <f t="shared" si="352"/>
        <v>101</v>
      </c>
      <c r="CK194" s="72">
        <f t="shared" si="353"/>
        <v>106</v>
      </c>
      <c r="CL194" s="72">
        <f t="shared" si="354"/>
        <v>141</v>
      </c>
      <c r="CM194" s="72" t="str">
        <f t="shared" si="355"/>
        <v>-</v>
      </c>
      <c r="CN194" s="72">
        <f t="shared" si="356"/>
        <v>173</v>
      </c>
      <c r="CO194" s="72">
        <f t="shared" si="357"/>
        <v>189</v>
      </c>
      <c r="CP194" s="72">
        <f t="shared" si="358"/>
        <v>236</v>
      </c>
      <c r="CQ194" s="72">
        <f t="shared" si="359"/>
        <v>278</v>
      </c>
      <c r="CR194" s="72">
        <f t="shared" si="360"/>
        <v>309</v>
      </c>
      <c r="CS194" s="72">
        <f t="shared" si="361"/>
        <v>322</v>
      </c>
      <c r="CT194" s="23">
        <f t="shared" si="362"/>
        <v>4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3" t="str">
        <f t="shared" si="335"/>
        <v>opsd_bovin_6FK6</v>
      </c>
      <c r="B195" s="3" t="s">
        <v>920</v>
      </c>
      <c r="C195" s="3" t="s">
        <v>1495</v>
      </c>
      <c r="D195" s="3" t="str">
        <f>IFERROR(MID(VLOOKUP($B195,Seqs!$A:$B,2,0),E195,1),"")</f>
        <v>E</v>
      </c>
      <c r="E195" s="3">
        <v>33</v>
      </c>
      <c r="F195" s="3" t="str">
        <f>IFERROR(MID(VLOOKUP($B195,Seqs!$A:$B,2,0),G195,1),"")</f>
        <v>Q</v>
      </c>
      <c r="G195" s="3">
        <v>64</v>
      </c>
      <c r="H195" s="3" t="str">
        <f>IFERROR(MID(VLOOKUP($B195,Seqs!$A:$B,2,0),I195,1),"")</f>
        <v>K</v>
      </c>
      <c r="I195" s="23">
        <v>66</v>
      </c>
      <c r="J195" s="3" t="str">
        <f>IFERROR(MID(VLOOKUP($B195,Seqs!$A:$B,2,0),K195,1),"")</f>
        <v>R</v>
      </c>
      <c r="K195" s="23">
        <v>69</v>
      </c>
      <c r="L195" s="3" t="str">
        <f>IFERROR(MID(VLOOKUP($B195,Seqs!$A:$B,2,0),M195,1),"")</f>
        <v>N</v>
      </c>
      <c r="M195" s="3">
        <v>73</v>
      </c>
      <c r="N195" s="3" t="str">
        <f>IFERROR(MID(VLOOKUP($B195,Seqs!$A:$B,2,0),O195,1),"")</f>
        <v>G</v>
      </c>
      <c r="O195" s="3">
        <v>101</v>
      </c>
      <c r="P195" s="3" t="str">
        <f>IFERROR(MID(VLOOKUP($B195,Seqs!$A:$B,2,0),Q195,1),"")</f>
        <v>Y</v>
      </c>
      <c r="Q195" s="3">
        <v>102</v>
      </c>
      <c r="R195" s="3" t="str">
        <f>IFERROR(MID(VLOOKUP($B195,Seqs!$A:$B,2,0),S195,1),"")</f>
        <v>G</v>
      </c>
      <c r="S195" s="3">
        <v>106</v>
      </c>
      <c r="T195" s="3" t="str">
        <f>IFERROR(MID(VLOOKUP($B195,Seqs!$A:$B,2,0),U195,1),"")</f>
        <v>P</v>
      </c>
      <c r="U195" s="3">
        <v>107</v>
      </c>
      <c r="V195" s="3" t="str">
        <f>IFERROR(MID(VLOOKUP($B195,Seqs!$A:$B,2,0),W195,1),"")</f>
        <v>K</v>
      </c>
      <c r="W195" s="3">
        <v>141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G</v>
      </c>
      <c r="AC195" s="3">
        <v>149</v>
      </c>
      <c r="AD195" s="3" t="str">
        <f>IFERROR(MID(VLOOKUP($B195,Seqs!$A:$B,2,0),AE195,1),"")</f>
        <v>V</v>
      </c>
      <c r="AE195" s="3">
        <v>173</v>
      </c>
      <c r="AF195" s="3" t="str">
        <f>IFERROR(MID(VLOOKUP($B195,Seqs!$A:$B,2,0),AG195,1),"")</f>
        <v>C</v>
      </c>
      <c r="AG195" s="3">
        <v>187</v>
      </c>
      <c r="AH195" s="3" t="str">
        <f>IFERROR(MID(VLOOKUP($B195,Seqs!$A:$B,2,0),AI195,1),"")</f>
        <v>I</v>
      </c>
      <c r="AI195" s="3">
        <v>189</v>
      </c>
      <c r="AJ195" s="3" t="str">
        <f>IFERROR(MID(VLOOKUP($B195,Seqs!$A:$B,2,0),AK195,1),"")</f>
        <v>N</v>
      </c>
      <c r="AK195" s="3">
        <v>199</v>
      </c>
      <c r="AL195" s="3" t="str">
        <f>IFERROR(MID(VLOOKUP($B195,Seqs!$A:$B,2,0),AM195,1),"")</f>
        <v>Q</v>
      </c>
      <c r="AM195" s="3">
        <v>236</v>
      </c>
      <c r="AN195" s="3" t="str">
        <f>IFERROR(MID(VLOOKUP($B195,Seqs!$A:$B,2,0),AO195,1),"")</f>
        <v>S</v>
      </c>
      <c r="AO195" s="3">
        <v>240</v>
      </c>
      <c r="AP195" s="3" t="str">
        <f>IFERROR(MID(VLOOKUP($B195,Seqs!$A:$B,2,0),AQ195,1),"")</f>
        <v>H</v>
      </c>
      <c r="AQ195" s="3">
        <v>278</v>
      </c>
      <c r="AR195" s="3" t="str">
        <f>IFERROR(MID(VLOOKUP($B195,Seqs!$A:$B,2,0),AS195,1),"")</f>
        <v>G</v>
      </c>
      <c r="AS195" s="3">
        <v>284</v>
      </c>
      <c r="AT195" s="3" t="str">
        <f>IFERROR(MID(VLOOKUP($B195,Seqs!$A:$B,2,0),AU195,1),"")</f>
        <v>M</v>
      </c>
      <c r="AU195" s="3">
        <v>309</v>
      </c>
      <c r="AV195" s="3" t="str">
        <f>IFERROR(MID(VLOOKUP($B195,Seqs!$A:$B,2,0),AW195,1),"")</f>
        <v>N</v>
      </c>
      <c r="AW195" s="3">
        <v>310</v>
      </c>
      <c r="AX195" s="3" t="str">
        <f>IFERROR(MID(VLOOKUP($B195,Seqs!$A:$B,2,0),AY195,1),"")</f>
        <v>C</v>
      </c>
      <c r="AY195" s="3">
        <v>322</v>
      </c>
      <c r="AZ195" s="77" t="str">
        <f>VLOOKUP(B195,Classification!A:D,2,0)</f>
        <v>A</v>
      </c>
      <c r="BA195" s="94" t="str">
        <f>VLOOKUP(B195,Classification!A:D,4,0)</f>
        <v>Opsins</v>
      </c>
      <c r="BB195" s="27" t="b">
        <f t="shared" si="336"/>
        <v>1</v>
      </c>
      <c r="BC195" s="23">
        <f t="shared" si="337"/>
        <v>250</v>
      </c>
      <c r="BD195" s="2" t="s">
        <v>23</v>
      </c>
      <c r="BE195" s="3" t="s">
        <v>1297</v>
      </c>
      <c r="BF195" s="119">
        <v>2.36</v>
      </c>
      <c r="BG195" s="49" t="s">
        <v>1</v>
      </c>
      <c r="BH195" s="49" t="s">
        <v>1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 t="shared" si="338"/>
        <v>33</v>
      </c>
      <c r="BW195" s="71">
        <f t="shared" si="339"/>
        <v>66</v>
      </c>
      <c r="BX195" s="72">
        <f t="shared" si="340"/>
        <v>73</v>
      </c>
      <c r="BY195" s="71">
        <f t="shared" si="341"/>
        <v>102</v>
      </c>
      <c r="BZ195" s="72">
        <f t="shared" si="342"/>
        <v>107</v>
      </c>
      <c r="CA195" s="71" t="str">
        <f t="shared" si="343"/>
        <v>-</v>
      </c>
      <c r="CB195" s="72">
        <f t="shared" si="344"/>
        <v>149</v>
      </c>
      <c r="CC195" s="71">
        <f t="shared" si="345"/>
        <v>187</v>
      </c>
      <c r="CD195" s="72">
        <f t="shared" si="346"/>
        <v>199</v>
      </c>
      <c r="CE195" s="71">
        <f t="shared" si="347"/>
        <v>240</v>
      </c>
      <c r="CF195" s="72">
        <f t="shared" si="348"/>
        <v>284</v>
      </c>
      <c r="CG195" s="71">
        <f t="shared" si="349"/>
        <v>310</v>
      </c>
      <c r="CH195" s="70">
        <f t="shared" si="350"/>
        <v>64</v>
      </c>
      <c r="CI195" s="71">
        <f t="shared" si="351"/>
        <v>69</v>
      </c>
      <c r="CJ195" s="72">
        <f t="shared" si="352"/>
        <v>101</v>
      </c>
      <c r="CK195" s="72">
        <f t="shared" si="353"/>
        <v>106</v>
      </c>
      <c r="CL195" s="72">
        <f t="shared" si="354"/>
        <v>141</v>
      </c>
      <c r="CM195" s="72" t="str">
        <f t="shared" si="355"/>
        <v>-</v>
      </c>
      <c r="CN195" s="72">
        <f t="shared" si="356"/>
        <v>173</v>
      </c>
      <c r="CO195" s="72">
        <f t="shared" si="357"/>
        <v>189</v>
      </c>
      <c r="CP195" s="72">
        <f t="shared" si="358"/>
        <v>236</v>
      </c>
      <c r="CQ195" s="72">
        <f t="shared" si="359"/>
        <v>278</v>
      </c>
      <c r="CR195" s="72">
        <f t="shared" si="360"/>
        <v>309</v>
      </c>
      <c r="CS195" s="72">
        <f t="shared" si="361"/>
        <v>322</v>
      </c>
      <c r="CT195" s="23">
        <f t="shared" si="362"/>
        <v>4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335"/>
        <v>opsd_bovin_6FK7</v>
      </c>
      <c r="B196" s="3" t="s">
        <v>920</v>
      </c>
      <c r="C196" s="3" t="s">
        <v>1496</v>
      </c>
      <c r="D196" s="3" t="str">
        <f>IFERROR(MID(VLOOKUP($B196,Seqs!$A:$B,2,0),E196,1),"")</f>
        <v>E</v>
      </c>
      <c r="E196" s="3">
        <v>33</v>
      </c>
      <c r="F196" s="3" t="str">
        <f>IFERROR(MID(VLOOKUP($B196,Seqs!$A:$B,2,0),G196,1),"")</f>
        <v>Q</v>
      </c>
      <c r="G196" s="3">
        <v>64</v>
      </c>
      <c r="H196" s="3" t="str">
        <f>IFERROR(MID(VLOOKUP($B196,Seqs!$A:$B,2,0),I196,1),"")</f>
        <v>K</v>
      </c>
      <c r="I196" s="23">
        <v>66</v>
      </c>
      <c r="J196" s="3" t="str">
        <f>IFERROR(MID(VLOOKUP($B196,Seqs!$A:$B,2,0),K196,1),"")</f>
        <v>R</v>
      </c>
      <c r="K196" s="23">
        <v>69</v>
      </c>
      <c r="L196" s="3" t="str">
        <f>IFERROR(MID(VLOOKUP($B196,Seqs!$A:$B,2,0),M196,1),"")</f>
        <v>N</v>
      </c>
      <c r="M196" s="3">
        <v>73</v>
      </c>
      <c r="N196" s="3" t="str">
        <f>IFERROR(MID(VLOOKUP($B196,Seqs!$A:$B,2,0),O196,1),"")</f>
        <v>G</v>
      </c>
      <c r="O196" s="3">
        <v>101</v>
      </c>
      <c r="P196" s="3" t="str">
        <f>IFERROR(MID(VLOOKUP($B196,Seqs!$A:$B,2,0),Q196,1),"")</f>
        <v>Y</v>
      </c>
      <c r="Q196" s="3">
        <v>102</v>
      </c>
      <c r="R196" s="3" t="str">
        <f>IFERROR(MID(VLOOKUP($B196,Seqs!$A:$B,2,0),S196,1),"")</f>
        <v>G</v>
      </c>
      <c r="S196" s="3">
        <v>106</v>
      </c>
      <c r="T196" s="3" t="str">
        <f>IFERROR(MID(VLOOKUP($B196,Seqs!$A:$B,2,0),U196,1),"")</f>
        <v>P</v>
      </c>
      <c r="U196" s="3">
        <v>107</v>
      </c>
      <c r="V196" s="3" t="str">
        <f>IFERROR(MID(VLOOKUP($B196,Seqs!$A:$B,2,0),W196,1),"")</f>
        <v>K</v>
      </c>
      <c r="W196" s="3">
        <v>141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G</v>
      </c>
      <c r="AC196" s="3">
        <v>149</v>
      </c>
      <c r="AD196" s="3" t="str">
        <f>IFERROR(MID(VLOOKUP($B196,Seqs!$A:$B,2,0),AE196,1),"")</f>
        <v>V</v>
      </c>
      <c r="AE196" s="3">
        <v>173</v>
      </c>
      <c r="AF196" s="3" t="str">
        <f>IFERROR(MID(VLOOKUP($B196,Seqs!$A:$B,2,0),AG196,1),"")</f>
        <v>C</v>
      </c>
      <c r="AG196" s="3">
        <v>187</v>
      </c>
      <c r="AH196" s="3" t="str">
        <f>IFERROR(MID(VLOOKUP($B196,Seqs!$A:$B,2,0),AI196,1),"")</f>
        <v>I</v>
      </c>
      <c r="AI196" s="3">
        <v>189</v>
      </c>
      <c r="AJ196" s="3" t="str">
        <f>IFERROR(MID(VLOOKUP($B196,Seqs!$A:$B,2,0),AK196,1),"")</f>
        <v>N</v>
      </c>
      <c r="AK196" s="3">
        <v>199</v>
      </c>
      <c r="AL196" s="3" t="str">
        <f>IFERROR(MID(VLOOKUP($B196,Seqs!$A:$B,2,0),AM196,1),"")</f>
        <v>Q</v>
      </c>
      <c r="AM196" s="3">
        <v>236</v>
      </c>
      <c r="AN196" s="3" t="str">
        <f>IFERROR(MID(VLOOKUP($B196,Seqs!$A:$B,2,0),AO196,1),"")</f>
        <v>S</v>
      </c>
      <c r="AO196" s="3">
        <v>240</v>
      </c>
      <c r="AP196" s="3" t="str">
        <f>IFERROR(MID(VLOOKUP($B196,Seqs!$A:$B,2,0),AQ196,1),"")</f>
        <v>H</v>
      </c>
      <c r="AQ196" s="3">
        <v>278</v>
      </c>
      <c r="AR196" s="3" t="str">
        <f>IFERROR(MID(VLOOKUP($B196,Seqs!$A:$B,2,0),AS196,1),"")</f>
        <v>G</v>
      </c>
      <c r="AS196" s="3">
        <v>284</v>
      </c>
      <c r="AT196" s="3" t="str">
        <f>IFERROR(MID(VLOOKUP($B196,Seqs!$A:$B,2,0),AU196,1),"")</f>
        <v>M</v>
      </c>
      <c r="AU196" s="3">
        <v>309</v>
      </c>
      <c r="AV196" s="3" t="str">
        <f>IFERROR(MID(VLOOKUP($B196,Seqs!$A:$B,2,0),AW196,1),"")</f>
        <v>N</v>
      </c>
      <c r="AW196" s="3">
        <v>310</v>
      </c>
      <c r="AX196" s="3" t="str">
        <f>IFERROR(MID(VLOOKUP($B196,Seqs!$A:$B,2,0),AY196,1),"")</f>
        <v>C</v>
      </c>
      <c r="AY196" s="3">
        <v>322</v>
      </c>
      <c r="AZ196" s="77" t="str">
        <f>VLOOKUP(B196,Classification!A:D,2,0)</f>
        <v>A</v>
      </c>
      <c r="BA196" s="94" t="str">
        <f>VLOOKUP(B196,Classification!A:D,4,0)</f>
        <v>Opsins</v>
      </c>
      <c r="BB196" s="27" t="b">
        <f t="shared" si="336"/>
        <v>1</v>
      </c>
      <c r="BC196" s="23">
        <f t="shared" si="337"/>
        <v>250</v>
      </c>
      <c r="BD196" s="2" t="s">
        <v>23</v>
      </c>
      <c r="BE196" s="3" t="s">
        <v>1297</v>
      </c>
      <c r="BF196" s="119">
        <v>2.62</v>
      </c>
      <c r="BG196" s="49" t="s">
        <v>1</v>
      </c>
      <c r="BH196" s="49" t="s">
        <v>1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338"/>
        <v>33</v>
      </c>
      <c r="BW196" s="71">
        <f t="shared" si="339"/>
        <v>66</v>
      </c>
      <c r="BX196" s="72">
        <f t="shared" si="340"/>
        <v>73</v>
      </c>
      <c r="BY196" s="71">
        <f t="shared" si="341"/>
        <v>102</v>
      </c>
      <c r="BZ196" s="72">
        <f t="shared" si="342"/>
        <v>107</v>
      </c>
      <c r="CA196" s="71" t="str">
        <f t="shared" si="343"/>
        <v>-</v>
      </c>
      <c r="CB196" s="72">
        <f t="shared" si="344"/>
        <v>149</v>
      </c>
      <c r="CC196" s="71">
        <f t="shared" si="345"/>
        <v>187</v>
      </c>
      <c r="CD196" s="72">
        <f t="shared" si="346"/>
        <v>199</v>
      </c>
      <c r="CE196" s="71">
        <f t="shared" si="347"/>
        <v>240</v>
      </c>
      <c r="CF196" s="72">
        <f t="shared" si="348"/>
        <v>284</v>
      </c>
      <c r="CG196" s="71">
        <f t="shared" si="349"/>
        <v>310</v>
      </c>
      <c r="CH196" s="70">
        <f t="shared" si="350"/>
        <v>64</v>
      </c>
      <c r="CI196" s="71">
        <f t="shared" si="351"/>
        <v>69</v>
      </c>
      <c r="CJ196" s="72">
        <f t="shared" si="352"/>
        <v>101</v>
      </c>
      <c r="CK196" s="72">
        <f t="shared" si="353"/>
        <v>106</v>
      </c>
      <c r="CL196" s="72">
        <f t="shared" si="354"/>
        <v>141</v>
      </c>
      <c r="CM196" s="72" t="str">
        <f t="shared" si="355"/>
        <v>-</v>
      </c>
      <c r="CN196" s="72">
        <f t="shared" si="356"/>
        <v>173</v>
      </c>
      <c r="CO196" s="72">
        <f t="shared" si="357"/>
        <v>189</v>
      </c>
      <c r="CP196" s="72">
        <f t="shared" si="358"/>
        <v>236</v>
      </c>
      <c r="CQ196" s="72">
        <f t="shared" si="359"/>
        <v>278</v>
      </c>
      <c r="CR196" s="72">
        <f t="shared" si="360"/>
        <v>309</v>
      </c>
      <c r="CS196" s="72">
        <f t="shared" si="361"/>
        <v>322</v>
      </c>
      <c r="CT196" s="23">
        <f t="shared" si="362"/>
        <v>4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335"/>
        <v>opsd_bovin_6FK8</v>
      </c>
      <c r="B197" s="3" t="s">
        <v>920</v>
      </c>
      <c r="C197" s="3" t="s">
        <v>1497</v>
      </c>
      <c r="D197" s="3" t="str">
        <f>IFERROR(MID(VLOOKUP($B197,Seqs!$A:$B,2,0),E197,1),"")</f>
        <v>E</v>
      </c>
      <c r="E197" s="3">
        <v>33</v>
      </c>
      <c r="F197" s="3" t="str">
        <f>IFERROR(MID(VLOOKUP($B197,Seqs!$A:$B,2,0),G197,1),"")</f>
        <v>Q</v>
      </c>
      <c r="G197" s="3">
        <v>64</v>
      </c>
      <c r="H197" s="3" t="str">
        <f>IFERROR(MID(VLOOKUP($B197,Seqs!$A:$B,2,0),I197,1),"")</f>
        <v>K</v>
      </c>
      <c r="I197" s="23">
        <v>66</v>
      </c>
      <c r="J197" s="3" t="str">
        <f>IFERROR(MID(VLOOKUP($B197,Seqs!$A:$B,2,0),K197,1),"")</f>
        <v>R</v>
      </c>
      <c r="K197" s="23">
        <v>69</v>
      </c>
      <c r="L197" s="3" t="str">
        <f>IFERROR(MID(VLOOKUP($B197,Seqs!$A:$B,2,0),M197,1),"")</f>
        <v>N</v>
      </c>
      <c r="M197" s="3">
        <v>73</v>
      </c>
      <c r="N197" s="3" t="str">
        <f>IFERROR(MID(VLOOKUP($B197,Seqs!$A:$B,2,0),O197,1),"")</f>
        <v>G</v>
      </c>
      <c r="O197" s="3">
        <v>101</v>
      </c>
      <c r="P197" s="3" t="str">
        <f>IFERROR(MID(VLOOKUP($B197,Seqs!$A:$B,2,0),Q197,1),"")</f>
        <v>Y</v>
      </c>
      <c r="Q197" s="3">
        <v>102</v>
      </c>
      <c r="R197" s="3" t="str">
        <f>IFERROR(MID(VLOOKUP($B197,Seqs!$A:$B,2,0),S197,1),"")</f>
        <v>G</v>
      </c>
      <c r="S197" s="3">
        <v>106</v>
      </c>
      <c r="T197" s="3" t="str">
        <f>IFERROR(MID(VLOOKUP($B197,Seqs!$A:$B,2,0),U197,1),"")</f>
        <v>P</v>
      </c>
      <c r="U197" s="3">
        <v>107</v>
      </c>
      <c r="V197" s="3" t="str">
        <f>IFERROR(MID(VLOOKUP($B197,Seqs!$A:$B,2,0),W197,1),"")</f>
        <v>K</v>
      </c>
      <c r="W197" s="3">
        <v>141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G</v>
      </c>
      <c r="AC197" s="3">
        <v>149</v>
      </c>
      <c r="AD197" s="3" t="str">
        <f>IFERROR(MID(VLOOKUP($B197,Seqs!$A:$B,2,0),AE197,1),"")</f>
        <v>V</v>
      </c>
      <c r="AE197" s="3">
        <v>173</v>
      </c>
      <c r="AF197" s="3" t="str">
        <f>IFERROR(MID(VLOOKUP($B197,Seqs!$A:$B,2,0),AG197,1),"")</f>
        <v>C</v>
      </c>
      <c r="AG197" s="3">
        <v>187</v>
      </c>
      <c r="AH197" s="3" t="str">
        <f>IFERROR(MID(VLOOKUP($B197,Seqs!$A:$B,2,0),AI197,1),"")</f>
        <v>I</v>
      </c>
      <c r="AI197" s="3">
        <v>189</v>
      </c>
      <c r="AJ197" s="3" t="str">
        <f>IFERROR(MID(VLOOKUP($B197,Seqs!$A:$B,2,0),AK197,1),"")</f>
        <v>N</v>
      </c>
      <c r="AK197" s="3">
        <v>199</v>
      </c>
      <c r="AL197" s="3" t="str">
        <f>IFERROR(MID(VLOOKUP($B197,Seqs!$A:$B,2,0),AM197,1),"")</f>
        <v>Q</v>
      </c>
      <c r="AM197" s="3">
        <v>236</v>
      </c>
      <c r="AN197" s="3" t="str">
        <f>IFERROR(MID(VLOOKUP($B197,Seqs!$A:$B,2,0),AO197,1),"")</f>
        <v>S</v>
      </c>
      <c r="AO197" s="3">
        <v>240</v>
      </c>
      <c r="AP197" s="3" t="str">
        <f>IFERROR(MID(VLOOKUP($B197,Seqs!$A:$B,2,0),AQ197,1),"")</f>
        <v>H</v>
      </c>
      <c r="AQ197" s="3">
        <v>278</v>
      </c>
      <c r="AR197" s="3" t="str">
        <f>IFERROR(MID(VLOOKUP($B197,Seqs!$A:$B,2,0),AS197,1),"")</f>
        <v>G</v>
      </c>
      <c r="AS197" s="3">
        <v>284</v>
      </c>
      <c r="AT197" s="3" t="str">
        <f>IFERROR(MID(VLOOKUP($B197,Seqs!$A:$B,2,0),AU197,1),"")</f>
        <v>M</v>
      </c>
      <c r="AU197" s="3">
        <v>309</v>
      </c>
      <c r="AV197" s="3" t="str">
        <f>IFERROR(MID(VLOOKUP($B197,Seqs!$A:$B,2,0),AW197,1),"")</f>
        <v>N</v>
      </c>
      <c r="AW197" s="3">
        <v>310</v>
      </c>
      <c r="AX197" s="3" t="str">
        <f>IFERROR(MID(VLOOKUP($B197,Seqs!$A:$B,2,0),AY197,1),"")</f>
        <v>C</v>
      </c>
      <c r="AY197" s="3">
        <v>322</v>
      </c>
      <c r="AZ197" s="77" t="str">
        <f>VLOOKUP(B197,Classification!A:D,2,0)</f>
        <v>A</v>
      </c>
      <c r="BA197" s="94" t="str">
        <f>VLOOKUP(B197,Classification!A:D,4,0)</f>
        <v>Opsins</v>
      </c>
      <c r="BB197" s="27" t="b">
        <f t="shared" si="336"/>
        <v>1</v>
      </c>
      <c r="BC197" s="23">
        <f t="shared" si="337"/>
        <v>250</v>
      </c>
      <c r="BD197" s="2" t="s">
        <v>23</v>
      </c>
      <c r="BE197" s="3" t="s">
        <v>1297</v>
      </c>
      <c r="BF197" s="119">
        <v>2.87</v>
      </c>
      <c r="BG197" s="49" t="s">
        <v>1</v>
      </c>
      <c r="BH197" s="49" t="s">
        <v>1</v>
      </c>
      <c r="BI197" s="1"/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338"/>
        <v>33</v>
      </c>
      <c r="BW197" s="71">
        <f t="shared" si="339"/>
        <v>66</v>
      </c>
      <c r="BX197" s="72">
        <f t="shared" si="340"/>
        <v>73</v>
      </c>
      <c r="BY197" s="71">
        <f t="shared" si="341"/>
        <v>102</v>
      </c>
      <c r="BZ197" s="72">
        <f t="shared" si="342"/>
        <v>107</v>
      </c>
      <c r="CA197" s="71" t="str">
        <f t="shared" si="343"/>
        <v>-</v>
      </c>
      <c r="CB197" s="72">
        <f t="shared" si="344"/>
        <v>149</v>
      </c>
      <c r="CC197" s="71">
        <f t="shared" si="345"/>
        <v>187</v>
      </c>
      <c r="CD197" s="72">
        <f t="shared" si="346"/>
        <v>199</v>
      </c>
      <c r="CE197" s="71">
        <f t="shared" si="347"/>
        <v>240</v>
      </c>
      <c r="CF197" s="72">
        <f t="shared" si="348"/>
        <v>284</v>
      </c>
      <c r="CG197" s="71">
        <f t="shared" si="349"/>
        <v>310</v>
      </c>
      <c r="CH197" s="70">
        <f t="shared" si="350"/>
        <v>64</v>
      </c>
      <c r="CI197" s="71">
        <f t="shared" si="351"/>
        <v>69</v>
      </c>
      <c r="CJ197" s="72">
        <f t="shared" si="352"/>
        <v>101</v>
      </c>
      <c r="CK197" s="72">
        <f t="shared" si="353"/>
        <v>106</v>
      </c>
      <c r="CL197" s="72">
        <f t="shared" si="354"/>
        <v>141</v>
      </c>
      <c r="CM197" s="72" t="str">
        <f t="shared" si="355"/>
        <v>-</v>
      </c>
      <c r="CN197" s="72">
        <f t="shared" si="356"/>
        <v>173</v>
      </c>
      <c r="CO197" s="72">
        <f t="shared" si="357"/>
        <v>189</v>
      </c>
      <c r="CP197" s="72">
        <f t="shared" si="358"/>
        <v>236</v>
      </c>
      <c r="CQ197" s="72">
        <f t="shared" si="359"/>
        <v>278</v>
      </c>
      <c r="CR197" s="72">
        <f t="shared" si="360"/>
        <v>309</v>
      </c>
      <c r="CS197" s="72">
        <f t="shared" si="361"/>
        <v>322</v>
      </c>
      <c r="CT197" s="23">
        <f t="shared" si="362"/>
        <v>4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335"/>
        <v>opsd_bovin_6FK9</v>
      </c>
      <c r="B198" s="3" t="s">
        <v>920</v>
      </c>
      <c r="C198" s="3" t="s">
        <v>1498</v>
      </c>
      <c r="D198" s="3" t="str">
        <f>IFERROR(MID(VLOOKUP($B198,Seqs!$A:$B,2,0),E198,1),"")</f>
        <v>E</v>
      </c>
      <c r="E198" s="3">
        <v>33</v>
      </c>
      <c r="F198" s="3" t="str">
        <f>IFERROR(MID(VLOOKUP($B198,Seqs!$A:$B,2,0),G198,1),"")</f>
        <v>Q</v>
      </c>
      <c r="G198" s="3">
        <v>64</v>
      </c>
      <c r="H198" s="3" t="str">
        <f>IFERROR(MID(VLOOKUP($B198,Seqs!$A:$B,2,0),I198,1),"")</f>
        <v>K</v>
      </c>
      <c r="I198" s="23">
        <v>66</v>
      </c>
      <c r="J198" s="3" t="str">
        <f>IFERROR(MID(VLOOKUP($B198,Seqs!$A:$B,2,0),K198,1),"")</f>
        <v>R</v>
      </c>
      <c r="K198" s="23">
        <v>69</v>
      </c>
      <c r="L198" s="3" t="str">
        <f>IFERROR(MID(VLOOKUP($B198,Seqs!$A:$B,2,0),M198,1),"")</f>
        <v>N</v>
      </c>
      <c r="M198" s="3">
        <v>73</v>
      </c>
      <c r="N198" s="3" t="str">
        <f>IFERROR(MID(VLOOKUP($B198,Seqs!$A:$B,2,0),O198,1),"")</f>
        <v>G</v>
      </c>
      <c r="O198" s="3">
        <v>101</v>
      </c>
      <c r="P198" s="3" t="str">
        <f>IFERROR(MID(VLOOKUP($B198,Seqs!$A:$B,2,0),Q198,1),"")</f>
        <v>Y</v>
      </c>
      <c r="Q198" s="3">
        <v>102</v>
      </c>
      <c r="R198" s="3" t="str">
        <f>IFERROR(MID(VLOOKUP($B198,Seqs!$A:$B,2,0),S198,1),"")</f>
        <v>G</v>
      </c>
      <c r="S198" s="3">
        <v>106</v>
      </c>
      <c r="T198" s="3" t="str">
        <f>IFERROR(MID(VLOOKUP($B198,Seqs!$A:$B,2,0),U198,1),"")</f>
        <v>P</v>
      </c>
      <c r="U198" s="3">
        <v>107</v>
      </c>
      <c r="V198" s="3" t="str">
        <f>IFERROR(MID(VLOOKUP($B198,Seqs!$A:$B,2,0),W198,1),"")</f>
        <v>K</v>
      </c>
      <c r="W198" s="3">
        <v>141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G</v>
      </c>
      <c r="AC198" s="3">
        <v>149</v>
      </c>
      <c r="AD198" s="3" t="str">
        <f>IFERROR(MID(VLOOKUP($B198,Seqs!$A:$B,2,0),AE198,1),"")</f>
        <v>V</v>
      </c>
      <c r="AE198" s="3">
        <v>173</v>
      </c>
      <c r="AF198" s="3" t="str">
        <f>IFERROR(MID(VLOOKUP($B198,Seqs!$A:$B,2,0),AG198,1),"")</f>
        <v>C</v>
      </c>
      <c r="AG198" s="3">
        <v>187</v>
      </c>
      <c r="AH198" s="3" t="str">
        <f>IFERROR(MID(VLOOKUP($B198,Seqs!$A:$B,2,0),AI198,1),"")</f>
        <v>I</v>
      </c>
      <c r="AI198" s="3">
        <v>189</v>
      </c>
      <c r="AJ198" s="3" t="str">
        <f>IFERROR(MID(VLOOKUP($B198,Seqs!$A:$B,2,0),AK198,1),"")</f>
        <v>N</v>
      </c>
      <c r="AK198" s="3">
        <v>199</v>
      </c>
      <c r="AL198" s="3" t="str">
        <f>IFERROR(MID(VLOOKUP($B198,Seqs!$A:$B,2,0),AM198,1),"")</f>
        <v>Q</v>
      </c>
      <c r="AM198" s="3">
        <v>236</v>
      </c>
      <c r="AN198" s="3" t="str">
        <f>IFERROR(MID(VLOOKUP($B198,Seqs!$A:$B,2,0),AO198,1),"")</f>
        <v>S</v>
      </c>
      <c r="AO198" s="3">
        <v>240</v>
      </c>
      <c r="AP198" s="3" t="str">
        <f>IFERROR(MID(VLOOKUP($B198,Seqs!$A:$B,2,0),AQ198,1),"")</f>
        <v>H</v>
      </c>
      <c r="AQ198" s="3">
        <v>278</v>
      </c>
      <c r="AR198" s="3" t="str">
        <f>IFERROR(MID(VLOOKUP($B198,Seqs!$A:$B,2,0),AS198,1),"")</f>
        <v>G</v>
      </c>
      <c r="AS198" s="3">
        <v>284</v>
      </c>
      <c r="AT198" s="3" t="str">
        <f>IFERROR(MID(VLOOKUP($B198,Seqs!$A:$B,2,0),AU198,1),"")</f>
        <v>M</v>
      </c>
      <c r="AU198" s="3">
        <v>309</v>
      </c>
      <c r="AV198" s="3" t="str">
        <f>IFERROR(MID(VLOOKUP($B198,Seqs!$A:$B,2,0),AW198,1),"")</f>
        <v>N</v>
      </c>
      <c r="AW198" s="3">
        <v>310</v>
      </c>
      <c r="AX198" s="3" t="str">
        <f>IFERROR(MID(VLOOKUP($B198,Seqs!$A:$B,2,0),AY198,1),"")</f>
        <v>C</v>
      </c>
      <c r="AY198" s="3">
        <v>322</v>
      </c>
      <c r="AZ198" s="77" t="str">
        <f>VLOOKUP(B198,Classification!A:D,2,0)</f>
        <v>A</v>
      </c>
      <c r="BA198" s="94" t="str">
        <f>VLOOKUP(B198,Classification!A:D,4,0)</f>
        <v>Opsins</v>
      </c>
      <c r="BB198" s="27" t="b">
        <f t="shared" si="336"/>
        <v>1</v>
      </c>
      <c r="BC198" s="23">
        <f t="shared" si="337"/>
        <v>250</v>
      </c>
      <c r="BD198" s="2" t="s">
        <v>23</v>
      </c>
      <c r="BE198" s="3" t="s">
        <v>1297</v>
      </c>
      <c r="BF198" s="119">
        <v>2.63</v>
      </c>
      <c r="BG198" s="49" t="s">
        <v>1</v>
      </c>
      <c r="BH198" s="49" t="s">
        <v>1</v>
      </c>
      <c r="BI198" s="1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338"/>
        <v>33</v>
      </c>
      <c r="BW198" s="71">
        <f t="shared" si="339"/>
        <v>66</v>
      </c>
      <c r="BX198" s="72">
        <f t="shared" si="340"/>
        <v>73</v>
      </c>
      <c r="BY198" s="71">
        <f t="shared" si="341"/>
        <v>102</v>
      </c>
      <c r="BZ198" s="72">
        <f t="shared" si="342"/>
        <v>107</v>
      </c>
      <c r="CA198" s="71" t="str">
        <f t="shared" si="343"/>
        <v>-</v>
      </c>
      <c r="CB198" s="72">
        <f t="shared" si="344"/>
        <v>149</v>
      </c>
      <c r="CC198" s="71">
        <f t="shared" si="345"/>
        <v>187</v>
      </c>
      <c r="CD198" s="72">
        <f t="shared" si="346"/>
        <v>199</v>
      </c>
      <c r="CE198" s="71">
        <f t="shared" si="347"/>
        <v>240</v>
      </c>
      <c r="CF198" s="72">
        <f t="shared" si="348"/>
        <v>284</v>
      </c>
      <c r="CG198" s="71">
        <f t="shared" si="349"/>
        <v>310</v>
      </c>
      <c r="CH198" s="70">
        <f t="shared" si="350"/>
        <v>64</v>
      </c>
      <c r="CI198" s="71">
        <f t="shared" si="351"/>
        <v>69</v>
      </c>
      <c r="CJ198" s="72">
        <f t="shared" si="352"/>
        <v>101</v>
      </c>
      <c r="CK198" s="72">
        <f t="shared" si="353"/>
        <v>106</v>
      </c>
      <c r="CL198" s="72">
        <f t="shared" si="354"/>
        <v>141</v>
      </c>
      <c r="CM198" s="72" t="str">
        <f t="shared" si="355"/>
        <v>-</v>
      </c>
      <c r="CN198" s="72">
        <f t="shared" si="356"/>
        <v>173</v>
      </c>
      <c r="CO198" s="72">
        <f t="shared" si="357"/>
        <v>189</v>
      </c>
      <c r="CP198" s="72">
        <f t="shared" si="358"/>
        <v>236</v>
      </c>
      <c r="CQ198" s="72">
        <f t="shared" si="359"/>
        <v>278</v>
      </c>
      <c r="CR198" s="72">
        <f t="shared" si="360"/>
        <v>309</v>
      </c>
      <c r="CS198" s="72">
        <f t="shared" si="361"/>
        <v>322</v>
      </c>
      <c r="CT198" s="23">
        <f t="shared" si="362"/>
        <v>4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335"/>
        <v>opsd_bovin_6FKA</v>
      </c>
      <c r="B199" s="3" t="s">
        <v>920</v>
      </c>
      <c r="C199" s="3" t="s">
        <v>1499</v>
      </c>
      <c r="D199" s="3" t="str">
        <f>IFERROR(MID(VLOOKUP($B199,Seqs!$A:$B,2,0),E199,1),"")</f>
        <v>E</v>
      </c>
      <c r="E199" s="3">
        <v>33</v>
      </c>
      <c r="F199" s="3" t="str">
        <f>IFERROR(MID(VLOOKUP($B199,Seqs!$A:$B,2,0),G199,1),"")</f>
        <v>Q</v>
      </c>
      <c r="G199" s="3">
        <v>64</v>
      </c>
      <c r="H199" s="3" t="str">
        <f>IFERROR(MID(VLOOKUP($B199,Seqs!$A:$B,2,0),I199,1),"")</f>
        <v>K</v>
      </c>
      <c r="I199" s="23">
        <v>66</v>
      </c>
      <c r="J199" s="3" t="str">
        <f>IFERROR(MID(VLOOKUP($B199,Seqs!$A:$B,2,0),K199,1),"")</f>
        <v>R</v>
      </c>
      <c r="K199" s="23">
        <v>69</v>
      </c>
      <c r="L199" s="3" t="str">
        <f>IFERROR(MID(VLOOKUP($B199,Seqs!$A:$B,2,0),M199,1),"")</f>
        <v>N</v>
      </c>
      <c r="M199" s="3">
        <v>73</v>
      </c>
      <c r="N199" s="3" t="str">
        <f>IFERROR(MID(VLOOKUP($B199,Seqs!$A:$B,2,0),O199,1),"")</f>
        <v>G</v>
      </c>
      <c r="O199" s="3">
        <v>101</v>
      </c>
      <c r="P199" s="3" t="str">
        <f>IFERROR(MID(VLOOKUP($B199,Seqs!$A:$B,2,0),Q199,1),"")</f>
        <v>Y</v>
      </c>
      <c r="Q199" s="3">
        <v>102</v>
      </c>
      <c r="R199" s="3" t="str">
        <f>IFERROR(MID(VLOOKUP($B199,Seqs!$A:$B,2,0),S199,1),"")</f>
        <v>G</v>
      </c>
      <c r="S199" s="3">
        <v>106</v>
      </c>
      <c r="T199" s="3" t="str">
        <f>IFERROR(MID(VLOOKUP($B199,Seqs!$A:$B,2,0),U199,1),"")</f>
        <v>P</v>
      </c>
      <c r="U199" s="3">
        <v>107</v>
      </c>
      <c r="V199" s="3" t="str">
        <f>IFERROR(MID(VLOOKUP($B199,Seqs!$A:$B,2,0),W199,1),"")</f>
        <v>K</v>
      </c>
      <c r="W199" s="3">
        <v>141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G</v>
      </c>
      <c r="AC199" s="3">
        <v>149</v>
      </c>
      <c r="AD199" s="3" t="str">
        <f>IFERROR(MID(VLOOKUP($B199,Seqs!$A:$B,2,0),AE199,1),"")</f>
        <v>V</v>
      </c>
      <c r="AE199" s="3">
        <v>173</v>
      </c>
      <c r="AF199" s="3" t="str">
        <f>IFERROR(MID(VLOOKUP($B199,Seqs!$A:$B,2,0),AG199,1),"")</f>
        <v>C</v>
      </c>
      <c r="AG199" s="3">
        <v>187</v>
      </c>
      <c r="AH199" s="3" t="str">
        <f>IFERROR(MID(VLOOKUP($B199,Seqs!$A:$B,2,0),AI199,1),"")</f>
        <v>I</v>
      </c>
      <c r="AI199" s="3">
        <v>189</v>
      </c>
      <c r="AJ199" s="3" t="str">
        <f>IFERROR(MID(VLOOKUP($B199,Seqs!$A:$B,2,0),AK199,1),"")</f>
        <v>N</v>
      </c>
      <c r="AK199" s="3">
        <v>199</v>
      </c>
      <c r="AL199" s="3" t="str">
        <f>IFERROR(MID(VLOOKUP($B199,Seqs!$A:$B,2,0),AM199,1),"")</f>
        <v>Q</v>
      </c>
      <c r="AM199" s="3">
        <v>236</v>
      </c>
      <c r="AN199" s="3" t="str">
        <f>IFERROR(MID(VLOOKUP($B199,Seqs!$A:$B,2,0),AO199,1),"")</f>
        <v>S</v>
      </c>
      <c r="AO199" s="3">
        <v>240</v>
      </c>
      <c r="AP199" s="3" t="str">
        <f>IFERROR(MID(VLOOKUP($B199,Seqs!$A:$B,2,0),AQ199,1),"")</f>
        <v>H</v>
      </c>
      <c r="AQ199" s="3">
        <v>278</v>
      </c>
      <c r="AR199" s="3" t="str">
        <f>IFERROR(MID(VLOOKUP($B199,Seqs!$A:$B,2,0),AS199,1),"")</f>
        <v>G</v>
      </c>
      <c r="AS199" s="3">
        <v>284</v>
      </c>
      <c r="AT199" s="3" t="str">
        <f>IFERROR(MID(VLOOKUP($B199,Seqs!$A:$B,2,0),AU199,1),"")</f>
        <v>M</v>
      </c>
      <c r="AU199" s="3">
        <v>309</v>
      </c>
      <c r="AV199" s="3" t="str">
        <f>IFERROR(MID(VLOOKUP($B199,Seqs!$A:$B,2,0),AW199,1),"")</f>
        <v>N</v>
      </c>
      <c r="AW199" s="3">
        <v>310</v>
      </c>
      <c r="AX199" s="3" t="str">
        <f>IFERROR(MID(VLOOKUP($B199,Seqs!$A:$B,2,0),AY199,1),"")</f>
        <v>C</v>
      </c>
      <c r="AY199" s="3">
        <v>322</v>
      </c>
      <c r="AZ199" s="77" t="str">
        <f>VLOOKUP(B199,Classification!A:D,2,0)</f>
        <v>A</v>
      </c>
      <c r="BA199" s="94" t="str">
        <f>VLOOKUP(B199,Classification!A:D,4,0)</f>
        <v>Opsins</v>
      </c>
      <c r="BB199" s="27" t="b">
        <f t="shared" si="336"/>
        <v>1</v>
      </c>
      <c r="BC199" s="23">
        <f t="shared" si="337"/>
        <v>250</v>
      </c>
      <c r="BD199" s="2" t="s">
        <v>23</v>
      </c>
      <c r="BE199" s="3" t="s">
        <v>1297</v>
      </c>
      <c r="BF199" s="119">
        <v>2.7</v>
      </c>
      <c r="BG199" s="49" t="s">
        <v>1</v>
      </c>
      <c r="BH199" s="49" t="s">
        <v>1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338"/>
        <v>33</v>
      </c>
      <c r="BW199" s="71">
        <f t="shared" si="339"/>
        <v>66</v>
      </c>
      <c r="BX199" s="72">
        <f t="shared" si="340"/>
        <v>73</v>
      </c>
      <c r="BY199" s="71">
        <f t="shared" si="341"/>
        <v>102</v>
      </c>
      <c r="BZ199" s="72">
        <f t="shared" si="342"/>
        <v>107</v>
      </c>
      <c r="CA199" s="71" t="str">
        <f t="shared" si="343"/>
        <v>-</v>
      </c>
      <c r="CB199" s="72">
        <f t="shared" si="344"/>
        <v>149</v>
      </c>
      <c r="CC199" s="71">
        <f t="shared" si="345"/>
        <v>187</v>
      </c>
      <c r="CD199" s="72">
        <f t="shared" si="346"/>
        <v>199</v>
      </c>
      <c r="CE199" s="71">
        <f t="shared" si="347"/>
        <v>240</v>
      </c>
      <c r="CF199" s="72">
        <f t="shared" si="348"/>
        <v>284</v>
      </c>
      <c r="CG199" s="71">
        <f t="shared" si="349"/>
        <v>310</v>
      </c>
      <c r="CH199" s="70">
        <f t="shared" si="350"/>
        <v>64</v>
      </c>
      <c r="CI199" s="71">
        <f t="shared" si="351"/>
        <v>69</v>
      </c>
      <c r="CJ199" s="72">
        <f t="shared" si="352"/>
        <v>101</v>
      </c>
      <c r="CK199" s="72">
        <f t="shared" si="353"/>
        <v>106</v>
      </c>
      <c r="CL199" s="72">
        <f t="shared" si="354"/>
        <v>141</v>
      </c>
      <c r="CM199" s="72" t="str">
        <f t="shared" si="355"/>
        <v>-</v>
      </c>
      <c r="CN199" s="72">
        <f t="shared" si="356"/>
        <v>173</v>
      </c>
      <c r="CO199" s="72">
        <f t="shared" si="357"/>
        <v>189</v>
      </c>
      <c r="CP199" s="72">
        <f t="shared" si="358"/>
        <v>236</v>
      </c>
      <c r="CQ199" s="72">
        <f t="shared" si="359"/>
        <v>278</v>
      </c>
      <c r="CR199" s="72">
        <f t="shared" si="360"/>
        <v>309</v>
      </c>
      <c r="CS199" s="72">
        <f t="shared" si="361"/>
        <v>322</v>
      </c>
      <c r="CT199" s="23">
        <f t="shared" si="362"/>
        <v>4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335"/>
        <v>opsd_bovin_6FKB</v>
      </c>
      <c r="B200" s="3" t="s">
        <v>920</v>
      </c>
      <c r="C200" s="3" t="s">
        <v>1500</v>
      </c>
      <c r="D200" s="3" t="str">
        <f>IFERROR(MID(VLOOKUP($B200,Seqs!$A:$B,2,0),E200,1),"")</f>
        <v>E</v>
      </c>
      <c r="E200" s="3">
        <v>33</v>
      </c>
      <c r="F200" s="3" t="str">
        <f>IFERROR(MID(VLOOKUP($B200,Seqs!$A:$B,2,0),G200,1),"")</f>
        <v>Q</v>
      </c>
      <c r="G200" s="3">
        <v>64</v>
      </c>
      <c r="H200" s="3" t="str">
        <f>IFERROR(MID(VLOOKUP($B200,Seqs!$A:$B,2,0),I200,1),"")</f>
        <v>K</v>
      </c>
      <c r="I200" s="23">
        <v>66</v>
      </c>
      <c r="J200" s="3" t="str">
        <f>IFERROR(MID(VLOOKUP($B200,Seqs!$A:$B,2,0),K200,1),"")</f>
        <v>R</v>
      </c>
      <c r="K200" s="23">
        <v>69</v>
      </c>
      <c r="L200" s="3" t="str">
        <f>IFERROR(MID(VLOOKUP($B200,Seqs!$A:$B,2,0),M200,1),"")</f>
        <v>N</v>
      </c>
      <c r="M200" s="3">
        <v>73</v>
      </c>
      <c r="N200" s="3" t="str">
        <f>IFERROR(MID(VLOOKUP($B200,Seqs!$A:$B,2,0),O200,1),"")</f>
        <v>G</v>
      </c>
      <c r="O200" s="3">
        <v>101</v>
      </c>
      <c r="P200" s="3" t="str">
        <f>IFERROR(MID(VLOOKUP($B200,Seqs!$A:$B,2,0),Q200,1),"")</f>
        <v>Y</v>
      </c>
      <c r="Q200" s="3">
        <v>102</v>
      </c>
      <c r="R200" s="3" t="str">
        <f>IFERROR(MID(VLOOKUP($B200,Seqs!$A:$B,2,0),S200,1),"")</f>
        <v>G</v>
      </c>
      <c r="S200" s="3">
        <v>106</v>
      </c>
      <c r="T200" s="3" t="str">
        <f>IFERROR(MID(VLOOKUP($B200,Seqs!$A:$B,2,0),U200,1),"")</f>
        <v>P</v>
      </c>
      <c r="U200" s="3">
        <v>107</v>
      </c>
      <c r="V200" s="3" t="str">
        <f>IFERROR(MID(VLOOKUP($B200,Seqs!$A:$B,2,0),W200,1),"")</f>
        <v>K</v>
      </c>
      <c r="W200" s="3">
        <v>141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G</v>
      </c>
      <c r="AC200" s="3">
        <v>149</v>
      </c>
      <c r="AD200" s="3" t="str">
        <f>IFERROR(MID(VLOOKUP($B200,Seqs!$A:$B,2,0),AE200,1),"")</f>
        <v>V</v>
      </c>
      <c r="AE200" s="3">
        <v>173</v>
      </c>
      <c r="AF200" s="3" t="str">
        <f>IFERROR(MID(VLOOKUP($B200,Seqs!$A:$B,2,0),AG200,1),"")</f>
        <v>C</v>
      </c>
      <c r="AG200" s="3">
        <v>187</v>
      </c>
      <c r="AH200" s="3" t="str">
        <f>IFERROR(MID(VLOOKUP($B200,Seqs!$A:$B,2,0),AI200,1),"")</f>
        <v>I</v>
      </c>
      <c r="AI200" s="3">
        <v>189</v>
      </c>
      <c r="AJ200" s="3" t="str">
        <f>IFERROR(MID(VLOOKUP($B200,Seqs!$A:$B,2,0),AK200,1),"")</f>
        <v>N</v>
      </c>
      <c r="AK200" s="3">
        <v>199</v>
      </c>
      <c r="AL200" s="3" t="str">
        <f>IFERROR(MID(VLOOKUP($B200,Seqs!$A:$B,2,0),AM200,1),"")</f>
        <v>Q</v>
      </c>
      <c r="AM200" s="3">
        <v>236</v>
      </c>
      <c r="AN200" s="3" t="str">
        <f>IFERROR(MID(VLOOKUP($B200,Seqs!$A:$B,2,0),AO200,1),"")</f>
        <v>S</v>
      </c>
      <c r="AO200" s="3">
        <v>240</v>
      </c>
      <c r="AP200" s="3" t="str">
        <f>IFERROR(MID(VLOOKUP($B200,Seqs!$A:$B,2,0),AQ200,1),"")</f>
        <v>H</v>
      </c>
      <c r="AQ200" s="3">
        <v>278</v>
      </c>
      <c r="AR200" s="3" t="str">
        <f>IFERROR(MID(VLOOKUP($B200,Seqs!$A:$B,2,0),AS200,1),"")</f>
        <v>G</v>
      </c>
      <c r="AS200" s="3">
        <v>284</v>
      </c>
      <c r="AT200" s="3" t="str">
        <f>IFERROR(MID(VLOOKUP($B200,Seqs!$A:$B,2,0),AU200,1),"")</f>
        <v>M</v>
      </c>
      <c r="AU200" s="3">
        <v>309</v>
      </c>
      <c r="AV200" s="3" t="str">
        <f>IFERROR(MID(VLOOKUP($B200,Seqs!$A:$B,2,0),AW200,1),"")</f>
        <v>N</v>
      </c>
      <c r="AW200" s="3">
        <v>310</v>
      </c>
      <c r="AX200" s="3" t="str">
        <f>IFERROR(MID(VLOOKUP($B200,Seqs!$A:$B,2,0),AY200,1),"")</f>
        <v>C</v>
      </c>
      <c r="AY200" s="3">
        <v>322</v>
      </c>
      <c r="AZ200" s="77" t="str">
        <f>VLOOKUP(B200,Classification!A:D,2,0)</f>
        <v>A</v>
      </c>
      <c r="BA200" s="94" t="str">
        <f>VLOOKUP(B200,Classification!A:D,4,0)</f>
        <v>Opsins</v>
      </c>
      <c r="BB200" s="27" t="b">
        <f t="shared" si="336"/>
        <v>1</v>
      </c>
      <c r="BC200" s="23">
        <f t="shared" si="337"/>
        <v>250</v>
      </c>
      <c r="BD200" s="2" t="s">
        <v>23</v>
      </c>
      <c r="BE200" s="3" t="s">
        <v>1297</v>
      </c>
      <c r="BF200" s="119">
        <v>3.03</v>
      </c>
      <c r="BG200" s="49" t="s">
        <v>1</v>
      </c>
      <c r="BH200" s="49" t="s">
        <v>1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338"/>
        <v>33</v>
      </c>
      <c r="BW200" s="71">
        <f t="shared" si="339"/>
        <v>66</v>
      </c>
      <c r="BX200" s="72">
        <f t="shared" si="340"/>
        <v>73</v>
      </c>
      <c r="BY200" s="71">
        <f t="shared" si="341"/>
        <v>102</v>
      </c>
      <c r="BZ200" s="72">
        <f t="shared" si="342"/>
        <v>107</v>
      </c>
      <c r="CA200" s="71" t="str">
        <f t="shared" si="343"/>
        <v>-</v>
      </c>
      <c r="CB200" s="72">
        <f t="shared" si="344"/>
        <v>149</v>
      </c>
      <c r="CC200" s="71">
        <f t="shared" si="345"/>
        <v>187</v>
      </c>
      <c r="CD200" s="72">
        <f t="shared" si="346"/>
        <v>199</v>
      </c>
      <c r="CE200" s="71">
        <f t="shared" si="347"/>
        <v>240</v>
      </c>
      <c r="CF200" s="72">
        <f t="shared" si="348"/>
        <v>284</v>
      </c>
      <c r="CG200" s="71">
        <f t="shared" si="349"/>
        <v>310</v>
      </c>
      <c r="CH200" s="70">
        <f t="shared" si="350"/>
        <v>64</v>
      </c>
      <c r="CI200" s="71">
        <f t="shared" si="351"/>
        <v>69</v>
      </c>
      <c r="CJ200" s="72">
        <f t="shared" si="352"/>
        <v>101</v>
      </c>
      <c r="CK200" s="72">
        <f t="shared" si="353"/>
        <v>106</v>
      </c>
      <c r="CL200" s="72">
        <f t="shared" si="354"/>
        <v>141</v>
      </c>
      <c r="CM200" s="72" t="str">
        <f t="shared" si="355"/>
        <v>-</v>
      </c>
      <c r="CN200" s="72">
        <f t="shared" si="356"/>
        <v>173</v>
      </c>
      <c r="CO200" s="72">
        <f t="shared" si="357"/>
        <v>189</v>
      </c>
      <c r="CP200" s="72">
        <f t="shared" si="358"/>
        <v>236</v>
      </c>
      <c r="CQ200" s="72">
        <f t="shared" si="359"/>
        <v>278</v>
      </c>
      <c r="CR200" s="72">
        <f t="shared" si="360"/>
        <v>309</v>
      </c>
      <c r="CS200" s="72">
        <f t="shared" si="361"/>
        <v>322</v>
      </c>
      <c r="CT200" s="23">
        <f t="shared" si="362"/>
        <v>4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335"/>
        <v>opsd_bovin_6FKC</v>
      </c>
      <c r="B201" s="3" t="s">
        <v>920</v>
      </c>
      <c r="C201" s="3" t="s">
        <v>1501</v>
      </c>
      <c r="D201" s="3" t="str">
        <f>IFERROR(MID(VLOOKUP($B201,Seqs!$A:$B,2,0),E201,1),"")</f>
        <v>E</v>
      </c>
      <c r="E201" s="3">
        <v>33</v>
      </c>
      <c r="F201" s="3" t="str">
        <f>IFERROR(MID(VLOOKUP($B201,Seqs!$A:$B,2,0),G201,1),"")</f>
        <v>Q</v>
      </c>
      <c r="G201" s="3">
        <v>64</v>
      </c>
      <c r="H201" s="3" t="str">
        <f>IFERROR(MID(VLOOKUP($B201,Seqs!$A:$B,2,0),I201,1),"")</f>
        <v>K</v>
      </c>
      <c r="I201" s="23">
        <v>66</v>
      </c>
      <c r="J201" s="3" t="str">
        <f>IFERROR(MID(VLOOKUP($B201,Seqs!$A:$B,2,0),K201,1),"")</f>
        <v>R</v>
      </c>
      <c r="K201" s="23">
        <v>69</v>
      </c>
      <c r="L201" s="3" t="str">
        <f>IFERROR(MID(VLOOKUP($B201,Seqs!$A:$B,2,0),M201,1),"")</f>
        <v>N</v>
      </c>
      <c r="M201" s="3">
        <v>73</v>
      </c>
      <c r="N201" s="3" t="str">
        <f>IFERROR(MID(VLOOKUP($B201,Seqs!$A:$B,2,0),O201,1),"")</f>
        <v>G</v>
      </c>
      <c r="O201" s="3">
        <v>101</v>
      </c>
      <c r="P201" s="3" t="str">
        <f>IFERROR(MID(VLOOKUP($B201,Seqs!$A:$B,2,0),Q201,1),"")</f>
        <v>Y</v>
      </c>
      <c r="Q201" s="3">
        <v>102</v>
      </c>
      <c r="R201" s="3" t="str">
        <f>IFERROR(MID(VLOOKUP($B201,Seqs!$A:$B,2,0),S201,1),"")</f>
        <v>G</v>
      </c>
      <c r="S201" s="3">
        <v>106</v>
      </c>
      <c r="T201" s="3" t="str">
        <f>IFERROR(MID(VLOOKUP($B201,Seqs!$A:$B,2,0),U201,1),"")</f>
        <v>P</v>
      </c>
      <c r="U201" s="3">
        <v>107</v>
      </c>
      <c r="V201" s="3" t="str">
        <f>IFERROR(MID(VLOOKUP($B201,Seqs!$A:$B,2,0),W201,1),"")</f>
        <v>K</v>
      </c>
      <c r="W201" s="3">
        <v>141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G</v>
      </c>
      <c r="AC201" s="3">
        <v>149</v>
      </c>
      <c r="AD201" s="3" t="str">
        <f>IFERROR(MID(VLOOKUP($B201,Seqs!$A:$B,2,0),AE201,1),"")</f>
        <v>V</v>
      </c>
      <c r="AE201" s="3">
        <v>173</v>
      </c>
      <c r="AF201" s="3" t="str">
        <f>IFERROR(MID(VLOOKUP($B201,Seqs!$A:$B,2,0),AG201,1),"")</f>
        <v>C</v>
      </c>
      <c r="AG201" s="3">
        <v>187</v>
      </c>
      <c r="AH201" s="3" t="str">
        <f>IFERROR(MID(VLOOKUP($B201,Seqs!$A:$B,2,0),AI201,1),"")</f>
        <v>I</v>
      </c>
      <c r="AI201" s="3">
        <v>189</v>
      </c>
      <c r="AJ201" s="3" t="str">
        <f>IFERROR(MID(VLOOKUP($B201,Seqs!$A:$B,2,0),AK201,1),"")</f>
        <v>N</v>
      </c>
      <c r="AK201" s="3">
        <v>199</v>
      </c>
      <c r="AL201" s="3" t="str">
        <f>IFERROR(MID(VLOOKUP($B201,Seqs!$A:$B,2,0),AM201,1),"")</f>
        <v>Q</v>
      </c>
      <c r="AM201" s="3">
        <v>236</v>
      </c>
      <c r="AN201" s="3" t="str">
        <f>IFERROR(MID(VLOOKUP($B201,Seqs!$A:$B,2,0),AO201,1),"")</f>
        <v>S</v>
      </c>
      <c r="AO201" s="3">
        <v>240</v>
      </c>
      <c r="AP201" s="3" t="str">
        <f>IFERROR(MID(VLOOKUP($B201,Seqs!$A:$B,2,0),AQ201,1),"")</f>
        <v>H</v>
      </c>
      <c r="AQ201" s="3">
        <v>278</v>
      </c>
      <c r="AR201" s="3" t="str">
        <f>IFERROR(MID(VLOOKUP($B201,Seqs!$A:$B,2,0),AS201,1),"")</f>
        <v>G</v>
      </c>
      <c r="AS201" s="3">
        <v>284</v>
      </c>
      <c r="AT201" s="3" t="str">
        <f>IFERROR(MID(VLOOKUP($B201,Seqs!$A:$B,2,0),AU201,1),"")</f>
        <v>M</v>
      </c>
      <c r="AU201" s="3">
        <v>309</v>
      </c>
      <c r="AV201" s="3" t="str">
        <f>IFERROR(MID(VLOOKUP($B201,Seqs!$A:$B,2,0),AW201,1),"")</f>
        <v>N</v>
      </c>
      <c r="AW201" s="3">
        <v>310</v>
      </c>
      <c r="AX201" s="3" t="str">
        <f>IFERROR(MID(VLOOKUP($B201,Seqs!$A:$B,2,0),AY201,1),"")</f>
        <v>C</v>
      </c>
      <c r="AY201" s="3">
        <v>322</v>
      </c>
      <c r="AZ201" s="77" t="str">
        <f>VLOOKUP(B201,Classification!A:D,2,0)</f>
        <v>A</v>
      </c>
      <c r="BA201" s="94" t="str">
        <f>VLOOKUP(B201,Classification!A:D,4,0)</f>
        <v>Opsins</v>
      </c>
      <c r="BB201" s="27" t="b">
        <f t="shared" si="336"/>
        <v>1</v>
      </c>
      <c r="BC201" s="23">
        <f t="shared" si="337"/>
        <v>250</v>
      </c>
      <c r="BD201" s="2" t="s">
        <v>23</v>
      </c>
      <c r="BE201" s="3" t="s">
        <v>1297</v>
      </c>
      <c r="BF201" s="119">
        <v>2.46</v>
      </c>
      <c r="BG201" s="49" t="s">
        <v>1</v>
      </c>
      <c r="BH201" s="49" t="s">
        <v>1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338"/>
        <v>33</v>
      </c>
      <c r="BW201" s="71">
        <f t="shared" si="339"/>
        <v>66</v>
      </c>
      <c r="BX201" s="72">
        <f t="shared" si="340"/>
        <v>73</v>
      </c>
      <c r="BY201" s="71">
        <f t="shared" si="341"/>
        <v>102</v>
      </c>
      <c r="BZ201" s="72">
        <f t="shared" si="342"/>
        <v>107</v>
      </c>
      <c r="CA201" s="71" t="str">
        <f t="shared" si="343"/>
        <v>-</v>
      </c>
      <c r="CB201" s="72">
        <f t="shared" si="344"/>
        <v>149</v>
      </c>
      <c r="CC201" s="71">
        <f t="shared" si="345"/>
        <v>187</v>
      </c>
      <c r="CD201" s="72">
        <f t="shared" si="346"/>
        <v>199</v>
      </c>
      <c r="CE201" s="71">
        <f t="shared" si="347"/>
        <v>240</v>
      </c>
      <c r="CF201" s="72">
        <f t="shared" si="348"/>
        <v>284</v>
      </c>
      <c r="CG201" s="71">
        <f t="shared" si="349"/>
        <v>310</v>
      </c>
      <c r="CH201" s="70">
        <f t="shared" si="350"/>
        <v>64</v>
      </c>
      <c r="CI201" s="71">
        <f t="shared" si="351"/>
        <v>69</v>
      </c>
      <c r="CJ201" s="72">
        <f t="shared" si="352"/>
        <v>101</v>
      </c>
      <c r="CK201" s="72">
        <f t="shared" si="353"/>
        <v>106</v>
      </c>
      <c r="CL201" s="72">
        <f t="shared" si="354"/>
        <v>141</v>
      </c>
      <c r="CM201" s="72" t="str">
        <f t="shared" si="355"/>
        <v>-</v>
      </c>
      <c r="CN201" s="72">
        <f t="shared" si="356"/>
        <v>173</v>
      </c>
      <c r="CO201" s="72">
        <f t="shared" si="357"/>
        <v>189</v>
      </c>
      <c r="CP201" s="72">
        <f t="shared" si="358"/>
        <v>236</v>
      </c>
      <c r="CQ201" s="72">
        <f t="shared" si="359"/>
        <v>278</v>
      </c>
      <c r="CR201" s="72">
        <f t="shared" si="360"/>
        <v>309</v>
      </c>
      <c r="CS201" s="72">
        <f t="shared" si="361"/>
        <v>322</v>
      </c>
      <c r="CT201" s="23">
        <f t="shared" si="362"/>
        <v>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335"/>
        <v>opsd_bovin_6FKD</v>
      </c>
      <c r="B202" s="3" t="s">
        <v>920</v>
      </c>
      <c r="C202" s="3" t="s">
        <v>1502</v>
      </c>
      <c r="D202" s="3" t="str">
        <f>IFERROR(MID(VLOOKUP($B202,Seqs!$A:$B,2,0),E202,1),"")</f>
        <v>E</v>
      </c>
      <c r="E202" s="3">
        <v>33</v>
      </c>
      <c r="F202" s="3" t="str">
        <f>IFERROR(MID(VLOOKUP($B202,Seqs!$A:$B,2,0),G202,1),"")</f>
        <v>Q</v>
      </c>
      <c r="G202" s="3">
        <v>64</v>
      </c>
      <c r="H202" s="3" t="str">
        <f>IFERROR(MID(VLOOKUP($B202,Seqs!$A:$B,2,0),I202,1),"")</f>
        <v>K</v>
      </c>
      <c r="I202" s="23">
        <v>66</v>
      </c>
      <c r="J202" s="3" t="str">
        <f>IFERROR(MID(VLOOKUP($B202,Seqs!$A:$B,2,0),K202,1),"")</f>
        <v>R</v>
      </c>
      <c r="K202" s="23">
        <v>69</v>
      </c>
      <c r="L202" s="3" t="str">
        <f>IFERROR(MID(VLOOKUP($B202,Seqs!$A:$B,2,0),M202,1),"")</f>
        <v>N</v>
      </c>
      <c r="M202" s="3">
        <v>73</v>
      </c>
      <c r="N202" s="3" t="str">
        <f>IFERROR(MID(VLOOKUP($B202,Seqs!$A:$B,2,0),O202,1),"")</f>
        <v>G</v>
      </c>
      <c r="O202" s="3">
        <v>101</v>
      </c>
      <c r="P202" s="3" t="str">
        <f>IFERROR(MID(VLOOKUP($B202,Seqs!$A:$B,2,0),Q202,1),"")</f>
        <v>Y</v>
      </c>
      <c r="Q202" s="3">
        <v>102</v>
      </c>
      <c r="R202" s="3" t="str">
        <f>IFERROR(MID(VLOOKUP($B202,Seqs!$A:$B,2,0),S202,1),"")</f>
        <v>G</v>
      </c>
      <c r="S202" s="3">
        <v>106</v>
      </c>
      <c r="T202" s="3" t="str">
        <f>IFERROR(MID(VLOOKUP($B202,Seqs!$A:$B,2,0),U202,1),"")</f>
        <v>P</v>
      </c>
      <c r="U202" s="3">
        <v>107</v>
      </c>
      <c r="V202" s="3" t="str">
        <f>IFERROR(MID(VLOOKUP($B202,Seqs!$A:$B,2,0),W202,1),"")</f>
        <v>K</v>
      </c>
      <c r="W202" s="3">
        <v>141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G</v>
      </c>
      <c r="AC202" s="3">
        <v>149</v>
      </c>
      <c r="AD202" s="3" t="str">
        <f>IFERROR(MID(VLOOKUP($B202,Seqs!$A:$B,2,0),AE202,1),"")</f>
        <v>V</v>
      </c>
      <c r="AE202" s="3">
        <v>173</v>
      </c>
      <c r="AF202" s="3" t="str">
        <f>IFERROR(MID(VLOOKUP($B202,Seqs!$A:$B,2,0),AG202,1),"")</f>
        <v>C</v>
      </c>
      <c r="AG202" s="3">
        <v>187</v>
      </c>
      <c r="AH202" s="3" t="str">
        <f>IFERROR(MID(VLOOKUP($B202,Seqs!$A:$B,2,0),AI202,1),"")</f>
        <v>I</v>
      </c>
      <c r="AI202" s="3">
        <v>189</v>
      </c>
      <c r="AJ202" s="3" t="str">
        <f>IFERROR(MID(VLOOKUP($B202,Seqs!$A:$B,2,0),AK202,1),"")</f>
        <v>N</v>
      </c>
      <c r="AK202" s="3">
        <v>199</v>
      </c>
      <c r="AL202" s="3" t="str">
        <f>IFERROR(MID(VLOOKUP($B202,Seqs!$A:$B,2,0),AM202,1),"")</f>
        <v>Q</v>
      </c>
      <c r="AM202" s="3">
        <v>236</v>
      </c>
      <c r="AN202" s="3" t="str">
        <f>IFERROR(MID(VLOOKUP($B202,Seqs!$A:$B,2,0),AO202,1),"")</f>
        <v>S</v>
      </c>
      <c r="AO202" s="3">
        <v>240</v>
      </c>
      <c r="AP202" s="3" t="str">
        <f>IFERROR(MID(VLOOKUP($B202,Seqs!$A:$B,2,0),AQ202,1),"")</f>
        <v>H</v>
      </c>
      <c r="AQ202" s="3">
        <v>278</v>
      </c>
      <c r="AR202" s="3" t="str">
        <f>IFERROR(MID(VLOOKUP($B202,Seqs!$A:$B,2,0),AS202,1),"")</f>
        <v>G</v>
      </c>
      <c r="AS202" s="3">
        <v>284</v>
      </c>
      <c r="AT202" s="3" t="str">
        <f>IFERROR(MID(VLOOKUP($B202,Seqs!$A:$B,2,0),AU202,1),"")</f>
        <v>M</v>
      </c>
      <c r="AU202" s="3">
        <v>309</v>
      </c>
      <c r="AV202" s="3" t="str">
        <f>IFERROR(MID(VLOOKUP($B202,Seqs!$A:$B,2,0),AW202,1),"")</f>
        <v>N</v>
      </c>
      <c r="AW202" s="3">
        <v>310</v>
      </c>
      <c r="AX202" s="3" t="str">
        <f>IFERROR(MID(VLOOKUP($B202,Seqs!$A:$B,2,0),AY202,1),"")</f>
        <v>C</v>
      </c>
      <c r="AY202" s="3">
        <v>322</v>
      </c>
      <c r="AZ202" s="77" t="str">
        <f>VLOOKUP(B202,Classification!A:D,2,0)</f>
        <v>A</v>
      </c>
      <c r="BA202" s="94" t="str">
        <f>VLOOKUP(B202,Classification!A:D,4,0)</f>
        <v>Opsins</v>
      </c>
      <c r="BB202" s="27" t="b">
        <f t="shared" si="336"/>
        <v>1</v>
      </c>
      <c r="BC202" s="23">
        <f t="shared" si="337"/>
        <v>250</v>
      </c>
      <c r="BD202" s="2" t="s">
        <v>23</v>
      </c>
      <c r="BE202" s="3" t="s">
        <v>1297</v>
      </c>
      <c r="BF202" s="119">
        <v>2.4900000000000002</v>
      </c>
      <c r="BG202" s="49" t="s">
        <v>1</v>
      </c>
      <c r="BH202" s="49" t="s">
        <v>1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338"/>
        <v>33</v>
      </c>
      <c r="BW202" s="71">
        <f t="shared" si="339"/>
        <v>66</v>
      </c>
      <c r="BX202" s="72">
        <f t="shared" si="340"/>
        <v>73</v>
      </c>
      <c r="BY202" s="71">
        <f t="shared" si="341"/>
        <v>102</v>
      </c>
      <c r="BZ202" s="72">
        <f t="shared" si="342"/>
        <v>107</v>
      </c>
      <c r="CA202" s="71" t="str">
        <f t="shared" si="343"/>
        <v>-</v>
      </c>
      <c r="CB202" s="72">
        <f t="shared" si="344"/>
        <v>149</v>
      </c>
      <c r="CC202" s="71">
        <f t="shared" si="345"/>
        <v>187</v>
      </c>
      <c r="CD202" s="72">
        <f t="shared" si="346"/>
        <v>199</v>
      </c>
      <c r="CE202" s="71">
        <f t="shared" si="347"/>
        <v>240</v>
      </c>
      <c r="CF202" s="72">
        <f t="shared" si="348"/>
        <v>284</v>
      </c>
      <c r="CG202" s="71">
        <f t="shared" si="349"/>
        <v>310</v>
      </c>
      <c r="CH202" s="70">
        <f t="shared" si="350"/>
        <v>64</v>
      </c>
      <c r="CI202" s="71">
        <f t="shared" si="351"/>
        <v>69</v>
      </c>
      <c r="CJ202" s="72">
        <f t="shared" si="352"/>
        <v>101</v>
      </c>
      <c r="CK202" s="72">
        <f t="shared" si="353"/>
        <v>106</v>
      </c>
      <c r="CL202" s="72">
        <f t="shared" si="354"/>
        <v>141</v>
      </c>
      <c r="CM202" s="72" t="str">
        <f t="shared" si="355"/>
        <v>-</v>
      </c>
      <c r="CN202" s="72">
        <f t="shared" si="356"/>
        <v>173</v>
      </c>
      <c r="CO202" s="72">
        <f t="shared" si="357"/>
        <v>189</v>
      </c>
      <c r="CP202" s="72">
        <f t="shared" si="358"/>
        <v>236</v>
      </c>
      <c r="CQ202" s="72">
        <f t="shared" si="359"/>
        <v>278</v>
      </c>
      <c r="CR202" s="72">
        <f t="shared" si="360"/>
        <v>309</v>
      </c>
      <c r="CS202" s="72">
        <f t="shared" si="361"/>
        <v>322</v>
      </c>
      <c r="CT202" s="23">
        <f t="shared" si="362"/>
        <v>4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333"/>
        <v>opsd_human__wt</v>
      </c>
      <c r="B203" s="3" t="s">
        <v>339</v>
      </c>
      <c r="C203" s="3" t="s">
        <v>100</v>
      </c>
      <c r="D203" s="3" t="str">
        <f>IFERROR(MID(VLOOKUP($B203,Seqs!$A:$B,2,0),E203,1),"")</f>
        <v>P</v>
      </c>
      <c r="E203" s="3">
        <v>34</v>
      </c>
      <c r="F203" s="3" t="str">
        <f>IFERROR(MID(VLOOKUP($B203,Seqs!$A:$B,2,0),G203,1),"")</f>
        <v>H</v>
      </c>
      <c r="G203" s="3">
        <v>65</v>
      </c>
      <c r="H203" s="3" t="str">
        <f>IFERROR(MID(VLOOKUP($B203,Seqs!$A:$B,2,0),I203,1),"")</f>
        <v>K</v>
      </c>
      <c r="I203" s="23">
        <v>66</v>
      </c>
      <c r="J203" s="3" t="str">
        <f>IFERROR(MID(VLOOKUP($B203,Seqs!$A:$B,2,0),K203,1),"")</f>
        <v>R</v>
      </c>
      <c r="K203" s="23">
        <v>69</v>
      </c>
      <c r="L203" s="3" t="str">
        <f>IFERROR(MID(VLOOKUP($B203,Seqs!$A:$B,2,0),M203,1),"")</f>
        <v>T</v>
      </c>
      <c r="M203" s="3">
        <v>70</v>
      </c>
      <c r="N203" s="3" t="str">
        <f>IFERROR(MID(VLOOKUP($B203,Seqs!$A:$B,2,0),O203,1),"")</f>
        <v>H</v>
      </c>
      <c r="O203" s="3">
        <v>100</v>
      </c>
      <c r="P203" s="3" t="str">
        <f>IFERROR(MID(VLOOKUP($B203,Seqs!$A:$B,2,0),Q203,1),"")</f>
        <v>Y</v>
      </c>
      <c r="Q203" s="3">
        <v>102</v>
      </c>
      <c r="R203" s="3" t="str">
        <f>IFERROR(MID(VLOOKUP($B203,Seqs!$A:$B,2,0),S203,1),"")</f>
        <v>F</v>
      </c>
      <c r="S203" s="3">
        <v>105</v>
      </c>
      <c r="T203" s="3" t="str">
        <f>IFERROR(MID(VLOOKUP($B203,Seqs!$A:$B,2,0),U203,1),"")</f>
        <v>G</v>
      </c>
      <c r="U203" s="3">
        <v>106</v>
      </c>
      <c r="V203" s="3" t="str">
        <f>IFERROR(MID(VLOOKUP($B203,Seqs!$A:$B,2,0),W203,1),"")</f>
        <v>K</v>
      </c>
      <c r="W203" s="3">
        <v>141</v>
      </c>
      <c r="X203" s="3" t="str">
        <f>IFERROR(MID(VLOOKUP($B203,Seqs!$A:$B,2,0),Y203,1),"")</f>
        <v>P</v>
      </c>
      <c r="Y203" s="3">
        <v>142</v>
      </c>
      <c r="Z203" s="3" t="str">
        <f>IFERROR(MID(VLOOKUP($B203,Seqs!$A:$B,2,0),AA203,1),"")</f>
        <v>F</v>
      </c>
      <c r="AA203" s="3">
        <v>148</v>
      </c>
      <c r="AB203" s="3" t="str">
        <f>IFERROR(MID(VLOOKUP($B203,Seqs!$A:$B,2,0),AC203,1),"")</f>
        <v>G</v>
      </c>
      <c r="AC203" s="9">
        <v>149</v>
      </c>
      <c r="AD203" s="3" t="str">
        <f>IFERROR(MID(VLOOKUP($B203,Seqs!$A:$B,2,0),AE203,1),"")</f>
        <v>A</v>
      </c>
      <c r="AE203" s="3">
        <v>173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I</v>
      </c>
      <c r="AI203" s="3">
        <v>189</v>
      </c>
      <c r="AJ203" s="3" t="str">
        <f>IFERROR(MID(VLOOKUP($B203,Seqs!$A:$B,2,0),AK203,1),"")</f>
        <v>N</v>
      </c>
      <c r="AK203" s="3">
        <v>199</v>
      </c>
      <c r="AL203" s="3" t="str">
        <f>IFERROR(MID(VLOOKUP($B203,Seqs!$A:$B,2,0),AM203,1),"")</f>
        <v>Q</v>
      </c>
      <c r="AM203" s="3">
        <v>237</v>
      </c>
      <c r="AN203" s="3" t="str">
        <f>IFERROR(MID(VLOOKUP($B203,Seqs!$A:$B,2,0),AO203,1),"")</f>
        <v>A</v>
      </c>
      <c r="AO203" s="3">
        <v>241</v>
      </c>
      <c r="AP203" s="3" t="str">
        <f>IFERROR(MID(VLOOKUP($B203,Seqs!$A:$B,2,0),AQ203,1),"")</f>
        <v>H</v>
      </c>
      <c r="AQ203" s="3">
        <v>278</v>
      </c>
      <c r="AR203" s="3" t="str">
        <f>IFERROR(MID(VLOOKUP($B203,Seqs!$A:$B,2,0),AS203,1),"")</f>
        <v>G</v>
      </c>
      <c r="AS203" s="3">
        <v>284</v>
      </c>
      <c r="AT203" s="3" t="str">
        <f>IFERROR(MID(VLOOKUP($B203,Seqs!$A:$B,2,0),AU203,1),"")</f>
        <v>M</v>
      </c>
      <c r="AU203" s="3">
        <v>309</v>
      </c>
      <c r="AV203" s="3" t="str">
        <f>IFERROR(MID(VLOOKUP($B203,Seqs!$A:$B,2,0),AW203,1),"")</f>
        <v>N</v>
      </c>
      <c r="AW203" s="3">
        <v>310</v>
      </c>
      <c r="AX203" s="3" t="str">
        <f>IFERROR(MID(VLOOKUP($B203,Seqs!$A:$B,2,0),AY203,1),"")</f>
        <v>C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Opsins</v>
      </c>
      <c r="BB203" s="27" t="b">
        <f t="shared" si="334"/>
        <v>1</v>
      </c>
      <c r="BC203" s="23">
        <f t="shared" si="307"/>
        <v>258</v>
      </c>
      <c r="BD203" s="56" t="s">
        <v>1379</v>
      </c>
      <c r="BE203" s="3" t="s">
        <v>23</v>
      </c>
      <c r="BF203" s="119" t="s">
        <v>23</v>
      </c>
      <c r="BG203" s="49" t="s">
        <v>1379</v>
      </c>
      <c r="BH203" s="49" t="s">
        <v>1384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308"/>
        <v>34</v>
      </c>
      <c r="BW203" s="71">
        <f t="shared" si="309"/>
        <v>66</v>
      </c>
      <c r="BX203" s="72">
        <f t="shared" si="310"/>
        <v>70</v>
      </c>
      <c r="BY203" s="71">
        <f t="shared" si="311"/>
        <v>102</v>
      </c>
      <c r="BZ203" s="72">
        <f t="shared" si="312"/>
        <v>106</v>
      </c>
      <c r="CA203" s="71">
        <f t="shared" si="313"/>
        <v>142</v>
      </c>
      <c r="CB203" s="72">
        <f t="shared" si="314"/>
        <v>149</v>
      </c>
      <c r="CC203" s="71">
        <f t="shared" si="315"/>
        <v>187</v>
      </c>
      <c r="CD203" s="72">
        <f t="shared" si="316"/>
        <v>199</v>
      </c>
      <c r="CE203" s="71">
        <f t="shared" si="317"/>
        <v>241</v>
      </c>
      <c r="CF203" s="72">
        <f t="shared" si="318"/>
        <v>284</v>
      </c>
      <c r="CG203" s="71">
        <f t="shared" si="319"/>
        <v>310</v>
      </c>
      <c r="CH203" s="70">
        <f t="shared" si="320"/>
        <v>65</v>
      </c>
      <c r="CI203" s="71">
        <f t="shared" si="321"/>
        <v>69</v>
      </c>
      <c r="CJ203" s="72">
        <f t="shared" si="322"/>
        <v>100</v>
      </c>
      <c r="CK203" s="72">
        <f t="shared" si="323"/>
        <v>105</v>
      </c>
      <c r="CL203" s="72">
        <f t="shared" si="324"/>
        <v>141</v>
      </c>
      <c r="CM203" s="72">
        <f t="shared" si="325"/>
        <v>148</v>
      </c>
      <c r="CN203" s="72">
        <f t="shared" si="326"/>
        <v>173</v>
      </c>
      <c r="CO203" s="72">
        <f t="shared" si="327"/>
        <v>189</v>
      </c>
      <c r="CP203" s="72">
        <f t="shared" si="328"/>
        <v>237</v>
      </c>
      <c r="CQ203" s="72">
        <f t="shared" si="329"/>
        <v>278</v>
      </c>
      <c r="CR203" s="72">
        <f t="shared" si="330"/>
        <v>309</v>
      </c>
      <c r="CS203" s="72">
        <f t="shared" si="331"/>
        <v>322</v>
      </c>
      <c r="CT203" s="23">
        <f t="shared" si="332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333"/>
        <v>opsd_human_4ZWJ</v>
      </c>
      <c r="B204" s="3" t="s">
        <v>339</v>
      </c>
      <c r="C204" s="3" t="s">
        <v>55</v>
      </c>
      <c r="D204" s="3" t="str">
        <f>IFERROR(MID(VLOOKUP($B204,Seqs!$A:$B,2,0),E204,1),"")</f>
        <v>P</v>
      </c>
      <c r="E204" s="3">
        <v>34</v>
      </c>
      <c r="F204" s="3" t="str">
        <f>IFERROR(MID(VLOOKUP($B204,Seqs!$A:$B,2,0),G204,1),"")</f>
        <v>H</v>
      </c>
      <c r="G204" s="3">
        <v>65</v>
      </c>
      <c r="H204" s="3" t="str">
        <f>IFERROR(MID(VLOOKUP($B204,Seqs!$A:$B,2,0),I204,1),"")</f>
        <v>K</v>
      </c>
      <c r="I204" s="23">
        <v>66</v>
      </c>
      <c r="J204" s="3" t="str">
        <f>IFERROR(MID(VLOOKUP($B204,Seqs!$A:$B,2,0),K204,1),"")</f>
        <v>R</v>
      </c>
      <c r="K204" s="23">
        <v>69</v>
      </c>
      <c r="L204" s="3" t="str">
        <f>IFERROR(MID(VLOOKUP($B204,Seqs!$A:$B,2,0),M204,1),"")</f>
        <v>T</v>
      </c>
      <c r="M204" s="3">
        <v>70</v>
      </c>
      <c r="N204" s="3" t="str">
        <f>IFERROR(MID(VLOOKUP($B204,Seqs!$A:$B,2,0),O204,1),"")</f>
        <v>H</v>
      </c>
      <c r="O204" s="3">
        <v>100</v>
      </c>
      <c r="P204" s="3" t="str">
        <f>IFERROR(MID(VLOOKUP($B204,Seqs!$A:$B,2,0),Q204,1),"")</f>
        <v>Y</v>
      </c>
      <c r="Q204" s="3">
        <v>102</v>
      </c>
      <c r="R204" s="3" t="str">
        <f>IFERROR(MID(VLOOKUP($B204,Seqs!$A:$B,2,0),S204,1),"")</f>
        <v>F</v>
      </c>
      <c r="S204" s="3">
        <v>105</v>
      </c>
      <c r="T204" s="3" t="str">
        <f>IFERROR(MID(VLOOKUP($B204,Seqs!$A:$B,2,0),U204,1),"")</f>
        <v>G</v>
      </c>
      <c r="U204" s="3">
        <v>106</v>
      </c>
      <c r="V204" s="3" t="str">
        <f>IFERROR(MID(VLOOKUP($B204,Seqs!$A:$B,2,0),W204,1),"")</f>
        <v>K</v>
      </c>
      <c r="W204" s="3">
        <v>141</v>
      </c>
      <c r="X204" s="3" t="str">
        <f>IFERROR(MID(VLOOKUP($B204,Seqs!$A:$B,2,0),Y204,1),"")</f>
        <v>P</v>
      </c>
      <c r="Y204" s="3">
        <v>142</v>
      </c>
      <c r="Z204" s="3" t="str">
        <f>IFERROR(MID(VLOOKUP($B204,Seqs!$A:$B,2,0),AA204,1),"")</f>
        <v>F</v>
      </c>
      <c r="AA204" s="3">
        <v>148</v>
      </c>
      <c r="AB204" s="3" t="str">
        <f>IFERROR(MID(VLOOKUP($B204,Seqs!$A:$B,2,0),AC204,1),"")</f>
        <v>G</v>
      </c>
      <c r="AC204" s="9">
        <v>149</v>
      </c>
      <c r="AD204" s="3" t="str">
        <f>IFERROR(MID(VLOOKUP($B204,Seqs!$A:$B,2,0),AE204,1),"")</f>
        <v>A</v>
      </c>
      <c r="AE204" s="3">
        <v>173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I</v>
      </c>
      <c r="AI204" s="3">
        <v>189</v>
      </c>
      <c r="AJ204" s="3" t="str">
        <f>IFERROR(MID(VLOOKUP($B204,Seqs!$A:$B,2,0),AK204,1),"")</f>
        <v>N</v>
      </c>
      <c r="AK204" s="3">
        <v>199</v>
      </c>
      <c r="AL204" s="3" t="str">
        <f>IFERROR(MID(VLOOKUP($B204,Seqs!$A:$B,2,0),AM204,1),"")</f>
        <v>Q</v>
      </c>
      <c r="AM204" s="3">
        <v>237</v>
      </c>
      <c r="AN204" s="3" t="str">
        <f>IFERROR(MID(VLOOKUP($B204,Seqs!$A:$B,2,0),AO204,1),"")</f>
        <v>A</v>
      </c>
      <c r="AO204" s="3">
        <v>241</v>
      </c>
      <c r="AP204" s="3" t="str">
        <f>IFERROR(MID(VLOOKUP($B204,Seqs!$A:$B,2,0),AQ204,1),"")</f>
        <v>H</v>
      </c>
      <c r="AQ204" s="3">
        <v>278</v>
      </c>
      <c r="AR204" s="3" t="str">
        <f>IFERROR(MID(VLOOKUP($B204,Seqs!$A:$B,2,0),AS204,1),"")</f>
        <v>G</v>
      </c>
      <c r="AS204" s="3">
        <v>284</v>
      </c>
      <c r="AT204" s="3" t="str">
        <f>IFERROR(MID(VLOOKUP($B204,Seqs!$A:$B,2,0),AU204,1),"")</f>
        <v>M</v>
      </c>
      <c r="AU204" s="3">
        <v>309</v>
      </c>
      <c r="AV204" s="3" t="str">
        <f>IFERROR(MID(VLOOKUP($B204,Seqs!$A:$B,2,0),AW204,1),"")</f>
        <v>N</v>
      </c>
      <c r="AW204" s="3">
        <v>310</v>
      </c>
      <c r="AX204" s="3" t="str">
        <f>IFERROR(MID(VLOOKUP($B204,Seqs!$A:$B,2,0),AY204,1),"")</f>
        <v>C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Opsins</v>
      </c>
      <c r="BB204" s="27" t="b">
        <f t="shared" si="334"/>
        <v>1</v>
      </c>
      <c r="BC204" s="23">
        <f t="shared" si="307"/>
        <v>258</v>
      </c>
      <c r="BD204" s="2" t="s">
        <v>1382</v>
      </c>
      <c r="BE204" s="3" t="s">
        <v>1297</v>
      </c>
      <c r="BF204" s="119">
        <v>3.3</v>
      </c>
      <c r="BG204" s="49" t="s">
        <v>1384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308"/>
        <v>34</v>
      </c>
      <c r="BW204" s="71">
        <f t="shared" si="309"/>
        <v>66</v>
      </c>
      <c r="BX204" s="72">
        <f t="shared" si="310"/>
        <v>70</v>
      </c>
      <c r="BY204" s="71">
        <f t="shared" si="311"/>
        <v>102</v>
      </c>
      <c r="BZ204" s="72">
        <f t="shared" si="312"/>
        <v>106</v>
      </c>
      <c r="CA204" s="71">
        <f t="shared" si="313"/>
        <v>142</v>
      </c>
      <c r="CB204" s="72">
        <f t="shared" si="314"/>
        <v>149</v>
      </c>
      <c r="CC204" s="71">
        <f t="shared" si="315"/>
        <v>187</v>
      </c>
      <c r="CD204" s="72">
        <f t="shared" si="316"/>
        <v>199</v>
      </c>
      <c r="CE204" s="71">
        <f t="shared" si="317"/>
        <v>241</v>
      </c>
      <c r="CF204" s="72">
        <f t="shared" si="318"/>
        <v>284</v>
      </c>
      <c r="CG204" s="71">
        <f t="shared" si="319"/>
        <v>310</v>
      </c>
      <c r="CH204" s="70">
        <f t="shared" si="320"/>
        <v>65</v>
      </c>
      <c r="CI204" s="71">
        <f t="shared" si="321"/>
        <v>69</v>
      </c>
      <c r="CJ204" s="72">
        <f t="shared" si="322"/>
        <v>100</v>
      </c>
      <c r="CK204" s="72">
        <f t="shared" si="323"/>
        <v>105</v>
      </c>
      <c r="CL204" s="72">
        <f t="shared" si="324"/>
        <v>141</v>
      </c>
      <c r="CM204" s="72">
        <f t="shared" si="325"/>
        <v>148</v>
      </c>
      <c r="CN204" s="72">
        <f t="shared" si="326"/>
        <v>173</v>
      </c>
      <c r="CO204" s="72">
        <f t="shared" si="327"/>
        <v>189</v>
      </c>
      <c r="CP204" s="72">
        <f t="shared" si="328"/>
        <v>237</v>
      </c>
      <c r="CQ204" s="72">
        <f t="shared" si="329"/>
        <v>278</v>
      </c>
      <c r="CR204" s="72">
        <f t="shared" si="330"/>
        <v>309</v>
      </c>
      <c r="CS204" s="72">
        <f t="shared" si="331"/>
        <v>322</v>
      </c>
      <c r="CT204" s="23">
        <f t="shared" si="332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333"/>
        <v>opsd_human_5DGY</v>
      </c>
      <c r="B205" s="3" t="s">
        <v>339</v>
      </c>
      <c r="C205" s="3" t="s">
        <v>1445</v>
      </c>
      <c r="D205" s="3" t="str">
        <f>IFERROR(MID(VLOOKUP($B205,Seqs!$A:$B,2,0),E205,1),"")</f>
        <v>P</v>
      </c>
      <c r="E205" s="3">
        <v>34</v>
      </c>
      <c r="F205" s="3" t="str">
        <f>IFERROR(MID(VLOOKUP($B205,Seqs!$A:$B,2,0),G205,1),"")</f>
        <v>H</v>
      </c>
      <c r="G205" s="3">
        <v>65</v>
      </c>
      <c r="H205" s="3" t="str">
        <f>IFERROR(MID(VLOOKUP($B205,Seqs!$A:$B,2,0),I205,1),"")</f>
        <v>K</v>
      </c>
      <c r="I205" s="23">
        <v>66</v>
      </c>
      <c r="J205" s="3" t="str">
        <f>IFERROR(MID(VLOOKUP($B205,Seqs!$A:$B,2,0),K205,1),"")</f>
        <v>R</v>
      </c>
      <c r="K205" s="23">
        <v>69</v>
      </c>
      <c r="L205" s="3" t="str">
        <f>IFERROR(MID(VLOOKUP($B205,Seqs!$A:$B,2,0),M205,1),"")</f>
        <v>T</v>
      </c>
      <c r="M205" s="3">
        <v>70</v>
      </c>
      <c r="N205" s="3" t="str">
        <f>IFERROR(MID(VLOOKUP($B205,Seqs!$A:$B,2,0),O205,1),"")</f>
        <v>H</v>
      </c>
      <c r="O205" s="3">
        <v>100</v>
      </c>
      <c r="P205" s="3" t="str">
        <f>IFERROR(MID(VLOOKUP($B205,Seqs!$A:$B,2,0),Q205,1),"")</f>
        <v>Y</v>
      </c>
      <c r="Q205" s="3">
        <v>102</v>
      </c>
      <c r="R205" s="3" t="str">
        <f>IFERROR(MID(VLOOKUP($B205,Seqs!$A:$B,2,0),S205,1),"")</f>
        <v>F</v>
      </c>
      <c r="S205" s="3">
        <v>105</v>
      </c>
      <c r="T205" s="3" t="str">
        <f>IFERROR(MID(VLOOKUP($B205,Seqs!$A:$B,2,0),U205,1),"")</f>
        <v>G</v>
      </c>
      <c r="U205" s="3">
        <v>106</v>
      </c>
      <c r="V205" s="3" t="str">
        <f>IFERROR(MID(VLOOKUP($B205,Seqs!$A:$B,2,0),W205,1),"")</f>
        <v>K</v>
      </c>
      <c r="W205" s="3">
        <v>141</v>
      </c>
      <c r="X205" s="3" t="str">
        <f>IFERROR(MID(VLOOKUP($B205,Seqs!$A:$B,2,0),Y205,1),"")</f>
        <v>P</v>
      </c>
      <c r="Y205" s="3">
        <v>142</v>
      </c>
      <c r="Z205" s="3" t="str">
        <f>IFERROR(MID(VLOOKUP($B205,Seqs!$A:$B,2,0),AA205,1),"")</f>
        <v>F</v>
      </c>
      <c r="AA205" s="3">
        <v>148</v>
      </c>
      <c r="AB205" s="3" t="str">
        <f>IFERROR(MID(VLOOKUP($B205,Seqs!$A:$B,2,0),AC205,1),"")</f>
        <v>G</v>
      </c>
      <c r="AC205" s="3">
        <v>149</v>
      </c>
      <c r="AD205" s="3" t="str">
        <f>IFERROR(MID(VLOOKUP($B205,Seqs!$A:$B,2,0),AE205,1),"")</f>
        <v>A</v>
      </c>
      <c r="AE205" s="3">
        <v>173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I</v>
      </c>
      <c r="AI205" s="3">
        <v>189</v>
      </c>
      <c r="AJ205" s="3" t="str">
        <f>IFERROR(MID(VLOOKUP($B205,Seqs!$A:$B,2,0),AK205,1),"")</f>
        <v>N</v>
      </c>
      <c r="AK205" s="3">
        <v>199</v>
      </c>
      <c r="AL205" s="3" t="str">
        <f>IFERROR(MID(VLOOKUP($B205,Seqs!$A:$B,2,0),AM205,1),"")</f>
        <v>Q</v>
      </c>
      <c r="AM205" s="3">
        <v>237</v>
      </c>
      <c r="AN205" s="3" t="str">
        <f>IFERROR(MID(VLOOKUP($B205,Seqs!$A:$B,2,0),AO205,1),"")</f>
        <v>A</v>
      </c>
      <c r="AO205" s="3">
        <v>241</v>
      </c>
      <c r="AP205" s="3" t="str">
        <f>IFERROR(MID(VLOOKUP($B205,Seqs!$A:$B,2,0),AQ205,1),"")</f>
        <v>H</v>
      </c>
      <c r="AQ205" s="3">
        <v>278</v>
      </c>
      <c r="AR205" s="3" t="str">
        <f>IFERROR(MID(VLOOKUP($B205,Seqs!$A:$B,2,0),AS205,1),"")</f>
        <v>G</v>
      </c>
      <c r="AS205" s="3">
        <v>284</v>
      </c>
      <c r="AT205" s="3" t="str">
        <f>IFERROR(MID(VLOOKUP($B205,Seqs!$A:$B,2,0),AU205,1),"")</f>
        <v>M</v>
      </c>
      <c r="AU205" s="3">
        <v>309</v>
      </c>
      <c r="AV205" s="3" t="str">
        <f>IFERROR(MID(VLOOKUP($B205,Seqs!$A:$B,2,0),AW205,1),"")</f>
        <v>N</v>
      </c>
      <c r="AW205" s="3">
        <v>310</v>
      </c>
      <c r="AX205" s="3" t="str">
        <f>IFERROR(MID(VLOOKUP($B205,Seqs!$A:$B,2,0),AY205,1),"")</f>
        <v>C</v>
      </c>
      <c r="AY205" s="3">
        <v>322</v>
      </c>
      <c r="AZ205" s="77" t="str">
        <f>VLOOKUP(B205,Classification!A:D,2,0)</f>
        <v>A</v>
      </c>
      <c r="BA205" s="94" t="str">
        <f>VLOOKUP(B205,Classification!A:D,4,0)</f>
        <v>Opsins</v>
      </c>
      <c r="BB205" s="27" t="b">
        <f t="shared" si="334"/>
        <v>1</v>
      </c>
      <c r="BC205" s="23">
        <f t="shared" si="307"/>
        <v>258</v>
      </c>
      <c r="BD205" s="2" t="s">
        <v>23</v>
      </c>
      <c r="BE205" s="3" t="s">
        <v>1297</v>
      </c>
      <c r="BF205" s="119">
        <v>7.7</v>
      </c>
      <c r="BG205" s="49" t="s">
        <v>1444</v>
      </c>
      <c r="BH205" s="49" t="s">
        <v>1444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308"/>
        <v>34</v>
      </c>
      <c r="BW205" s="71">
        <f t="shared" si="309"/>
        <v>66</v>
      </c>
      <c r="BX205" s="72">
        <f t="shared" si="310"/>
        <v>70</v>
      </c>
      <c r="BY205" s="71">
        <f t="shared" si="311"/>
        <v>102</v>
      </c>
      <c r="BZ205" s="72">
        <f t="shared" si="312"/>
        <v>106</v>
      </c>
      <c r="CA205" s="71">
        <f t="shared" si="313"/>
        <v>142</v>
      </c>
      <c r="CB205" s="72">
        <f t="shared" si="314"/>
        <v>149</v>
      </c>
      <c r="CC205" s="71">
        <f t="shared" si="315"/>
        <v>187</v>
      </c>
      <c r="CD205" s="72">
        <f t="shared" si="316"/>
        <v>199</v>
      </c>
      <c r="CE205" s="71">
        <f t="shared" si="317"/>
        <v>241</v>
      </c>
      <c r="CF205" s="72">
        <f t="shared" si="318"/>
        <v>284</v>
      </c>
      <c r="CG205" s="71">
        <f t="shared" si="319"/>
        <v>310</v>
      </c>
      <c r="CH205" s="70">
        <f t="shared" si="320"/>
        <v>65</v>
      </c>
      <c r="CI205" s="71">
        <f t="shared" si="321"/>
        <v>69</v>
      </c>
      <c r="CJ205" s="72">
        <f t="shared" si="322"/>
        <v>100</v>
      </c>
      <c r="CK205" s="72">
        <f t="shared" si="323"/>
        <v>105</v>
      </c>
      <c r="CL205" s="72">
        <f t="shared" si="324"/>
        <v>141</v>
      </c>
      <c r="CM205" s="72">
        <f t="shared" si="325"/>
        <v>148</v>
      </c>
      <c r="CN205" s="72">
        <f t="shared" si="326"/>
        <v>173</v>
      </c>
      <c r="CO205" s="72">
        <f t="shared" si="327"/>
        <v>189</v>
      </c>
      <c r="CP205" s="72">
        <f t="shared" si="328"/>
        <v>237</v>
      </c>
      <c r="CQ205" s="72">
        <f t="shared" si="329"/>
        <v>278</v>
      </c>
      <c r="CR205" s="72">
        <f t="shared" si="330"/>
        <v>309</v>
      </c>
      <c r="CS205" s="72">
        <f t="shared" si="331"/>
        <v>322</v>
      </c>
      <c r="CT205" s="23">
        <f t="shared" si="332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opsd_human_5W0P</v>
      </c>
      <c r="B206" s="3" t="s">
        <v>339</v>
      </c>
      <c r="C206" s="3" t="s">
        <v>1443</v>
      </c>
      <c r="D206" s="3" t="str">
        <f>IFERROR(MID(VLOOKUP($B206,Seqs!$A:$B,2,0),E206,1),"")</f>
        <v>P</v>
      </c>
      <c r="E206" s="3">
        <v>34</v>
      </c>
      <c r="F206" s="3" t="str">
        <f>IFERROR(MID(VLOOKUP($B206,Seqs!$A:$B,2,0),G206,1),"")</f>
        <v>H</v>
      </c>
      <c r="G206" s="3">
        <v>65</v>
      </c>
      <c r="H206" s="3" t="str">
        <f>IFERROR(MID(VLOOKUP($B206,Seqs!$A:$B,2,0),I206,1),"")</f>
        <v>K</v>
      </c>
      <c r="I206" s="23">
        <v>66</v>
      </c>
      <c r="J206" s="3" t="str">
        <f>IFERROR(MID(VLOOKUP($B206,Seqs!$A:$B,2,0),K206,1),"")</f>
        <v>R</v>
      </c>
      <c r="K206" s="23">
        <v>69</v>
      </c>
      <c r="L206" s="3" t="str">
        <f>IFERROR(MID(VLOOKUP($B206,Seqs!$A:$B,2,0),M206,1),"")</f>
        <v>T</v>
      </c>
      <c r="M206" s="3">
        <v>70</v>
      </c>
      <c r="N206" s="3" t="str">
        <f>IFERROR(MID(VLOOKUP($B206,Seqs!$A:$B,2,0),O206,1),"")</f>
        <v>H</v>
      </c>
      <c r="O206" s="3">
        <v>100</v>
      </c>
      <c r="P206" s="3" t="str">
        <f>IFERROR(MID(VLOOKUP($B206,Seqs!$A:$B,2,0),Q206,1),"")</f>
        <v>Y</v>
      </c>
      <c r="Q206" s="3">
        <v>102</v>
      </c>
      <c r="R206" s="3" t="str">
        <f>IFERROR(MID(VLOOKUP($B206,Seqs!$A:$B,2,0),S206,1),"")</f>
        <v>F</v>
      </c>
      <c r="S206" s="3">
        <v>105</v>
      </c>
      <c r="T206" s="3" t="str">
        <f>IFERROR(MID(VLOOKUP($B206,Seqs!$A:$B,2,0),U206,1),"")</f>
        <v>G</v>
      </c>
      <c r="U206" s="3">
        <v>106</v>
      </c>
      <c r="V206" s="3" t="str">
        <f>IFERROR(MID(VLOOKUP($B206,Seqs!$A:$B,2,0),W206,1),"")</f>
        <v>K</v>
      </c>
      <c r="W206" s="3">
        <v>141</v>
      </c>
      <c r="X206" s="3" t="str">
        <f>IFERROR(MID(VLOOKUP($B206,Seqs!$A:$B,2,0),Y206,1),"")</f>
        <v>P</v>
      </c>
      <c r="Y206" s="3">
        <v>142</v>
      </c>
      <c r="Z206" s="3" t="str">
        <f>IFERROR(MID(VLOOKUP($B206,Seqs!$A:$B,2,0),AA206,1),"")</f>
        <v>F</v>
      </c>
      <c r="AA206" s="3">
        <v>148</v>
      </c>
      <c r="AB206" s="3" t="str">
        <f>IFERROR(MID(VLOOKUP($B206,Seqs!$A:$B,2,0),AC206,1),"")</f>
        <v>G</v>
      </c>
      <c r="AC206" s="3">
        <v>149</v>
      </c>
      <c r="AD206" s="3" t="str">
        <f>IFERROR(MID(VLOOKUP($B206,Seqs!$A:$B,2,0),AE206,1),"")</f>
        <v>A</v>
      </c>
      <c r="AE206" s="3">
        <v>173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I</v>
      </c>
      <c r="AI206" s="3">
        <v>189</v>
      </c>
      <c r="AJ206" s="3" t="str">
        <f>IFERROR(MID(VLOOKUP($B206,Seqs!$A:$B,2,0),AK206,1),"")</f>
        <v>N</v>
      </c>
      <c r="AK206" s="3">
        <v>199</v>
      </c>
      <c r="AL206" s="3" t="str">
        <f>IFERROR(MID(VLOOKUP($B206,Seqs!$A:$B,2,0),AM206,1),"")</f>
        <v>Q</v>
      </c>
      <c r="AM206" s="3">
        <v>237</v>
      </c>
      <c r="AN206" s="3" t="str">
        <f>IFERROR(MID(VLOOKUP($B206,Seqs!$A:$B,2,0),AO206,1),"")</f>
        <v>A</v>
      </c>
      <c r="AO206" s="3">
        <v>241</v>
      </c>
      <c r="AP206" s="3" t="str">
        <f>IFERROR(MID(VLOOKUP($B206,Seqs!$A:$B,2,0),AQ206,1),"")</f>
        <v>H</v>
      </c>
      <c r="AQ206" s="3">
        <v>278</v>
      </c>
      <c r="AR206" s="3" t="str">
        <f>IFERROR(MID(VLOOKUP($B206,Seqs!$A:$B,2,0),AS206,1),"")</f>
        <v>G</v>
      </c>
      <c r="AS206" s="3">
        <v>284</v>
      </c>
      <c r="AT206" s="3" t="str">
        <f>IFERROR(MID(VLOOKUP($B206,Seqs!$A:$B,2,0),AU206,1),"")</f>
        <v>M</v>
      </c>
      <c r="AU206" s="3">
        <v>309</v>
      </c>
      <c r="AV206" s="3" t="str">
        <f>IFERROR(MID(VLOOKUP($B206,Seqs!$A:$B,2,0),AW206,1),"")</f>
        <v>N</v>
      </c>
      <c r="AW206" s="3">
        <v>310</v>
      </c>
      <c r="AX206" s="3" t="str">
        <f>IFERROR(MID(VLOOKUP($B206,Seqs!$A:$B,2,0),AY206,1),"")</f>
        <v>C</v>
      </c>
      <c r="AY206" s="3">
        <v>322</v>
      </c>
      <c r="AZ206" s="77" t="str">
        <f>VLOOKUP(B206,Classification!A:D,2,0)</f>
        <v>A</v>
      </c>
      <c r="BA206" s="94" t="str">
        <f>VLOOKUP(B206,Classification!A:D,4,0)</f>
        <v>Opsins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258</v>
      </c>
      <c r="BD206" s="2" t="s">
        <v>23</v>
      </c>
      <c r="BE206" s="3" t="s">
        <v>1297</v>
      </c>
      <c r="BF206" s="119">
        <v>3.01</v>
      </c>
      <c r="BG206" s="49" t="s">
        <v>1444</v>
      </c>
      <c r="BH206" s="49" t="s">
        <v>1444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>E206</f>
        <v>34</v>
      </c>
      <c r="BW206" s="71">
        <f>I206</f>
        <v>66</v>
      </c>
      <c r="BX206" s="72">
        <f>M206</f>
        <v>70</v>
      </c>
      <c r="BY206" s="71">
        <f>Q206</f>
        <v>102</v>
      </c>
      <c r="BZ206" s="72">
        <f>U206</f>
        <v>106</v>
      </c>
      <c r="CA206" s="71">
        <f>Y206</f>
        <v>142</v>
      </c>
      <c r="CB206" s="72">
        <f>AC206</f>
        <v>149</v>
      </c>
      <c r="CC206" s="71">
        <f>AG206</f>
        <v>187</v>
      </c>
      <c r="CD206" s="72">
        <f>AK206</f>
        <v>199</v>
      </c>
      <c r="CE206" s="71">
        <f>AO206</f>
        <v>241</v>
      </c>
      <c r="CF206" s="72">
        <f>AS206</f>
        <v>284</v>
      </c>
      <c r="CG206" s="71">
        <f>AW206</f>
        <v>310</v>
      </c>
      <c r="CH206" s="70">
        <f>G206</f>
        <v>65</v>
      </c>
      <c r="CI206" s="71">
        <f>K206</f>
        <v>69</v>
      </c>
      <c r="CJ206" s="72">
        <f>O206</f>
        <v>100</v>
      </c>
      <c r="CK206" s="72">
        <f>S206</f>
        <v>105</v>
      </c>
      <c r="CL206" s="72">
        <f>W206</f>
        <v>141</v>
      </c>
      <c r="CM206" s="72">
        <f>AA206</f>
        <v>148</v>
      </c>
      <c r="CN206" s="72">
        <f>AE206</f>
        <v>173</v>
      </c>
      <c r="CO206" s="72">
        <f>AI206</f>
        <v>189</v>
      </c>
      <c r="CP206" s="72">
        <f>AM206</f>
        <v>237</v>
      </c>
      <c r="CQ206" s="72">
        <f>AQ206</f>
        <v>278</v>
      </c>
      <c r="CR206" s="72">
        <f>AU206</f>
        <v>309</v>
      </c>
      <c r="CS206" s="72">
        <f>AY206</f>
        <v>322</v>
      </c>
      <c r="CT206" s="23">
        <f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s="12" customFormat="1" x14ac:dyDescent="0.2">
      <c r="A207" s="9" t="str">
        <f>CONCATENATE(B207,"_",C207)</f>
        <v>opsd_human_6CMO</v>
      </c>
      <c r="B207" s="9" t="s">
        <v>339</v>
      </c>
      <c r="C207" s="9" t="s">
        <v>1518</v>
      </c>
      <c r="D207" s="9" t="str">
        <f>IFERROR(MID(VLOOKUP($B207,Seqs!$A:$B,2,0),E207,1),"")</f>
        <v>E</v>
      </c>
      <c r="E207" s="9">
        <v>33</v>
      </c>
      <c r="F207" s="9" t="str">
        <f>IFERROR(MID(VLOOKUP($B207,Seqs!$A:$B,2,0),G207,1),"")</f>
        <v>H</v>
      </c>
      <c r="G207" s="9">
        <v>65</v>
      </c>
      <c r="H207" s="9" t="str">
        <f>IFERROR(MID(VLOOKUP($B207,Seqs!$A:$B,2,0),I207,1),"")</f>
        <v>K</v>
      </c>
      <c r="I207" s="109">
        <v>66</v>
      </c>
      <c r="J207" s="9" t="str">
        <f>IFERROR(MID(VLOOKUP($B207,Seqs!$A:$B,2,0),K207,1),"")</f>
        <v>R</v>
      </c>
      <c r="K207" s="109">
        <v>69</v>
      </c>
      <c r="L207" s="9" t="str">
        <f>IFERROR(MID(VLOOKUP($B207,Seqs!$A:$B,2,0),M207,1),"")</f>
        <v>T</v>
      </c>
      <c r="M207" s="9">
        <v>70</v>
      </c>
      <c r="N207" s="9" t="str">
        <f>IFERROR(MID(VLOOKUP($B207,Seqs!$A:$B,2,0),O207,1),"")</f>
        <v>G</v>
      </c>
      <c r="O207" s="9">
        <v>101</v>
      </c>
      <c r="P207" s="9" t="str">
        <f>IFERROR(MID(VLOOKUP($B207,Seqs!$A:$B,2,0),Q207,1),"")</f>
        <v>Y</v>
      </c>
      <c r="Q207" s="9">
        <v>102</v>
      </c>
      <c r="R207" s="9" t="str">
        <f>IFERROR(MID(VLOOKUP($B207,Seqs!$A:$B,2,0),S207,1),"")</f>
        <v>F</v>
      </c>
      <c r="S207" s="9">
        <v>105</v>
      </c>
      <c r="T207" s="9" t="str">
        <f>IFERROR(MID(VLOOKUP($B207,Seqs!$A:$B,2,0),U207,1),"")</f>
        <v>G</v>
      </c>
      <c r="U207" s="9">
        <v>106</v>
      </c>
      <c r="V207" s="9" t="str">
        <f>IFERROR(MID(VLOOKUP($B207,Seqs!$A:$B,2,0),W207,1),"")</f>
        <v>K</v>
      </c>
      <c r="W207" s="9">
        <v>141</v>
      </c>
      <c r="X207" s="9" t="str">
        <f>IFERROR(MID(VLOOKUP($B207,Seqs!$A:$B,2,0),Y207,1),"")</f>
        <v/>
      </c>
      <c r="Y207" s="9" t="s">
        <v>23</v>
      </c>
      <c r="Z207" s="9" t="str">
        <f>IFERROR(MID(VLOOKUP($B207,Seqs!$A:$B,2,0),AA207,1),"")</f>
        <v/>
      </c>
      <c r="AA207" s="9" t="s">
        <v>23</v>
      </c>
      <c r="AB207" s="9" t="str">
        <f>IFERROR(MID(VLOOKUP($B207,Seqs!$A:$B,2,0),AC207,1),"")</f>
        <v>E</v>
      </c>
      <c r="AC207" s="9">
        <v>150</v>
      </c>
      <c r="AD207" s="9" t="str">
        <f>IFERROR(MID(VLOOKUP($B207,Seqs!$A:$B,2,0),AE207,1),"")</f>
        <v>A</v>
      </c>
      <c r="AE207" s="9">
        <v>173</v>
      </c>
      <c r="AF207" s="9" t="str">
        <f>IFERROR(MID(VLOOKUP($B207,Seqs!$A:$B,2,0),AG207,1),"")</f>
        <v>C</v>
      </c>
      <c r="AG207" s="9">
        <v>187</v>
      </c>
      <c r="AH207" s="9" t="str">
        <f>IFERROR(MID(VLOOKUP($B207,Seqs!$A:$B,2,0),AI207,1),"")</f>
        <v>I</v>
      </c>
      <c r="AI207" s="9">
        <v>189</v>
      </c>
      <c r="AJ207" s="9" t="str">
        <f>IFERROR(MID(VLOOKUP($B207,Seqs!$A:$B,2,0),AK207,1),"")</f>
        <v>N</v>
      </c>
      <c r="AK207" s="9">
        <v>200</v>
      </c>
      <c r="AL207" s="9" t="str">
        <f>IFERROR(MID(VLOOKUP($B207,Seqs!$A:$B,2,0),AM207,1),"")</f>
        <v>Q</v>
      </c>
      <c r="AM207" s="9">
        <v>238</v>
      </c>
      <c r="AN207" s="9" t="str">
        <f>IFERROR(MID(VLOOKUP($B207,Seqs!$A:$B,2,0),AO207,1),"")</f>
        <v>S</v>
      </c>
      <c r="AO207" s="9">
        <v>240</v>
      </c>
      <c r="AP207" s="9" t="str">
        <f>IFERROR(MID(VLOOKUP($B207,Seqs!$A:$B,2,0),AQ207,1),"")</f>
        <v>H</v>
      </c>
      <c r="AQ207" s="9">
        <v>278</v>
      </c>
      <c r="AR207" s="9" t="str">
        <f>IFERROR(MID(VLOOKUP($B207,Seqs!$A:$B,2,0),AS207,1),"")</f>
        <v>I</v>
      </c>
      <c r="AS207" s="9">
        <v>286</v>
      </c>
      <c r="AT207" s="9" t="str">
        <f>IFERROR(MID(VLOOKUP($B207,Seqs!$A:$B,2,0),AU207,1),"")</f>
        <v>M</v>
      </c>
      <c r="AU207" s="9">
        <v>309</v>
      </c>
      <c r="AV207" s="9" t="str">
        <f>IFERROR(MID(VLOOKUP($B207,Seqs!$A:$B,2,0),AW207,1),"")</f>
        <v>N</v>
      </c>
      <c r="AW207" s="9">
        <v>310</v>
      </c>
      <c r="AX207" s="9" t="str">
        <f>IFERROR(MID(VLOOKUP($B207,Seqs!$A:$B,2,0),AY207,1),"")</f>
        <v>C</v>
      </c>
      <c r="AY207" s="9">
        <v>323</v>
      </c>
      <c r="AZ207" s="110" t="str">
        <f>VLOOKUP(B207,Classification!A:D,2,0)</f>
        <v>A</v>
      </c>
      <c r="BA207" s="98" t="str">
        <f>VLOOKUP(B207,Classification!A:D,4,0)</f>
        <v>Opsins</v>
      </c>
      <c r="BB207" s="36" t="b">
        <f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>_xlfn.AGGREGATE(9,6,CH207:CS207)-_xlfn.AGGREGATE(9,6,BV207:CG207)+12</f>
        <v>253</v>
      </c>
      <c r="BD207" s="40" t="s">
        <v>23</v>
      </c>
      <c r="BE207" s="9" t="s">
        <v>1297</v>
      </c>
      <c r="BF207" s="120">
        <v>4.5</v>
      </c>
      <c r="BG207" s="51" t="s">
        <v>1444</v>
      </c>
      <c r="BH207" s="51" t="s">
        <v>1444</v>
      </c>
      <c r="BJ207" s="111" t="s">
        <v>1293</v>
      </c>
      <c r="BK207" s="112" t="s">
        <v>1293</v>
      </c>
      <c r="BL207" s="112" t="s">
        <v>1293</v>
      </c>
      <c r="BM207" s="112" t="s">
        <v>1293</v>
      </c>
      <c r="BN207" s="112" t="s">
        <v>1293</v>
      </c>
      <c r="BO207" s="112" t="s">
        <v>1293</v>
      </c>
      <c r="BP207" s="112" t="s">
        <v>1293</v>
      </c>
      <c r="BQ207" s="112" t="s">
        <v>1293</v>
      </c>
      <c r="BR207" s="112" t="s">
        <v>1293</v>
      </c>
      <c r="BS207" s="112" t="s">
        <v>1293</v>
      </c>
      <c r="BT207" s="112" t="s">
        <v>1293</v>
      </c>
      <c r="BU207" s="112" t="s">
        <v>1293</v>
      </c>
      <c r="BV207" s="111">
        <f>E207</f>
        <v>33</v>
      </c>
      <c r="BW207" s="113">
        <f>I207</f>
        <v>66</v>
      </c>
      <c r="BX207" s="114">
        <f>M207</f>
        <v>70</v>
      </c>
      <c r="BY207" s="113">
        <f>Q207</f>
        <v>102</v>
      </c>
      <c r="BZ207" s="114">
        <f>U207</f>
        <v>106</v>
      </c>
      <c r="CA207" s="113" t="str">
        <f>Y207</f>
        <v>-</v>
      </c>
      <c r="CB207" s="114">
        <f>AC207</f>
        <v>150</v>
      </c>
      <c r="CC207" s="113">
        <f>AG207</f>
        <v>187</v>
      </c>
      <c r="CD207" s="114">
        <f>AK207</f>
        <v>200</v>
      </c>
      <c r="CE207" s="113">
        <f>AO207</f>
        <v>240</v>
      </c>
      <c r="CF207" s="114">
        <f>AS207</f>
        <v>286</v>
      </c>
      <c r="CG207" s="113">
        <f>AW207</f>
        <v>310</v>
      </c>
      <c r="CH207" s="111">
        <f>G207</f>
        <v>65</v>
      </c>
      <c r="CI207" s="113">
        <f>K207</f>
        <v>69</v>
      </c>
      <c r="CJ207" s="114">
        <f>O207</f>
        <v>101</v>
      </c>
      <c r="CK207" s="114">
        <f>S207</f>
        <v>105</v>
      </c>
      <c r="CL207" s="114">
        <f>W207</f>
        <v>141</v>
      </c>
      <c r="CM207" s="114" t="str">
        <f>AA207</f>
        <v>-</v>
      </c>
      <c r="CN207" s="114">
        <f>AE207</f>
        <v>173</v>
      </c>
      <c r="CO207" s="114">
        <f>AI207</f>
        <v>189</v>
      </c>
      <c r="CP207" s="114">
        <f>AM207</f>
        <v>238</v>
      </c>
      <c r="CQ207" s="114">
        <f>AQ207</f>
        <v>278</v>
      </c>
      <c r="CR207" s="114">
        <f>AU207</f>
        <v>309</v>
      </c>
      <c r="CS207" s="114">
        <f>AY207</f>
        <v>323</v>
      </c>
      <c r="CT207" s="109">
        <f>M207-K207</f>
        <v>1</v>
      </c>
    </row>
    <row r="208" spans="1:1029" x14ac:dyDescent="0.2">
      <c r="A208" s="3" t="str">
        <f t="shared" si="333"/>
        <v>opsd_todpa__wt</v>
      </c>
      <c r="B208" s="3" t="s">
        <v>922</v>
      </c>
      <c r="C208" s="3" t="s">
        <v>100</v>
      </c>
      <c r="D208" s="3" t="str">
        <f>IFERROR(MID(VLOOKUP($B208,Seqs!$A:$B,2,0),E208,1),"")</f>
        <v>D</v>
      </c>
      <c r="E208" s="3">
        <v>31</v>
      </c>
      <c r="F208" s="3" t="str">
        <f>IFERROR(MID(VLOOKUP($B208,Seqs!$A:$B,2,0),G208,1),"")</f>
        <v>T</v>
      </c>
      <c r="G208" s="3">
        <v>62</v>
      </c>
      <c r="H208" s="3" t="str">
        <f>IFERROR(MID(VLOOKUP($B208,Seqs!$A:$B,2,0),I208,1),"")</f>
        <v>K</v>
      </c>
      <c r="I208" s="23">
        <v>63</v>
      </c>
      <c r="J208" s="3" t="str">
        <f>IFERROR(MID(VLOOKUP($B208,Seqs!$A:$B,2,0),K208,1),"")</f>
        <v>Q</v>
      </c>
      <c r="K208" s="23">
        <v>66</v>
      </c>
      <c r="L208" s="3" t="str">
        <f>IFERROR(MID(VLOOKUP($B208,Seqs!$A:$B,2,0),M208,1),"")</f>
        <v>T</v>
      </c>
      <c r="M208" s="3">
        <v>67</v>
      </c>
      <c r="N208" s="3" t="str">
        <f>IFERROR(MID(VLOOKUP($B208,Seqs!$A:$B,2,0),O208,1),"")</f>
        <v>K</v>
      </c>
      <c r="O208" s="3">
        <v>99</v>
      </c>
      <c r="P208" s="3" t="str">
        <f>IFERROR(MID(VLOOKUP($B208,Seqs!$A:$B,2,0),Q208,1),"")</f>
        <v>K</v>
      </c>
      <c r="Q208" s="3">
        <v>100</v>
      </c>
      <c r="R208" s="3" t="str">
        <f>IFERROR(MID(VLOOKUP($B208,Seqs!$A:$B,2,0),S208,1),"")</f>
        <v>F</v>
      </c>
      <c r="S208" s="3">
        <v>103</v>
      </c>
      <c r="T208" s="3" t="str">
        <f>IFERROR(MID(VLOOKUP($B208,Seqs!$A:$B,2,0),U208,1),"")</f>
        <v>G</v>
      </c>
      <c r="U208" s="3">
        <v>104</v>
      </c>
      <c r="V208" s="3" t="str">
        <f>IFERROR(MID(VLOOKUP($B208,Seqs!$A:$B,2,0),W208,1),"")</f>
        <v>R</v>
      </c>
      <c r="W208" s="3">
        <v>139</v>
      </c>
      <c r="X208" s="3" t="str">
        <f>IFERROR(MID(VLOOKUP($B208,Seqs!$A:$B,2,0),Y208,1),"")</f>
        <v>P</v>
      </c>
      <c r="Y208" s="3">
        <v>140</v>
      </c>
      <c r="Z208" s="3" t="str">
        <f>IFERROR(MID(VLOOKUP($B208,Seqs!$A:$B,2,0),AA208,1),"")</f>
        <v>M</v>
      </c>
      <c r="AA208" s="3">
        <v>147</v>
      </c>
      <c r="AB208" s="3" t="str">
        <f>IFERROR(MID(VLOOKUP($B208,Seqs!$A:$B,2,0),AC208,1),"")</f>
        <v>S</v>
      </c>
      <c r="AC208" s="9">
        <v>148</v>
      </c>
      <c r="AD208" s="3" t="str">
        <f>IFERROR(MID(VLOOKUP($B208,Seqs!$A:$B,2,0),AE208,1),"")</f>
        <v>F</v>
      </c>
      <c r="AE208" s="3">
        <v>172</v>
      </c>
      <c r="AF208" s="3" t="str">
        <f>IFERROR(MID(VLOOKUP($B208,Seqs!$A:$B,2,0),AG208,1),"")</f>
        <v>C</v>
      </c>
      <c r="AG208" s="3">
        <v>186</v>
      </c>
      <c r="AH208" s="3" t="str">
        <f>IFERROR(MID(VLOOKUP($B208,Seqs!$A:$B,2,0),AI208,1),"")</f>
        <v>F</v>
      </c>
      <c r="AI208" s="3">
        <v>188</v>
      </c>
      <c r="AJ208" s="3" t="str">
        <f>IFERROR(MID(VLOOKUP($B208,Seqs!$A:$B,2,0),AK208,1),"")</f>
        <v>D</v>
      </c>
      <c r="AK208" s="3">
        <v>194</v>
      </c>
      <c r="AL208" s="3" t="str">
        <f>IFERROR(MID(VLOOKUP($B208,Seqs!$A:$B,2,0),AM208,1),"")</f>
        <v>K</v>
      </c>
      <c r="AM208" s="3">
        <v>239</v>
      </c>
      <c r="AN208" s="3" t="str">
        <f>IFERROR(MID(VLOOKUP($B208,Seqs!$A:$B,2,0),AO208,1),"")</f>
        <v>K</v>
      </c>
      <c r="AO208" s="3">
        <v>244</v>
      </c>
      <c r="AP208" s="3" t="str">
        <f>IFERROR(MID(VLOOKUP($B208,Seqs!$A:$B,2,0),AQ208,1),"")</f>
        <v>G</v>
      </c>
      <c r="AQ208" s="3">
        <v>287</v>
      </c>
      <c r="AR208" s="3" t="str">
        <f>IFERROR(MID(VLOOKUP($B208,Seqs!$A:$B,2,0),AS208,1),"")</f>
        <v>T</v>
      </c>
      <c r="AS208" s="3">
        <v>293</v>
      </c>
      <c r="AT208" s="3" t="str">
        <f>IFERROR(MID(VLOOKUP($B208,Seqs!$A:$B,2,0),AU208,1),"")</f>
        <v>S</v>
      </c>
      <c r="AU208" s="3">
        <v>318</v>
      </c>
      <c r="AV208" s="3" t="str">
        <f>IFERROR(MID(VLOOKUP($B208,Seqs!$A:$B,2,0),AW208,1),"")</f>
        <v>H</v>
      </c>
      <c r="AW208" s="3">
        <v>319</v>
      </c>
      <c r="AX208" s="3" t="str">
        <f>IFERROR(MID(VLOOKUP($B208,Seqs!$A:$B,2,0),AY208,1),"")</f>
        <v>F</v>
      </c>
      <c r="AY208" s="3">
        <v>330</v>
      </c>
      <c r="AZ208" s="77" t="str">
        <f>VLOOKUP(B208,Classification!A:D,2,0)</f>
        <v>A</v>
      </c>
      <c r="BA208" s="94" t="str">
        <f>VLOOKUP(B208,Classification!A:D,4,0)</f>
        <v>Opsins</v>
      </c>
      <c r="BB208" s="27" t="b">
        <f t="shared" si="334"/>
        <v>1</v>
      </c>
      <c r="BC208" s="23">
        <f t="shared" si="307"/>
        <v>273</v>
      </c>
      <c r="BD208" s="56" t="s">
        <v>1379</v>
      </c>
      <c r="BE208" s="3" t="s">
        <v>23</v>
      </c>
      <c r="BF208" s="119" t="s">
        <v>23</v>
      </c>
      <c r="BG208" s="49" t="s">
        <v>1379</v>
      </c>
      <c r="BH208" s="49" t="s">
        <v>1384</v>
      </c>
      <c r="BI208" s="1"/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308"/>
        <v>31</v>
      </c>
      <c r="BW208" s="71">
        <f t="shared" si="309"/>
        <v>63</v>
      </c>
      <c r="BX208" s="72">
        <f t="shared" si="310"/>
        <v>67</v>
      </c>
      <c r="BY208" s="71">
        <f t="shared" si="311"/>
        <v>100</v>
      </c>
      <c r="BZ208" s="72">
        <f t="shared" si="312"/>
        <v>104</v>
      </c>
      <c r="CA208" s="71">
        <f t="shared" si="313"/>
        <v>140</v>
      </c>
      <c r="CB208" s="72">
        <f t="shared" si="314"/>
        <v>148</v>
      </c>
      <c r="CC208" s="71">
        <f t="shared" si="315"/>
        <v>186</v>
      </c>
      <c r="CD208" s="72">
        <f t="shared" si="316"/>
        <v>194</v>
      </c>
      <c r="CE208" s="71">
        <f t="shared" si="317"/>
        <v>244</v>
      </c>
      <c r="CF208" s="72">
        <f t="shared" si="318"/>
        <v>293</v>
      </c>
      <c r="CG208" s="71">
        <f t="shared" si="319"/>
        <v>319</v>
      </c>
      <c r="CH208" s="70">
        <f t="shared" si="320"/>
        <v>62</v>
      </c>
      <c r="CI208" s="71">
        <f t="shared" si="321"/>
        <v>66</v>
      </c>
      <c r="CJ208" s="72">
        <f t="shared" si="322"/>
        <v>99</v>
      </c>
      <c r="CK208" s="72">
        <f t="shared" si="323"/>
        <v>103</v>
      </c>
      <c r="CL208" s="72">
        <f t="shared" si="324"/>
        <v>139</v>
      </c>
      <c r="CM208" s="72">
        <f t="shared" si="325"/>
        <v>147</v>
      </c>
      <c r="CN208" s="72">
        <f t="shared" si="326"/>
        <v>172</v>
      </c>
      <c r="CO208" s="72">
        <f t="shared" si="327"/>
        <v>188</v>
      </c>
      <c r="CP208" s="72">
        <f t="shared" si="328"/>
        <v>239</v>
      </c>
      <c r="CQ208" s="72">
        <f t="shared" si="329"/>
        <v>287</v>
      </c>
      <c r="CR208" s="72">
        <f t="shared" si="330"/>
        <v>318</v>
      </c>
      <c r="CS208" s="72">
        <f t="shared" si="331"/>
        <v>330</v>
      </c>
      <c r="CT208" s="23">
        <f t="shared" si="332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x14ac:dyDescent="0.2">
      <c r="A209" s="3" t="str">
        <f t="shared" si="333"/>
        <v>opsd_todpa_2Z73</v>
      </c>
      <c r="B209" s="3" t="s">
        <v>922</v>
      </c>
      <c r="C209" s="3" t="s">
        <v>97</v>
      </c>
      <c r="D209" s="3" t="str">
        <f>IFERROR(MID(VLOOKUP($B209,Seqs!$A:$B,2,0),E209,1),"")</f>
        <v>D</v>
      </c>
      <c r="E209" s="3">
        <v>31</v>
      </c>
      <c r="F209" s="3" t="str">
        <f>IFERROR(MID(VLOOKUP($B209,Seqs!$A:$B,2,0),G209,1),"")</f>
        <v>T</v>
      </c>
      <c r="G209" s="3">
        <v>62</v>
      </c>
      <c r="H209" s="3" t="str">
        <f>IFERROR(MID(VLOOKUP($B209,Seqs!$A:$B,2,0),I209,1),"")</f>
        <v>K</v>
      </c>
      <c r="I209" s="23">
        <v>63</v>
      </c>
      <c r="J209" s="3" t="str">
        <f>IFERROR(MID(VLOOKUP($B209,Seqs!$A:$B,2,0),K209,1),"")</f>
        <v>Q</v>
      </c>
      <c r="K209" s="23">
        <v>66</v>
      </c>
      <c r="L209" s="3" t="str">
        <f>IFERROR(MID(VLOOKUP($B209,Seqs!$A:$B,2,0),M209,1),"")</f>
        <v>T</v>
      </c>
      <c r="M209" s="3">
        <v>67</v>
      </c>
      <c r="N209" s="3" t="str">
        <f>IFERROR(MID(VLOOKUP($B209,Seqs!$A:$B,2,0),O209,1),"")</f>
        <v>K</v>
      </c>
      <c r="O209" s="3">
        <v>99</v>
      </c>
      <c r="P209" s="3" t="str">
        <f>IFERROR(MID(VLOOKUP($B209,Seqs!$A:$B,2,0),Q209,1),"")</f>
        <v>K</v>
      </c>
      <c r="Q209" s="3">
        <v>100</v>
      </c>
      <c r="R209" s="3" t="str">
        <f>IFERROR(MID(VLOOKUP($B209,Seqs!$A:$B,2,0),S209,1),"")</f>
        <v>F</v>
      </c>
      <c r="S209" s="3">
        <v>103</v>
      </c>
      <c r="T209" s="3" t="str">
        <f>IFERROR(MID(VLOOKUP($B209,Seqs!$A:$B,2,0),U209,1),"")</f>
        <v>G</v>
      </c>
      <c r="U209" s="3">
        <v>104</v>
      </c>
      <c r="V209" s="3" t="str">
        <f>IFERROR(MID(VLOOKUP($B209,Seqs!$A:$B,2,0),W209,1),"")</f>
        <v>R</v>
      </c>
      <c r="W209" s="3">
        <v>139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S</v>
      </c>
      <c r="AC209" s="9">
        <v>148</v>
      </c>
      <c r="AD209" s="3" t="str">
        <f>IFERROR(MID(VLOOKUP($B209,Seqs!$A:$B,2,0),AE209,1),"")</f>
        <v>F</v>
      </c>
      <c r="AE209" s="3">
        <v>172</v>
      </c>
      <c r="AF209" s="3" t="str">
        <f>IFERROR(MID(VLOOKUP($B209,Seqs!$A:$B,2,0),AG209,1),"")</f>
        <v>C</v>
      </c>
      <c r="AG209" s="3">
        <v>186</v>
      </c>
      <c r="AH209" s="3" t="str">
        <f>IFERROR(MID(VLOOKUP($B209,Seqs!$A:$B,2,0),AI209,1),"")</f>
        <v>F</v>
      </c>
      <c r="AI209" s="3">
        <v>188</v>
      </c>
      <c r="AJ209" s="3" t="str">
        <f>IFERROR(MID(VLOOKUP($B209,Seqs!$A:$B,2,0),AK209,1),"")</f>
        <v>D</v>
      </c>
      <c r="AK209" s="3">
        <v>194</v>
      </c>
      <c r="AL209" s="3" t="str">
        <f>IFERROR(MID(VLOOKUP($B209,Seqs!$A:$B,2,0),AM209,1),"")</f>
        <v>K</v>
      </c>
      <c r="AM209" s="3">
        <v>239</v>
      </c>
      <c r="AN209" s="3" t="str">
        <f>IFERROR(MID(VLOOKUP($B209,Seqs!$A:$B,2,0),AO209,1),"")</f>
        <v>K</v>
      </c>
      <c r="AO209" s="3">
        <v>244</v>
      </c>
      <c r="AP209" s="3" t="str">
        <f>IFERROR(MID(VLOOKUP($B209,Seqs!$A:$B,2,0),AQ209,1),"")</f>
        <v>G</v>
      </c>
      <c r="AQ209" s="3">
        <v>287</v>
      </c>
      <c r="AR209" s="3" t="str">
        <f>IFERROR(MID(VLOOKUP($B209,Seqs!$A:$B,2,0),AS209,1),"")</f>
        <v>T</v>
      </c>
      <c r="AS209" s="3">
        <v>293</v>
      </c>
      <c r="AT209" s="3" t="str">
        <f>IFERROR(MID(VLOOKUP($B209,Seqs!$A:$B,2,0),AU209,1),"")</f>
        <v>S</v>
      </c>
      <c r="AU209" s="3">
        <v>318</v>
      </c>
      <c r="AV209" s="3" t="str">
        <f>IFERROR(MID(VLOOKUP($B209,Seqs!$A:$B,2,0),AW209,1),"")</f>
        <v>H</v>
      </c>
      <c r="AW209" s="3">
        <v>319</v>
      </c>
      <c r="AX209" s="3" t="str">
        <f>IFERROR(MID(VLOOKUP($B209,Seqs!$A:$B,2,0),AY209,1),"")</f>
        <v>F</v>
      </c>
      <c r="AY209" s="3">
        <v>330</v>
      </c>
      <c r="AZ209" s="77" t="str">
        <f>VLOOKUP(B209,Classification!A:D,2,0)</f>
        <v>A</v>
      </c>
      <c r="BA209" s="94" t="str">
        <f>VLOOKUP(B209,Classification!A:D,4,0)</f>
        <v>Opsins</v>
      </c>
      <c r="BB209" s="27" t="b">
        <f t="shared" si="334"/>
        <v>1</v>
      </c>
      <c r="BC209" s="23">
        <f t="shared" si="307"/>
        <v>266</v>
      </c>
      <c r="BD209" s="2" t="s">
        <v>1383</v>
      </c>
      <c r="BE209" s="3" t="s">
        <v>1381</v>
      </c>
      <c r="BF209" s="119">
        <v>2.5</v>
      </c>
      <c r="BG209" s="49" t="s">
        <v>1384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308"/>
        <v>31</v>
      </c>
      <c r="BW209" s="71">
        <f t="shared" si="309"/>
        <v>63</v>
      </c>
      <c r="BX209" s="72">
        <f t="shared" si="310"/>
        <v>67</v>
      </c>
      <c r="BY209" s="71">
        <f t="shared" si="311"/>
        <v>100</v>
      </c>
      <c r="BZ209" s="72">
        <f t="shared" si="312"/>
        <v>104</v>
      </c>
      <c r="CA209" s="71" t="str">
        <f t="shared" si="313"/>
        <v>-</v>
      </c>
      <c r="CB209" s="72">
        <f t="shared" si="314"/>
        <v>148</v>
      </c>
      <c r="CC209" s="71">
        <f t="shared" si="315"/>
        <v>186</v>
      </c>
      <c r="CD209" s="72">
        <f t="shared" si="316"/>
        <v>194</v>
      </c>
      <c r="CE209" s="71">
        <f t="shared" si="317"/>
        <v>244</v>
      </c>
      <c r="CF209" s="72">
        <f t="shared" si="318"/>
        <v>293</v>
      </c>
      <c r="CG209" s="71">
        <f t="shared" si="319"/>
        <v>319</v>
      </c>
      <c r="CH209" s="70">
        <f t="shared" si="320"/>
        <v>62</v>
      </c>
      <c r="CI209" s="71">
        <f t="shared" si="321"/>
        <v>66</v>
      </c>
      <c r="CJ209" s="72">
        <f t="shared" si="322"/>
        <v>99</v>
      </c>
      <c r="CK209" s="72">
        <f t="shared" si="323"/>
        <v>103</v>
      </c>
      <c r="CL209" s="72">
        <f t="shared" si="324"/>
        <v>139</v>
      </c>
      <c r="CM209" s="72" t="str">
        <f t="shared" si="325"/>
        <v>-</v>
      </c>
      <c r="CN209" s="72">
        <f t="shared" si="326"/>
        <v>172</v>
      </c>
      <c r="CO209" s="72">
        <f t="shared" si="327"/>
        <v>188</v>
      </c>
      <c r="CP209" s="72">
        <f t="shared" si="328"/>
        <v>239</v>
      </c>
      <c r="CQ209" s="72">
        <f t="shared" si="329"/>
        <v>287</v>
      </c>
      <c r="CR209" s="72">
        <f t="shared" si="330"/>
        <v>318</v>
      </c>
      <c r="CS209" s="72">
        <f t="shared" si="331"/>
        <v>330</v>
      </c>
      <c r="CT209" s="23">
        <f t="shared" si="33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2"/>
    </row>
    <row r="210" spans="1:1030" x14ac:dyDescent="0.2">
      <c r="A210" s="3" t="str">
        <f t="shared" si="333"/>
        <v>ox1r_human__wt</v>
      </c>
      <c r="B210" s="3" t="s">
        <v>1175</v>
      </c>
      <c r="C210" s="3" t="s">
        <v>100</v>
      </c>
      <c r="D210" s="3" t="str">
        <f>IFERROR(MID(VLOOKUP($B210,Seqs!$A:$B,2,0),E210,1),"")</f>
        <v>E</v>
      </c>
      <c r="E210" s="3">
        <v>46</v>
      </c>
      <c r="F210" s="3" t="str">
        <f>IFERROR(MID(VLOOKUP($B210,Seqs!$A:$B,2,0),G210,1),"")</f>
        <v>N</v>
      </c>
      <c r="G210" s="3">
        <v>74</v>
      </c>
      <c r="H210" s="3" t="str">
        <f>IFERROR(MID(VLOOKUP($B210,Seqs!$A:$B,2,0),I210,1),"")</f>
        <v>H</v>
      </c>
      <c r="I210" s="23">
        <v>75</v>
      </c>
      <c r="J210" s="3" t="str">
        <f>IFERROR(MID(VLOOKUP($B210,Seqs!$A:$B,2,0),K210,1),"")</f>
        <v>R</v>
      </c>
      <c r="K210" s="23">
        <v>78</v>
      </c>
      <c r="L210" s="3" t="str">
        <f>IFERROR(MID(VLOOKUP($B210,Seqs!$A:$B,2,0),M210,1),"")</f>
        <v>T</v>
      </c>
      <c r="M210" s="3">
        <v>79</v>
      </c>
      <c r="N210" s="3" t="str">
        <f>IFERROR(MID(VLOOKUP($B210,Seqs!$A:$B,2,0),O210,1),"")</f>
        <v>T</v>
      </c>
      <c r="O210" s="3">
        <v>109</v>
      </c>
      <c r="P210" s="3" t="str">
        <f>IFERROR(MID(VLOOKUP($B210,Seqs!$A:$B,2,0),Q210,1),"")</f>
        <v>S</v>
      </c>
      <c r="Q210" s="3">
        <v>111</v>
      </c>
      <c r="R210" s="3" t="str">
        <f>IFERROR(MID(VLOOKUP($B210,Seqs!$A:$B,2,0),S210,1),"")</f>
        <v>F</v>
      </c>
      <c r="S210" s="3">
        <v>114</v>
      </c>
      <c r="T210" s="3" t="str">
        <f>IFERROR(MID(VLOOKUP($B210,Seqs!$A:$B,2,0),U210,1),"")</f>
        <v>G</v>
      </c>
      <c r="U210" s="3">
        <v>115</v>
      </c>
      <c r="V210" s="3" t="str">
        <f>IFERROR(MID(VLOOKUP($B210,Seqs!$A:$B,2,0),W210,1),"")</f>
        <v>H</v>
      </c>
      <c r="W210" s="3">
        <v>150</v>
      </c>
      <c r="X210" s="3" t="str">
        <f>IFERROR(MID(VLOOKUP($B210,Seqs!$A:$B,2,0),Y210,1),"")</f>
        <v>P</v>
      </c>
      <c r="Y210" s="3">
        <v>151</v>
      </c>
      <c r="Z210" s="3" t="str">
        <f>IFERROR(MID(VLOOKUP($B210,Seqs!$A:$B,2,0),AA210,1),"")</f>
        <v>F</v>
      </c>
      <c r="AA210" s="73">
        <v>154</v>
      </c>
      <c r="AB210" s="3" t="str">
        <f>IFERROR(MID(VLOOKUP($B210,Seqs!$A:$B,2,0),AC210,1),"")</f>
        <v>T</v>
      </c>
      <c r="AC210" s="9">
        <v>157</v>
      </c>
      <c r="AD210" s="3" t="str">
        <f>IFERROR(MID(VLOOKUP($B210,Seqs!$A:$B,2,0),AE210,1),"")</f>
        <v>M</v>
      </c>
      <c r="AE210" s="3">
        <v>183</v>
      </c>
      <c r="AF210" s="3" t="str">
        <f>IFERROR(MID(VLOOKUP($B210,Seqs!$A:$B,2,0),AG210,1),"")</f>
        <v>C</v>
      </c>
      <c r="AG210" s="3">
        <v>202</v>
      </c>
      <c r="AH210" s="3" t="str">
        <f>IFERROR(MID(VLOOKUP($B210,Seqs!$A:$B,2,0),AI210,1),"")</f>
        <v>E</v>
      </c>
      <c r="AI210" s="3">
        <v>204</v>
      </c>
      <c r="AJ210" s="3" t="str">
        <f>IFERROR(MID(VLOOKUP($B210,Seqs!$A:$B,2,0),AK210,1),"")</f>
        <v>D</v>
      </c>
      <c r="AK210" s="3">
        <v>209</v>
      </c>
      <c r="AL210" s="3" t="str">
        <f>IFERROR(MID(VLOOKUP($B210,Seqs!$A:$B,2,0),AM210,1),"")</f>
        <v>P</v>
      </c>
      <c r="AM210" s="3">
        <v>248</v>
      </c>
      <c r="AN210" s="3" t="str">
        <f>IFERROR(MID(VLOOKUP($B210,Seqs!$A:$B,2,0),AO210,1),"")</f>
        <v>F</v>
      </c>
      <c r="AO210" s="3">
        <v>283</v>
      </c>
      <c r="AP210" s="3" t="str">
        <f>IFERROR(MID(VLOOKUP($B210,Seqs!$A:$B,2,0),AQ210,1),"")</f>
        <v>F</v>
      </c>
      <c r="AQ210" s="3">
        <v>324</v>
      </c>
      <c r="AR210" s="3" t="str">
        <f>IFERROR(MID(VLOOKUP($B210,Seqs!$A:$B,2,0),AS210,1),"")</f>
        <v>R</v>
      </c>
      <c r="AS210" s="3">
        <v>333</v>
      </c>
      <c r="AT210" s="3" t="str">
        <f>IFERROR(MID(VLOOKUP($B210,Seqs!$A:$B,2,0),AU210,1),"")</f>
        <v>L</v>
      </c>
      <c r="AU210" s="3">
        <v>361</v>
      </c>
      <c r="AV210" s="3" t="str">
        <f>IFERROR(MID(VLOOKUP($B210,Seqs!$A:$B,2,0),AW210,1),"")</f>
        <v>S</v>
      </c>
      <c r="AW210" s="3">
        <v>362</v>
      </c>
      <c r="AX210" s="3" t="str">
        <f>IFERROR(MID(VLOOKUP($B210,Seqs!$A:$B,2,0),AY210,1),"")</f>
        <v>F</v>
      </c>
      <c r="AY210" s="3">
        <v>373</v>
      </c>
      <c r="AZ210" s="77" t="str">
        <f>VLOOKUP(B210,Classification!A:D,2,0)</f>
        <v>A</v>
      </c>
      <c r="BA210" s="94" t="str">
        <f>VLOOKUP(B210,Classification!A:D,4,0)</f>
        <v>Orexin</v>
      </c>
      <c r="BB210" s="27" t="b">
        <f t="shared" si="334"/>
        <v>1</v>
      </c>
      <c r="BC210" s="23">
        <f t="shared" si="307"/>
        <v>261</v>
      </c>
      <c r="BD210" s="56" t="s">
        <v>1379</v>
      </c>
      <c r="BE210" s="3" t="s">
        <v>23</v>
      </c>
      <c r="BF210" s="119" t="s">
        <v>23</v>
      </c>
      <c r="BG210" s="49" t="s">
        <v>1379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308"/>
        <v>46</v>
      </c>
      <c r="BW210" s="71">
        <f t="shared" si="309"/>
        <v>75</v>
      </c>
      <c r="BX210" s="72">
        <f t="shared" si="310"/>
        <v>79</v>
      </c>
      <c r="BY210" s="71">
        <f t="shared" si="311"/>
        <v>111</v>
      </c>
      <c r="BZ210" s="72">
        <f t="shared" si="312"/>
        <v>115</v>
      </c>
      <c r="CA210" s="71">
        <f t="shared" si="313"/>
        <v>151</v>
      </c>
      <c r="CB210" s="72">
        <f t="shared" si="314"/>
        <v>157</v>
      </c>
      <c r="CC210" s="71">
        <f t="shared" si="315"/>
        <v>202</v>
      </c>
      <c r="CD210" s="72">
        <f t="shared" si="316"/>
        <v>209</v>
      </c>
      <c r="CE210" s="71">
        <f t="shared" si="317"/>
        <v>283</v>
      </c>
      <c r="CF210" s="72">
        <f t="shared" si="318"/>
        <v>333</v>
      </c>
      <c r="CG210" s="71">
        <f t="shared" si="319"/>
        <v>362</v>
      </c>
      <c r="CH210" s="70">
        <f t="shared" si="320"/>
        <v>74</v>
      </c>
      <c r="CI210" s="71">
        <f t="shared" si="321"/>
        <v>78</v>
      </c>
      <c r="CJ210" s="72">
        <f t="shared" si="322"/>
        <v>109</v>
      </c>
      <c r="CK210" s="72">
        <f t="shared" si="323"/>
        <v>114</v>
      </c>
      <c r="CL210" s="72">
        <f t="shared" si="324"/>
        <v>150</v>
      </c>
      <c r="CM210" s="72">
        <f t="shared" si="325"/>
        <v>154</v>
      </c>
      <c r="CN210" s="72">
        <f t="shared" si="326"/>
        <v>183</v>
      </c>
      <c r="CO210" s="72">
        <f t="shared" si="327"/>
        <v>204</v>
      </c>
      <c r="CP210" s="72">
        <f t="shared" si="328"/>
        <v>248</v>
      </c>
      <c r="CQ210" s="72">
        <f t="shared" si="329"/>
        <v>324</v>
      </c>
      <c r="CR210" s="72">
        <f t="shared" si="330"/>
        <v>361</v>
      </c>
      <c r="CS210" s="72">
        <f t="shared" si="331"/>
        <v>373</v>
      </c>
      <c r="CT210" s="23">
        <f t="shared" si="33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333"/>
        <v>ox1r_human_4ZJ8</v>
      </c>
      <c r="B211" s="3" t="s">
        <v>1175</v>
      </c>
      <c r="C211" s="3" t="s">
        <v>90</v>
      </c>
      <c r="D211" s="3" t="str">
        <f>IFERROR(MID(VLOOKUP($B211,Seqs!$A:$B,2,0),E211,1),"")</f>
        <v>E</v>
      </c>
      <c r="E211" s="3">
        <v>46</v>
      </c>
      <c r="F211" s="3" t="str">
        <f>IFERROR(MID(VLOOKUP($B211,Seqs!$A:$B,2,0),G211,1),"")</f>
        <v>N</v>
      </c>
      <c r="G211" s="3">
        <v>74</v>
      </c>
      <c r="H211" s="3" t="str">
        <f>IFERROR(MID(VLOOKUP($B211,Seqs!$A:$B,2,0),I211,1),"")</f>
        <v>H</v>
      </c>
      <c r="I211" s="23">
        <v>75</v>
      </c>
      <c r="J211" s="3" t="str">
        <f>IFERROR(MID(VLOOKUP($B211,Seqs!$A:$B,2,0),K211,1),"")</f>
        <v>R</v>
      </c>
      <c r="K211" s="23">
        <v>78</v>
      </c>
      <c r="L211" s="3" t="str">
        <f>IFERROR(MID(VLOOKUP($B211,Seqs!$A:$B,2,0),M211,1),"")</f>
        <v>T</v>
      </c>
      <c r="M211" s="3">
        <v>79</v>
      </c>
      <c r="N211" s="3" t="str">
        <f>IFERROR(MID(VLOOKUP($B211,Seqs!$A:$B,2,0),O211,1),"")</f>
        <v>T</v>
      </c>
      <c r="O211" s="3">
        <v>109</v>
      </c>
      <c r="P211" s="3" t="str">
        <f>IFERROR(MID(VLOOKUP($B211,Seqs!$A:$B,2,0),Q211,1),"")</f>
        <v>S</v>
      </c>
      <c r="Q211" s="3">
        <v>111</v>
      </c>
      <c r="R211" s="3" t="str">
        <f>IFERROR(MID(VLOOKUP($B211,Seqs!$A:$B,2,0),S211,1),"")</f>
        <v>F</v>
      </c>
      <c r="S211" s="3">
        <v>114</v>
      </c>
      <c r="T211" s="3" t="str">
        <f>IFERROR(MID(VLOOKUP($B211,Seqs!$A:$B,2,0),U211,1),"")</f>
        <v>G</v>
      </c>
      <c r="U211" s="3">
        <v>115</v>
      </c>
      <c r="V211" s="3" t="str">
        <f>IFERROR(MID(VLOOKUP($B211,Seqs!$A:$B,2,0),W211,1),"")</f>
        <v>H</v>
      </c>
      <c r="W211" s="3">
        <v>150</v>
      </c>
      <c r="X211" s="3" t="str">
        <f>IFERROR(MID(VLOOKUP($B211,Seqs!$A:$B,2,0),Y211,1),"")</f>
        <v>P</v>
      </c>
      <c r="Y211" s="3">
        <v>151</v>
      </c>
      <c r="Z211" s="3" t="str">
        <f>IFERROR(MID(VLOOKUP($B211,Seqs!$A:$B,2,0),AA211,1),"")</f>
        <v>F</v>
      </c>
      <c r="AA211" s="3">
        <v>154</v>
      </c>
      <c r="AB211" s="3" t="str">
        <f>IFERROR(MID(VLOOKUP($B211,Seqs!$A:$B,2,0),AC211,1),"")</f>
        <v>T</v>
      </c>
      <c r="AC211" s="9">
        <v>157</v>
      </c>
      <c r="AD211" s="3" t="str">
        <f>IFERROR(MID(VLOOKUP($B211,Seqs!$A:$B,2,0),AE211,1),"")</f>
        <v>M</v>
      </c>
      <c r="AE211" s="3">
        <v>183</v>
      </c>
      <c r="AF211" s="3" t="str">
        <f>IFERROR(MID(VLOOKUP($B211,Seqs!$A:$B,2,0),AG211,1),"")</f>
        <v>C</v>
      </c>
      <c r="AG211" s="3">
        <v>202</v>
      </c>
      <c r="AH211" s="3" t="str">
        <f>IFERROR(MID(VLOOKUP($B211,Seqs!$A:$B,2,0),AI211,1),"")</f>
        <v>E</v>
      </c>
      <c r="AI211" s="3">
        <v>204</v>
      </c>
      <c r="AJ211" s="3" t="str">
        <f>IFERROR(MID(VLOOKUP($B211,Seqs!$A:$B,2,0),AK211,1),"")</f>
        <v>D</v>
      </c>
      <c r="AK211" s="3">
        <v>209</v>
      </c>
      <c r="AL211" s="3" t="str">
        <f>IFERROR(MID(VLOOKUP($B211,Seqs!$A:$B,2,0),AM211,1),"")</f>
        <v>L</v>
      </c>
      <c r="AM211" s="3">
        <v>242</v>
      </c>
      <c r="AN211" s="3" t="str">
        <f>IFERROR(MID(VLOOKUP($B211,Seqs!$A:$B,2,0),AO211,1),"")</f>
        <v>K</v>
      </c>
      <c r="AO211" s="3">
        <v>288</v>
      </c>
      <c r="AP211" s="3" t="str">
        <f>IFERROR(MID(VLOOKUP($B211,Seqs!$A:$B,2,0),AQ211,1),"")</f>
        <v>F</v>
      </c>
      <c r="AQ211" s="3">
        <v>324</v>
      </c>
      <c r="AR211" s="3" t="str">
        <f>IFERROR(MID(VLOOKUP($B211,Seqs!$A:$B,2,0),AS211,1),"")</f>
        <v>R</v>
      </c>
      <c r="AS211" s="3">
        <v>333</v>
      </c>
      <c r="AT211" s="3" t="str">
        <f>IFERROR(MID(VLOOKUP($B211,Seqs!$A:$B,2,0),AU211,1),"")</f>
        <v>L</v>
      </c>
      <c r="AU211" s="3">
        <v>361</v>
      </c>
      <c r="AV211" s="3" t="str">
        <f>IFERROR(MID(VLOOKUP($B211,Seqs!$A:$B,2,0),AW211,1),"")</f>
        <v>S</v>
      </c>
      <c r="AW211" s="3">
        <v>362</v>
      </c>
      <c r="AX211" s="3" t="str">
        <f>IFERROR(MID(VLOOKUP($B211,Seqs!$A:$B,2,0),AY211,1),"")</f>
        <v>F</v>
      </c>
      <c r="AY211" s="3">
        <v>373</v>
      </c>
      <c r="AZ211" s="77" t="str">
        <f>VLOOKUP(B211,Classification!A:D,2,0)</f>
        <v>A</v>
      </c>
      <c r="BA211" s="94" t="str">
        <f>VLOOKUP(B211,Classification!A:D,4,0)</f>
        <v>Orexin</v>
      </c>
      <c r="BB211" s="27" t="b">
        <f t="shared" si="334"/>
        <v>1</v>
      </c>
      <c r="BC211" s="23">
        <f t="shared" si="307"/>
        <v>250</v>
      </c>
      <c r="BD211" s="4" t="s">
        <v>1383</v>
      </c>
      <c r="BE211" s="3" t="s">
        <v>1381</v>
      </c>
      <c r="BF211" s="119">
        <v>2.75</v>
      </c>
      <c r="BG211" s="49" t="s">
        <v>1384</v>
      </c>
      <c r="BH211" s="49" t="s">
        <v>1384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308"/>
        <v>46</v>
      </c>
      <c r="BW211" s="71">
        <f t="shared" si="309"/>
        <v>75</v>
      </c>
      <c r="BX211" s="72">
        <f t="shared" si="310"/>
        <v>79</v>
      </c>
      <c r="BY211" s="71">
        <f t="shared" si="311"/>
        <v>111</v>
      </c>
      <c r="BZ211" s="72">
        <f t="shared" si="312"/>
        <v>115</v>
      </c>
      <c r="CA211" s="71">
        <f t="shared" si="313"/>
        <v>151</v>
      </c>
      <c r="CB211" s="72">
        <f t="shared" si="314"/>
        <v>157</v>
      </c>
      <c r="CC211" s="71">
        <f t="shared" si="315"/>
        <v>202</v>
      </c>
      <c r="CD211" s="72">
        <f t="shared" si="316"/>
        <v>209</v>
      </c>
      <c r="CE211" s="71">
        <f t="shared" si="317"/>
        <v>288</v>
      </c>
      <c r="CF211" s="72">
        <f t="shared" si="318"/>
        <v>333</v>
      </c>
      <c r="CG211" s="71">
        <f t="shared" si="319"/>
        <v>362</v>
      </c>
      <c r="CH211" s="70">
        <f t="shared" si="320"/>
        <v>74</v>
      </c>
      <c r="CI211" s="71">
        <f t="shared" si="321"/>
        <v>78</v>
      </c>
      <c r="CJ211" s="72">
        <f t="shared" si="322"/>
        <v>109</v>
      </c>
      <c r="CK211" s="72">
        <f t="shared" si="323"/>
        <v>114</v>
      </c>
      <c r="CL211" s="72">
        <f t="shared" si="324"/>
        <v>150</v>
      </c>
      <c r="CM211" s="72">
        <f t="shared" si="325"/>
        <v>154</v>
      </c>
      <c r="CN211" s="72">
        <f t="shared" si="326"/>
        <v>183</v>
      </c>
      <c r="CO211" s="72">
        <f t="shared" si="327"/>
        <v>204</v>
      </c>
      <c r="CP211" s="72">
        <f t="shared" si="328"/>
        <v>242</v>
      </c>
      <c r="CQ211" s="72">
        <f t="shared" si="329"/>
        <v>324</v>
      </c>
      <c r="CR211" s="72">
        <f t="shared" si="330"/>
        <v>361</v>
      </c>
      <c r="CS211" s="72">
        <f t="shared" si="331"/>
        <v>373</v>
      </c>
      <c r="CT211" s="23">
        <f t="shared" si="33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2"/>
    </row>
    <row r="212" spans="1:1030" x14ac:dyDescent="0.2">
      <c r="A212" s="3" t="str">
        <f t="shared" si="333"/>
        <v>ox1r_human_4ZJC</v>
      </c>
      <c r="B212" s="3" t="s">
        <v>1175</v>
      </c>
      <c r="C212" s="3" t="s">
        <v>91</v>
      </c>
      <c r="D212" s="3" t="str">
        <f>IFERROR(MID(VLOOKUP($B212,Seqs!$A:$B,2,0),E212,1),"")</f>
        <v>E</v>
      </c>
      <c r="E212" s="3">
        <v>46</v>
      </c>
      <c r="F212" s="3" t="str">
        <f>IFERROR(MID(VLOOKUP($B212,Seqs!$A:$B,2,0),G212,1),"")</f>
        <v>N</v>
      </c>
      <c r="G212" s="3">
        <v>74</v>
      </c>
      <c r="H212" s="3" t="str">
        <f>IFERROR(MID(VLOOKUP($B212,Seqs!$A:$B,2,0),I212,1),"")</f>
        <v>H</v>
      </c>
      <c r="I212" s="23">
        <v>75</v>
      </c>
      <c r="J212" s="3" t="str">
        <f>IFERROR(MID(VLOOKUP($B212,Seqs!$A:$B,2,0),K212,1),"")</f>
        <v>R</v>
      </c>
      <c r="K212" s="23">
        <v>78</v>
      </c>
      <c r="L212" s="3" t="str">
        <f>IFERROR(MID(VLOOKUP($B212,Seqs!$A:$B,2,0),M212,1),"")</f>
        <v>T</v>
      </c>
      <c r="M212" s="3">
        <v>79</v>
      </c>
      <c r="N212" s="3" t="str">
        <f>IFERROR(MID(VLOOKUP($B212,Seqs!$A:$B,2,0),O212,1),"")</f>
        <v>T</v>
      </c>
      <c r="O212" s="3">
        <v>109</v>
      </c>
      <c r="P212" s="3" t="str">
        <f>IFERROR(MID(VLOOKUP($B212,Seqs!$A:$B,2,0),Q212,1),"")</f>
        <v>S</v>
      </c>
      <c r="Q212" s="3">
        <v>111</v>
      </c>
      <c r="R212" s="3" t="str">
        <f>IFERROR(MID(VLOOKUP($B212,Seqs!$A:$B,2,0),S212,1),"")</f>
        <v>F</v>
      </c>
      <c r="S212" s="3">
        <v>114</v>
      </c>
      <c r="T212" s="3" t="str">
        <f>IFERROR(MID(VLOOKUP($B212,Seqs!$A:$B,2,0),U212,1),"")</f>
        <v>G</v>
      </c>
      <c r="U212" s="3">
        <v>115</v>
      </c>
      <c r="V212" s="3" t="str">
        <f>IFERROR(MID(VLOOKUP($B212,Seqs!$A:$B,2,0),W212,1),"")</f>
        <v>H</v>
      </c>
      <c r="W212" s="3">
        <v>150</v>
      </c>
      <c r="X212" s="3" t="str">
        <f>IFERROR(MID(VLOOKUP($B212,Seqs!$A:$B,2,0),Y212,1),"")</f>
        <v>P</v>
      </c>
      <c r="Y212" s="3">
        <v>151</v>
      </c>
      <c r="Z212" s="3" t="str">
        <f>IFERROR(MID(VLOOKUP($B212,Seqs!$A:$B,2,0),AA212,1),"")</f>
        <v>F</v>
      </c>
      <c r="AA212" s="3">
        <v>154</v>
      </c>
      <c r="AB212" s="3" t="str">
        <f>IFERROR(MID(VLOOKUP($B212,Seqs!$A:$B,2,0),AC212,1),"")</f>
        <v>T</v>
      </c>
      <c r="AC212" s="9">
        <v>157</v>
      </c>
      <c r="AD212" s="3" t="str">
        <f>IFERROR(MID(VLOOKUP($B212,Seqs!$A:$B,2,0),AE212,1),"")</f>
        <v>M</v>
      </c>
      <c r="AE212" s="3">
        <v>183</v>
      </c>
      <c r="AF212" s="3" t="str">
        <f>IFERROR(MID(VLOOKUP($B212,Seqs!$A:$B,2,0),AG212,1),"")</f>
        <v>C</v>
      </c>
      <c r="AG212" s="3">
        <v>202</v>
      </c>
      <c r="AH212" s="3" t="str">
        <f>IFERROR(MID(VLOOKUP($B212,Seqs!$A:$B,2,0),AI212,1),"")</f>
        <v>E</v>
      </c>
      <c r="AI212" s="3">
        <v>204</v>
      </c>
      <c r="AJ212" s="3" t="str">
        <f>IFERROR(MID(VLOOKUP($B212,Seqs!$A:$B,2,0),AK212,1),"")</f>
        <v>D</v>
      </c>
      <c r="AK212" s="3">
        <v>209</v>
      </c>
      <c r="AL212" s="3" t="str">
        <f>IFERROR(MID(VLOOKUP($B212,Seqs!$A:$B,2,0),AM212,1),"")</f>
        <v>L</v>
      </c>
      <c r="AM212" s="3">
        <v>242</v>
      </c>
      <c r="AN212" s="3" t="str">
        <f>IFERROR(MID(VLOOKUP($B212,Seqs!$A:$B,2,0),AO212,1),"")</f>
        <v>K</v>
      </c>
      <c r="AO212" s="3">
        <v>288</v>
      </c>
      <c r="AP212" s="3" t="str">
        <f>IFERROR(MID(VLOOKUP($B212,Seqs!$A:$B,2,0),AQ212,1),"")</f>
        <v>F</v>
      </c>
      <c r="AQ212" s="3">
        <v>324</v>
      </c>
      <c r="AR212" s="3" t="str">
        <f>IFERROR(MID(VLOOKUP($B212,Seqs!$A:$B,2,0),AS212,1),"")</f>
        <v>R</v>
      </c>
      <c r="AS212" s="3">
        <v>333</v>
      </c>
      <c r="AT212" s="3" t="str">
        <f>IFERROR(MID(VLOOKUP($B212,Seqs!$A:$B,2,0),AU212,1),"")</f>
        <v>L</v>
      </c>
      <c r="AU212" s="3">
        <v>361</v>
      </c>
      <c r="AV212" s="3" t="str">
        <f>IFERROR(MID(VLOOKUP($B212,Seqs!$A:$B,2,0),AW212,1),"")</f>
        <v>S</v>
      </c>
      <c r="AW212" s="3">
        <v>362</v>
      </c>
      <c r="AX212" s="3" t="str">
        <f>IFERROR(MID(VLOOKUP($B212,Seqs!$A:$B,2,0),AY212,1),"")</f>
        <v>F</v>
      </c>
      <c r="AY212" s="3">
        <v>373</v>
      </c>
      <c r="AZ212" s="77" t="str">
        <f>VLOOKUP(B212,Classification!A:D,2,0)</f>
        <v>A</v>
      </c>
      <c r="BA212" s="94" t="str">
        <f>VLOOKUP(B212,Classification!A:D,4,0)</f>
        <v>Orexin</v>
      </c>
      <c r="BB212" s="27" t="b">
        <f t="shared" si="334"/>
        <v>1</v>
      </c>
      <c r="BC212" s="23">
        <f t="shared" si="307"/>
        <v>250</v>
      </c>
      <c r="BD212" s="2" t="s">
        <v>23</v>
      </c>
      <c r="BE212" s="3" t="s">
        <v>1381</v>
      </c>
      <c r="BF212" s="119">
        <v>2.83</v>
      </c>
      <c r="BG212" s="49" t="s">
        <v>1384</v>
      </c>
      <c r="BH212" s="49" t="s">
        <v>1384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308"/>
        <v>46</v>
      </c>
      <c r="BW212" s="71">
        <f t="shared" si="309"/>
        <v>75</v>
      </c>
      <c r="BX212" s="72">
        <f t="shared" si="310"/>
        <v>79</v>
      </c>
      <c r="BY212" s="71">
        <f t="shared" si="311"/>
        <v>111</v>
      </c>
      <c r="BZ212" s="72">
        <f t="shared" si="312"/>
        <v>115</v>
      </c>
      <c r="CA212" s="71">
        <f t="shared" si="313"/>
        <v>151</v>
      </c>
      <c r="CB212" s="72">
        <f t="shared" si="314"/>
        <v>157</v>
      </c>
      <c r="CC212" s="71">
        <f t="shared" si="315"/>
        <v>202</v>
      </c>
      <c r="CD212" s="72">
        <f t="shared" si="316"/>
        <v>209</v>
      </c>
      <c r="CE212" s="71">
        <f t="shared" si="317"/>
        <v>288</v>
      </c>
      <c r="CF212" s="72">
        <f t="shared" si="318"/>
        <v>333</v>
      </c>
      <c r="CG212" s="71">
        <f t="shared" si="319"/>
        <v>362</v>
      </c>
      <c r="CH212" s="70">
        <f t="shared" si="320"/>
        <v>74</v>
      </c>
      <c r="CI212" s="71">
        <f t="shared" si="321"/>
        <v>78</v>
      </c>
      <c r="CJ212" s="72">
        <f t="shared" si="322"/>
        <v>109</v>
      </c>
      <c r="CK212" s="72">
        <f t="shared" si="323"/>
        <v>114</v>
      </c>
      <c r="CL212" s="72">
        <f t="shared" si="324"/>
        <v>150</v>
      </c>
      <c r="CM212" s="72">
        <f t="shared" si="325"/>
        <v>154</v>
      </c>
      <c r="CN212" s="72">
        <f t="shared" si="326"/>
        <v>183</v>
      </c>
      <c r="CO212" s="72">
        <f t="shared" si="327"/>
        <v>204</v>
      </c>
      <c r="CP212" s="72">
        <f t="shared" si="328"/>
        <v>242</v>
      </c>
      <c r="CQ212" s="72">
        <f t="shared" si="329"/>
        <v>324</v>
      </c>
      <c r="CR212" s="72">
        <f t="shared" si="330"/>
        <v>361</v>
      </c>
      <c r="CS212" s="72">
        <f t="shared" si="331"/>
        <v>373</v>
      </c>
      <c r="CT212" s="23">
        <f t="shared" si="332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2"/>
    </row>
    <row r="213" spans="1:1030" x14ac:dyDescent="0.2">
      <c r="A213" s="3" t="str">
        <f t="shared" si="333"/>
        <v>ox2r_human__wt</v>
      </c>
      <c r="B213" s="3" t="s">
        <v>1176</v>
      </c>
      <c r="C213" s="3" t="s">
        <v>100</v>
      </c>
      <c r="D213" s="3" t="str">
        <f>IFERROR(MID(VLOOKUP($B213,Seqs!$A:$B,2,0),E213,1),"")</f>
        <v>Y</v>
      </c>
      <c r="E213" s="3">
        <v>53</v>
      </c>
      <c r="F213" s="3" t="str">
        <f>IFERROR(MID(VLOOKUP($B213,Seqs!$A:$B,2,0),G213,1),"")</f>
        <v>N</v>
      </c>
      <c r="G213" s="3">
        <v>82</v>
      </c>
      <c r="H213" s="3" t="str">
        <f>IFERROR(MID(VLOOKUP($B213,Seqs!$A:$B,2,0),I213,1),"")</f>
        <v>H</v>
      </c>
      <c r="I213" s="23">
        <v>83</v>
      </c>
      <c r="J213" s="3" t="str">
        <f>IFERROR(MID(VLOOKUP($B213,Seqs!$A:$B,2,0),K213,1),"")</f>
        <v>R</v>
      </c>
      <c r="K213" s="23">
        <v>86</v>
      </c>
      <c r="L213" s="3" t="str">
        <f>IFERROR(MID(VLOOKUP($B213,Seqs!$A:$B,2,0),M213,1),"")</f>
        <v>T</v>
      </c>
      <c r="M213" s="3">
        <v>87</v>
      </c>
      <c r="N213" s="3" t="str">
        <f>IFERROR(MID(VLOOKUP($B213,Seqs!$A:$B,2,0),O213,1),"")</f>
        <v>E</v>
      </c>
      <c r="O213" s="105">
        <v>118</v>
      </c>
      <c r="P213" s="3" t="str">
        <f>IFERROR(MID(VLOOKUP($B213,Seqs!$A:$B,2,0),Q213,1),"")</f>
        <v>T</v>
      </c>
      <c r="Q213" s="3">
        <v>119</v>
      </c>
      <c r="R213" s="3" t="str">
        <f>IFERROR(MID(VLOOKUP($B213,Seqs!$A:$B,2,0),S213,1),"")</f>
        <v>F</v>
      </c>
      <c r="S213" s="3">
        <v>122</v>
      </c>
      <c r="T213" s="3" t="str">
        <f>IFERROR(MID(VLOOKUP($B213,Seqs!$A:$B,2,0),U213,1),"")</f>
        <v>G</v>
      </c>
      <c r="U213" s="3">
        <v>123</v>
      </c>
      <c r="V213" s="3" t="str">
        <f>IFERROR(MID(VLOOKUP($B213,Seqs!$A:$B,2,0),W213,1),"")</f>
        <v>H</v>
      </c>
      <c r="W213" s="3">
        <v>158</v>
      </c>
      <c r="X213" s="3" t="str">
        <f>IFERROR(MID(VLOOKUP($B213,Seqs!$A:$B,2,0),Y213,1),"")</f>
        <v>P</v>
      </c>
      <c r="Y213" s="3">
        <v>159</v>
      </c>
      <c r="Z213" s="3" t="str">
        <f>IFERROR(MID(VLOOKUP($B213,Seqs!$A:$B,2,0),AA213,1),"")</f>
        <v>F</v>
      </c>
      <c r="AA213" s="73">
        <v>162</v>
      </c>
      <c r="AB213" s="3" t="str">
        <f>IFERROR(MID(VLOOKUP($B213,Seqs!$A:$B,2,0),AC213,1),"")</f>
        <v>T</v>
      </c>
      <c r="AC213" s="9">
        <v>165</v>
      </c>
      <c r="AD213" s="3" t="str">
        <f>IFERROR(MID(VLOOKUP($B213,Seqs!$A:$B,2,0),AE213,1),"")</f>
        <v>M</v>
      </c>
      <c r="AE213" s="3">
        <v>191</v>
      </c>
      <c r="AF213" s="3" t="str">
        <f>IFERROR(MID(VLOOKUP($B213,Seqs!$A:$B,2,0),AG213,1),"")</f>
        <v>C</v>
      </c>
      <c r="AG213" s="3">
        <v>210</v>
      </c>
      <c r="AH213" s="3" t="str">
        <f>IFERROR(MID(VLOOKUP($B213,Seqs!$A:$B,2,0),AI213,1),"")</f>
        <v>E</v>
      </c>
      <c r="AI213" s="3">
        <v>212</v>
      </c>
      <c r="AJ213" s="3" t="str">
        <f>IFERROR(MID(VLOOKUP($B213,Seqs!$A:$B,2,0),AK213,1),"")</f>
        <v>I</v>
      </c>
      <c r="AK213" s="105">
        <v>218</v>
      </c>
      <c r="AL213" s="3" t="str">
        <f>IFERROR(MID(VLOOKUP($B213,Seqs!$A:$B,2,0),AM213,1),"")</f>
        <v>P</v>
      </c>
      <c r="AM213" s="3">
        <v>256</v>
      </c>
      <c r="AN213" s="3" t="str">
        <f>IFERROR(MID(VLOOKUP($B213,Seqs!$A:$B,2,0),AO213,1),"")</f>
        <v>V</v>
      </c>
      <c r="AO213" s="3">
        <v>289</v>
      </c>
      <c r="AP213" s="3" t="str">
        <f>IFERROR(MID(VLOOKUP($B213,Seqs!$A:$B,2,0),AQ213,1),"")</f>
        <v>F</v>
      </c>
      <c r="AQ213" s="3">
        <v>330</v>
      </c>
      <c r="AR213" s="3" t="str">
        <f>IFERROR(MID(VLOOKUP($B213,Seqs!$A:$B,2,0),AS213,1),"")</f>
        <v>D</v>
      </c>
      <c r="AS213" s="105">
        <v>338</v>
      </c>
      <c r="AT213" s="3" t="str">
        <f>IFERROR(MID(VLOOKUP($B213,Seqs!$A:$B,2,0),AU213,1),"")</f>
        <v>L</v>
      </c>
      <c r="AU213" s="3">
        <v>367</v>
      </c>
      <c r="AV213" s="3" t="str">
        <f>IFERROR(MID(VLOOKUP($B213,Seqs!$A:$B,2,0),AW213,1),"")</f>
        <v>S</v>
      </c>
      <c r="AW213" s="3">
        <v>368</v>
      </c>
      <c r="AX213" s="3" t="str">
        <f>IFERROR(MID(VLOOKUP($B213,Seqs!$A:$B,2,0),AY213,1),"")</f>
        <v>F</v>
      </c>
      <c r="AY213" s="3">
        <v>379</v>
      </c>
      <c r="AZ213" s="77" t="str">
        <f>VLOOKUP(B213,Classification!A:D,2,0)</f>
        <v>A</v>
      </c>
      <c r="BA213" s="94" t="str">
        <f>VLOOKUP(B213,Classification!A:D,4,0)</f>
        <v>Orexin</v>
      </c>
      <c r="BB213" s="27" t="b">
        <f t="shared" si="334"/>
        <v>1</v>
      </c>
      <c r="BC213" s="23">
        <f t="shared" si="307"/>
        <v>263</v>
      </c>
      <c r="BD213" s="56" t="s">
        <v>1379</v>
      </c>
      <c r="BE213" s="3" t="s">
        <v>23</v>
      </c>
      <c r="BF213" s="119" t="s">
        <v>23</v>
      </c>
      <c r="BG213" s="49" t="s">
        <v>1379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308"/>
        <v>53</v>
      </c>
      <c r="BW213" s="71">
        <f t="shared" si="309"/>
        <v>83</v>
      </c>
      <c r="BX213" s="72">
        <f t="shared" si="310"/>
        <v>87</v>
      </c>
      <c r="BY213" s="71">
        <f t="shared" si="311"/>
        <v>119</v>
      </c>
      <c r="BZ213" s="72">
        <f t="shared" si="312"/>
        <v>123</v>
      </c>
      <c r="CA213" s="71">
        <f t="shared" si="313"/>
        <v>159</v>
      </c>
      <c r="CB213" s="72">
        <f t="shared" si="314"/>
        <v>165</v>
      </c>
      <c r="CC213" s="71">
        <f t="shared" si="315"/>
        <v>210</v>
      </c>
      <c r="CD213" s="72">
        <f t="shared" si="316"/>
        <v>218</v>
      </c>
      <c r="CE213" s="71">
        <f t="shared" si="317"/>
        <v>289</v>
      </c>
      <c r="CF213" s="72">
        <f t="shared" si="318"/>
        <v>338</v>
      </c>
      <c r="CG213" s="71">
        <f t="shared" si="319"/>
        <v>368</v>
      </c>
      <c r="CH213" s="70">
        <f t="shared" si="320"/>
        <v>82</v>
      </c>
      <c r="CI213" s="71">
        <f t="shared" si="321"/>
        <v>86</v>
      </c>
      <c r="CJ213" s="72">
        <f t="shared" si="322"/>
        <v>118</v>
      </c>
      <c r="CK213" s="72">
        <f t="shared" si="323"/>
        <v>122</v>
      </c>
      <c r="CL213" s="72">
        <f t="shared" si="324"/>
        <v>158</v>
      </c>
      <c r="CM213" s="72">
        <f t="shared" si="325"/>
        <v>162</v>
      </c>
      <c r="CN213" s="72">
        <f t="shared" si="326"/>
        <v>191</v>
      </c>
      <c r="CO213" s="72">
        <f t="shared" si="327"/>
        <v>212</v>
      </c>
      <c r="CP213" s="72">
        <f t="shared" si="328"/>
        <v>256</v>
      </c>
      <c r="CQ213" s="72">
        <f t="shared" si="329"/>
        <v>330</v>
      </c>
      <c r="CR213" s="72">
        <f t="shared" si="330"/>
        <v>367</v>
      </c>
      <c r="CS213" s="72">
        <f t="shared" si="331"/>
        <v>379</v>
      </c>
      <c r="CT213" s="23">
        <f t="shared" si="33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 t="shared" si="333"/>
        <v>ox2r_human_4S0V</v>
      </c>
      <c r="B214" s="3" t="s">
        <v>1176</v>
      </c>
      <c r="C214" s="3" t="s">
        <v>92</v>
      </c>
      <c r="D214" s="3" t="str">
        <f>IFERROR(MID(VLOOKUP($B214,Seqs!$A:$B,2,0),E214,1),"")</f>
        <v>Y</v>
      </c>
      <c r="E214" s="3">
        <v>53</v>
      </c>
      <c r="F214" s="3" t="str">
        <f>IFERROR(MID(VLOOKUP($B214,Seqs!$A:$B,2,0),G214,1),"")</f>
        <v>N</v>
      </c>
      <c r="G214" s="3">
        <v>82</v>
      </c>
      <c r="H214" s="3" t="str">
        <f>IFERROR(MID(VLOOKUP($B214,Seqs!$A:$B,2,0),I214,1),"")</f>
        <v>H</v>
      </c>
      <c r="I214" s="23">
        <v>83</v>
      </c>
      <c r="J214" s="3" t="str">
        <f>IFERROR(MID(VLOOKUP($B214,Seqs!$A:$B,2,0),K214,1),"")</f>
        <v>R</v>
      </c>
      <c r="K214" s="23">
        <v>86</v>
      </c>
      <c r="L214" s="3" t="str">
        <f>IFERROR(MID(VLOOKUP($B214,Seqs!$A:$B,2,0),M214,1),"")</f>
        <v>T</v>
      </c>
      <c r="M214" s="3">
        <v>87</v>
      </c>
      <c r="N214" s="3" t="str">
        <f>IFERROR(MID(VLOOKUP($B214,Seqs!$A:$B,2,0),O214,1),"")</f>
        <v>E</v>
      </c>
      <c r="O214" s="105">
        <v>118</v>
      </c>
      <c r="P214" s="3" t="str">
        <f>IFERROR(MID(VLOOKUP($B214,Seqs!$A:$B,2,0),Q214,1),"")</f>
        <v>T</v>
      </c>
      <c r="Q214" s="3">
        <v>119</v>
      </c>
      <c r="R214" s="3" t="str">
        <f>IFERROR(MID(VLOOKUP($B214,Seqs!$A:$B,2,0),S214,1),"")</f>
        <v>F</v>
      </c>
      <c r="S214" s="3">
        <v>122</v>
      </c>
      <c r="T214" s="3" t="str">
        <f>IFERROR(MID(VLOOKUP($B214,Seqs!$A:$B,2,0),U214,1),"")</f>
        <v>G</v>
      </c>
      <c r="U214" s="3">
        <v>123</v>
      </c>
      <c r="V214" s="3" t="str">
        <f>IFERROR(MID(VLOOKUP($B214,Seqs!$A:$B,2,0),W214,1),"")</f>
        <v>H</v>
      </c>
      <c r="W214" s="3">
        <v>158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T</v>
      </c>
      <c r="AC214" s="9">
        <v>165</v>
      </c>
      <c r="AD214" s="3" t="str">
        <f>IFERROR(MID(VLOOKUP($B214,Seqs!$A:$B,2,0),AE214,1),"")</f>
        <v>M</v>
      </c>
      <c r="AE214" s="3">
        <v>191</v>
      </c>
      <c r="AF214" s="3" t="str">
        <f>IFERROR(MID(VLOOKUP($B214,Seqs!$A:$B,2,0),AG214,1),"")</f>
        <v>C</v>
      </c>
      <c r="AG214" s="3">
        <v>210</v>
      </c>
      <c r="AH214" s="3" t="str">
        <f>IFERROR(MID(VLOOKUP($B214,Seqs!$A:$B,2,0),AI214,1),"")</f>
        <v>E</v>
      </c>
      <c r="AI214" s="3">
        <v>212</v>
      </c>
      <c r="AJ214" s="3" t="str">
        <f>IFERROR(MID(VLOOKUP($B214,Seqs!$A:$B,2,0),AK214,1),"")</f>
        <v>I</v>
      </c>
      <c r="AK214" s="105">
        <v>218</v>
      </c>
      <c r="AL214" s="3" t="str">
        <f>IFERROR(MID(VLOOKUP($B214,Seqs!$A:$B,2,0),AM214,1),"")</f>
        <v>C</v>
      </c>
      <c r="AM214" s="105">
        <v>252</v>
      </c>
      <c r="AN214" s="3" t="str">
        <f>IFERROR(MID(VLOOKUP($B214,Seqs!$A:$B,2,0),AO214,1),"")</f>
        <v>K</v>
      </c>
      <c r="AO214" s="3">
        <v>294</v>
      </c>
      <c r="AP214" s="3" t="str">
        <f>IFERROR(MID(VLOOKUP($B214,Seqs!$A:$B,2,0),AQ214,1),"")</f>
        <v>F</v>
      </c>
      <c r="AQ214" s="3">
        <v>330</v>
      </c>
      <c r="AR214" s="3" t="str">
        <f>IFERROR(MID(VLOOKUP($B214,Seqs!$A:$B,2,0),AS214,1),"")</f>
        <v>R</v>
      </c>
      <c r="AS214" s="3">
        <v>339</v>
      </c>
      <c r="AT214" s="3" t="str">
        <f>IFERROR(MID(VLOOKUP($B214,Seqs!$A:$B,2,0),AU214,1),"")</f>
        <v>L</v>
      </c>
      <c r="AU214" s="3">
        <v>367</v>
      </c>
      <c r="AV214" s="3" t="str">
        <f>IFERROR(MID(VLOOKUP($B214,Seqs!$A:$B,2,0),AW214,1),"")</f>
        <v>S</v>
      </c>
      <c r="AW214" s="3">
        <v>368</v>
      </c>
      <c r="AX214" s="3" t="str">
        <f>IFERROR(MID(VLOOKUP($B214,Seqs!$A:$B,2,0),AY214,1),"")</f>
        <v>F</v>
      </c>
      <c r="AY214" s="3">
        <v>379</v>
      </c>
      <c r="AZ214" s="77" t="str">
        <f>VLOOKUP(B214,Classification!A:D,2,0)</f>
        <v>A</v>
      </c>
      <c r="BA214" s="94" t="str">
        <f>VLOOKUP(B214,Classification!A:D,4,0)</f>
        <v>Orexin</v>
      </c>
      <c r="BB214" s="27" t="b">
        <f t="shared" si="334"/>
        <v>1</v>
      </c>
      <c r="BC214" s="23">
        <f t="shared" si="307"/>
        <v>250</v>
      </c>
      <c r="BD214" s="2" t="s">
        <v>23</v>
      </c>
      <c r="BE214" s="3" t="s">
        <v>1381</v>
      </c>
      <c r="BF214" s="119">
        <v>2.5</v>
      </c>
      <c r="BG214" s="49" t="s">
        <v>1384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308"/>
        <v>53</v>
      </c>
      <c r="BW214" s="71">
        <f t="shared" si="309"/>
        <v>83</v>
      </c>
      <c r="BX214" s="72">
        <f t="shared" si="310"/>
        <v>87</v>
      </c>
      <c r="BY214" s="71">
        <f t="shared" si="311"/>
        <v>119</v>
      </c>
      <c r="BZ214" s="72">
        <f t="shared" si="312"/>
        <v>123</v>
      </c>
      <c r="CA214" s="71" t="str">
        <f t="shared" si="313"/>
        <v>-</v>
      </c>
      <c r="CB214" s="72">
        <f t="shared" si="314"/>
        <v>165</v>
      </c>
      <c r="CC214" s="71">
        <f t="shared" si="315"/>
        <v>210</v>
      </c>
      <c r="CD214" s="72">
        <f t="shared" si="316"/>
        <v>218</v>
      </c>
      <c r="CE214" s="71">
        <f t="shared" si="317"/>
        <v>294</v>
      </c>
      <c r="CF214" s="72">
        <f t="shared" si="318"/>
        <v>339</v>
      </c>
      <c r="CG214" s="71">
        <f t="shared" si="319"/>
        <v>368</v>
      </c>
      <c r="CH214" s="70">
        <f t="shared" si="320"/>
        <v>82</v>
      </c>
      <c r="CI214" s="71">
        <f t="shared" si="321"/>
        <v>86</v>
      </c>
      <c r="CJ214" s="72">
        <f t="shared" si="322"/>
        <v>118</v>
      </c>
      <c r="CK214" s="72">
        <f t="shared" si="323"/>
        <v>122</v>
      </c>
      <c r="CL214" s="72">
        <f t="shared" si="324"/>
        <v>158</v>
      </c>
      <c r="CM214" s="72" t="str">
        <f t="shared" si="325"/>
        <v>-</v>
      </c>
      <c r="CN214" s="72">
        <f t="shared" si="326"/>
        <v>191</v>
      </c>
      <c r="CO214" s="72">
        <f t="shared" si="327"/>
        <v>212</v>
      </c>
      <c r="CP214" s="72">
        <f t="shared" si="328"/>
        <v>252</v>
      </c>
      <c r="CQ214" s="72">
        <f t="shared" si="329"/>
        <v>330</v>
      </c>
      <c r="CR214" s="72">
        <f t="shared" si="330"/>
        <v>367</v>
      </c>
      <c r="CS214" s="72">
        <f t="shared" si="331"/>
        <v>379</v>
      </c>
      <c r="CT214" s="23">
        <f t="shared" si="332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s="12" customFormat="1" x14ac:dyDescent="0.2">
      <c r="A215" s="9" t="str">
        <f>CONCATENATE(B215,"_",C215)</f>
        <v>ox2r_human_5WQC</v>
      </c>
      <c r="B215" s="9" t="s">
        <v>1176</v>
      </c>
      <c r="C215" s="9" t="s">
        <v>1459</v>
      </c>
      <c r="D215" s="9" t="str">
        <f>IFERROR(MID(VLOOKUP($B215,Seqs!$A:$B,2,0),E215,1),"")</f>
        <v>Y</v>
      </c>
      <c r="E215" s="9">
        <v>53</v>
      </c>
      <c r="F215" s="9" t="str">
        <f>IFERROR(MID(VLOOKUP($B215,Seqs!$A:$B,2,0),G215,1),"")</f>
        <v>N</v>
      </c>
      <c r="G215" s="9">
        <v>82</v>
      </c>
      <c r="H215" s="9" t="str">
        <f>IFERROR(MID(VLOOKUP($B215,Seqs!$A:$B,2,0),I215,1),"")</f>
        <v>H</v>
      </c>
      <c r="I215" s="109">
        <v>83</v>
      </c>
      <c r="J215" s="9" t="str">
        <f>IFERROR(MID(VLOOKUP($B215,Seqs!$A:$B,2,0),K215,1),"")</f>
        <v>R</v>
      </c>
      <c r="K215" s="109">
        <v>86</v>
      </c>
      <c r="L215" s="9" t="str">
        <f>IFERROR(MID(VLOOKUP($B215,Seqs!$A:$B,2,0),M215,1),"")</f>
        <v>T</v>
      </c>
      <c r="M215" s="9">
        <v>87</v>
      </c>
      <c r="N215" s="9" t="str">
        <f>IFERROR(MID(VLOOKUP($B215,Seqs!$A:$B,2,0),O215,1),"")</f>
        <v>E</v>
      </c>
      <c r="O215" s="9">
        <v>118</v>
      </c>
      <c r="P215" s="9" t="str">
        <f>IFERROR(MID(VLOOKUP($B215,Seqs!$A:$B,2,0),Q215,1),"")</f>
        <v>T</v>
      </c>
      <c r="Q215" s="9">
        <v>119</v>
      </c>
      <c r="R215" s="9" t="str">
        <f>IFERROR(MID(VLOOKUP($B215,Seqs!$A:$B,2,0),S215,1),"")</f>
        <v>F</v>
      </c>
      <c r="S215" s="9">
        <v>122</v>
      </c>
      <c r="T215" s="9" t="str">
        <f>IFERROR(MID(VLOOKUP($B215,Seqs!$A:$B,2,0),U215,1),"")</f>
        <v>G</v>
      </c>
      <c r="U215" s="9">
        <v>123</v>
      </c>
      <c r="V215" s="9" t="str">
        <f>IFERROR(MID(VLOOKUP($B215,Seqs!$A:$B,2,0),W215,1),"")</f>
        <v>H</v>
      </c>
      <c r="W215" s="9">
        <v>158</v>
      </c>
      <c r="X215" s="9" t="str">
        <f>IFERROR(MID(VLOOKUP($B215,Seqs!$A:$B,2,0),Y215,1),"")</f>
        <v/>
      </c>
      <c r="Y215" s="9" t="s">
        <v>23</v>
      </c>
      <c r="Z215" s="9" t="str">
        <f>IFERROR(MID(VLOOKUP($B215,Seqs!$A:$B,2,0),AA215,1),"")</f>
        <v/>
      </c>
      <c r="AA215" s="9" t="s">
        <v>23</v>
      </c>
      <c r="AB215" s="9" t="str">
        <f>IFERROR(MID(VLOOKUP($B215,Seqs!$A:$B,2,0),AC215,1),"")</f>
        <v>T</v>
      </c>
      <c r="AC215" s="9">
        <v>165</v>
      </c>
      <c r="AD215" s="9" t="str">
        <f>IFERROR(MID(VLOOKUP($B215,Seqs!$A:$B,2,0),AE215,1),"")</f>
        <v>M</v>
      </c>
      <c r="AE215" s="9">
        <v>191</v>
      </c>
      <c r="AF215" s="9" t="str">
        <f>IFERROR(MID(VLOOKUP($B215,Seqs!$A:$B,2,0),AG215,1),"")</f>
        <v>C</v>
      </c>
      <c r="AG215" s="9">
        <v>210</v>
      </c>
      <c r="AH215" s="9" t="str">
        <f>IFERROR(MID(VLOOKUP($B215,Seqs!$A:$B,2,0),AI215,1),"")</f>
        <v>E</v>
      </c>
      <c r="AI215" s="9">
        <v>212</v>
      </c>
      <c r="AJ215" s="9" t="str">
        <f>IFERROR(MID(VLOOKUP($B215,Seqs!$A:$B,2,0),AK215,1),"")</f>
        <v>I</v>
      </c>
      <c r="AK215" s="9">
        <v>218</v>
      </c>
      <c r="AL215" s="9" t="str">
        <f>IFERROR(MID(VLOOKUP($B215,Seqs!$A:$B,2,0),AM215,1),"")</f>
        <v>C</v>
      </c>
      <c r="AM215" s="9">
        <v>252</v>
      </c>
      <c r="AN215" s="9" t="str">
        <f>IFERROR(MID(VLOOKUP($B215,Seqs!$A:$B,2,0),AO215,1),"")</f>
        <v>K</v>
      </c>
      <c r="AO215" s="9">
        <v>294</v>
      </c>
      <c r="AP215" s="9" t="str">
        <f>IFERROR(MID(VLOOKUP($B215,Seqs!$A:$B,2,0),AQ215,1),"")</f>
        <v>F</v>
      </c>
      <c r="AQ215" s="9">
        <v>330</v>
      </c>
      <c r="AR215" s="9" t="str">
        <f>IFERROR(MID(VLOOKUP($B215,Seqs!$A:$B,2,0),AS215,1),"")</f>
        <v>D</v>
      </c>
      <c r="AS215" s="9">
        <v>338</v>
      </c>
      <c r="AT215" s="9" t="str">
        <f>IFERROR(MID(VLOOKUP($B215,Seqs!$A:$B,2,0),AU215,1),"")</f>
        <v>L</v>
      </c>
      <c r="AU215" s="9">
        <v>367</v>
      </c>
      <c r="AV215" s="9" t="str">
        <f>IFERROR(MID(VLOOKUP($B215,Seqs!$A:$B,2,0),AW215,1),"")</f>
        <v>S</v>
      </c>
      <c r="AW215" s="9">
        <v>368</v>
      </c>
      <c r="AX215" s="9" t="str">
        <f>IFERROR(MID(VLOOKUP($B215,Seqs!$A:$B,2,0),AY215,1),"")</f>
        <v>C</v>
      </c>
      <c r="AY215" s="9">
        <v>383</v>
      </c>
      <c r="AZ215" s="110" t="str">
        <f>VLOOKUP(B215,Classification!A:D,2,0)</f>
        <v>A</v>
      </c>
      <c r="BA215" s="98" t="str">
        <f>VLOOKUP(B215,Classification!A:D,4,0)</f>
        <v>Orexin</v>
      </c>
      <c r="BB215" s="36" t="b">
        <f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109">
        <f>_xlfn.AGGREGATE(9,6,CH215:CS215)-_xlfn.AGGREGATE(9,6,BV215:CG215)+12</f>
        <v>255</v>
      </c>
      <c r="BD215" s="40" t="s">
        <v>23</v>
      </c>
      <c r="BE215" s="9" t="s">
        <v>1381</v>
      </c>
      <c r="BF215" s="120">
        <v>1.96</v>
      </c>
      <c r="BG215" s="51" t="s">
        <v>1</v>
      </c>
      <c r="BH215" s="51" t="s">
        <v>1</v>
      </c>
      <c r="BJ215" s="111" t="s">
        <v>1293</v>
      </c>
      <c r="BK215" s="112" t="s">
        <v>1293</v>
      </c>
      <c r="BL215" s="112" t="s">
        <v>1293</v>
      </c>
      <c r="BM215" s="112" t="s">
        <v>1293</v>
      </c>
      <c r="BN215" s="112" t="s">
        <v>1293</v>
      </c>
      <c r="BO215" s="112" t="s">
        <v>1293</v>
      </c>
      <c r="BP215" s="112" t="s">
        <v>1293</v>
      </c>
      <c r="BQ215" s="112" t="s">
        <v>1293</v>
      </c>
      <c r="BR215" s="112" t="s">
        <v>1293</v>
      </c>
      <c r="BS215" s="112" t="s">
        <v>1293</v>
      </c>
      <c r="BT215" s="112" t="s">
        <v>1293</v>
      </c>
      <c r="BU215" s="112" t="s">
        <v>1293</v>
      </c>
      <c r="BV215" s="111">
        <f>E215</f>
        <v>53</v>
      </c>
      <c r="BW215" s="113">
        <f>I215</f>
        <v>83</v>
      </c>
      <c r="BX215" s="114">
        <f>M215</f>
        <v>87</v>
      </c>
      <c r="BY215" s="113">
        <f>Q215</f>
        <v>119</v>
      </c>
      <c r="BZ215" s="114">
        <f>U215</f>
        <v>123</v>
      </c>
      <c r="CA215" s="113" t="str">
        <f>Y215</f>
        <v>-</v>
      </c>
      <c r="CB215" s="114">
        <f>AC215</f>
        <v>165</v>
      </c>
      <c r="CC215" s="113">
        <f>AG215</f>
        <v>210</v>
      </c>
      <c r="CD215" s="114">
        <f>AK215</f>
        <v>218</v>
      </c>
      <c r="CE215" s="113">
        <f>AO215</f>
        <v>294</v>
      </c>
      <c r="CF215" s="114">
        <f>AS215</f>
        <v>338</v>
      </c>
      <c r="CG215" s="113">
        <f>AW215</f>
        <v>368</v>
      </c>
      <c r="CH215" s="111">
        <f>G215</f>
        <v>82</v>
      </c>
      <c r="CI215" s="113">
        <f>K215</f>
        <v>86</v>
      </c>
      <c r="CJ215" s="114">
        <f>O215</f>
        <v>118</v>
      </c>
      <c r="CK215" s="114">
        <f>S215</f>
        <v>122</v>
      </c>
      <c r="CL215" s="114">
        <f>W215</f>
        <v>158</v>
      </c>
      <c r="CM215" s="114" t="str">
        <f>AA215</f>
        <v>-</v>
      </c>
      <c r="CN215" s="114">
        <f>AE215</f>
        <v>191</v>
      </c>
      <c r="CO215" s="114">
        <f>AI215</f>
        <v>212</v>
      </c>
      <c r="CP215" s="114">
        <f>AM215</f>
        <v>252</v>
      </c>
      <c r="CQ215" s="114">
        <f>AQ215</f>
        <v>330</v>
      </c>
      <c r="CR215" s="114">
        <f>AU215</f>
        <v>367</v>
      </c>
      <c r="CS215" s="114">
        <f>AY215</f>
        <v>383</v>
      </c>
      <c r="CT215" s="109">
        <f>M215-K215</f>
        <v>1</v>
      </c>
    </row>
    <row r="216" spans="1:1030" s="12" customFormat="1" x14ac:dyDescent="0.2">
      <c r="A216" s="9" t="str">
        <f>CONCATENATE(B216,"_",C216)</f>
        <v>ox2r_human_5WS3</v>
      </c>
      <c r="B216" s="9" t="s">
        <v>1176</v>
      </c>
      <c r="C216" s="9" t="s">
        <v>1460</v>
      </c>
      <c r="D216" s="9" t="str">
        <f>IFERROR(MID(VLOOKUP($B216,Seqs!$A:$B,2,0),E216,1),"")</f>
        <v>Y</v>
      </c>
      <c r="E216" s="9">
        <v>53</v>
      </c>
      <c r="F216" s="9" t="str">
        <f>IFERROR(MID(VLOOKUP($B216,Seqs!$A:$B,2,0),G216,1),"")</f>
        <v>N</v>
      </c>
      <c r="G216" s="9">
        <v>82</v>
      </c>
      <c r="H216" s="9" t="str">
        <f>IFERROR(MID(VLOOKUP($B216,Seqs!$A:$B,2,0),I216,1),"")</f>
        <v>H</v>
      </c>
      <c r="I216" s="109">
        <v>83</v>
      </c>
      <c r="J216" s="9" t="str">
        <f>IFERROR(MID(VLOOKUP($B216,Seqs!$A:$B,2,0),K216,1),"")</f>
        <v>R</v>
      </c>
      <c r="K216" s="109">
        <v>86</v>
      </c>
      <c r="L216" s="9" t="str">
        <f>IFERROR(MID(VLOOKUP($B216,Seqs!$A:$B,2,0),M216,1),"")</f>
        <v>T</v>
      </c>
      <c r="M216" s="9">
        <v>87</v>
      </c>
      <c r="N216" s="9" t="str">
        <f>IFERROR(MID(VLOOKUP($B216,Seqs!$A:$B,2,0),O216,1),"")</f>
        <v>E</v>
      </c>
      <c r="O216" s="9">
        <v>118</v>
      </c>
      <c r="P216" s="9" t="str">
        <f>IFERROR(MID(VLOOKUP($B216,Seqs!$A:$B,2,0),Q216,1),"")</f>
        <v>T</v>
      </c>
      <c r="Q216" s="9">
        <v>119</v>
      </c>
      <c r="R216" s="9" t="str">
        <f>IFERROR(MID(VLOOKUP($B216,Seqs!$A:$B,2,0),S216,1),"")</f>
        <v>F</v>
      </c>
      <c r="S216" s="9">
        <v>122</v>
      </c>
      <c r="T216" s="9" t="str">
        <f>IFERROR(MID(VLOOKUP($B216,Seqs!$A:$B,2,0),U216,1),"")</f>
        <v>G</v>
      </c>
      <c r="U216" s="9">
        <v>123</v>
      </c>
      <c r="V216" s="9" t="str">
        <f>IFERROR(MID(VLOOKUP($B216,Seqs!$A:$B,2,0),W216,1),"")</f>
        <v>H</v>
      </c>
      <c r="W216" s="9">
        <v>158</v>
      </c>
      <c r="X216" s="9" t="str">
        <f>IFERROR(MID(VLOOKUP($B216,Seqs!$A:$B,2,0),Y216,1),"")</f>
        <v/>
      </c>
      <c r="Y216" s="9" t="s">
        <v>23</v>
      </c>
      <c r="Z216" s="9" t="str">
        <f>IFERROR(MID(VLOOKUP($B216,Seqs!$A:$B,2,0),AA216,1),"")</f>
        <v/>
      </c>
      <c r="AA216" s="9" t="s">
        <v>23</v>
      </c>
      <c r="AB216" s="9" t="str">
        <f>IFERROR(MID(VLOOKUP($B216,Seqs!$A:$B,2,0),AC216,1),"")</f>
        <v>T</v>
      </c>
      <c r="AC216" s="9">
        <v>165</v>
      </c>
      <c r="AD216" s="9" t="str">
        <f>IFERROR(MID(VLOOKUP($B216,Seqs!$A:$B,2,0),AE216,1),"")</f>
        <v>M</v>
      </c>
      <c r="AE216" s="9">
        <v>191</v>
      </c>
      <c r="AF216" s="9" t="str">
        <f>IFERROR(MID(VLOOKUP($B216,Seqs!$A:$B,2,0),AG216,1),"")</f>
        <v>C</v>
      </c>
      <c r="AG216" s="9">
        <v>210</v>
      </c>
      <c r="AH216" s="9" t="str">
        <f>IFERROR(MID(VLOOKUP($B216,Seqs!$A:$B,2,0),AI216,1),"")</f>
        <v>E</v>
      </c>
      <c r="AI216" s="9">
        <v>212</v>
      </c>
      <c r="AJ216" s="9" t="str">
        <f>IFERROR(MID(VLOOKUP($B216,Seqs!$A:$B,2,0),AK216,1),"")</f>
        <v>I</v>
      </c>
      <c r="AK216" s="9">
        <v>218</v>
      </c>
      <c r="AL216" s="9" t="str">
        <f>IFERROR(MID(VLOOKUP($B216,Seqs!$A:$B,2,0),AM216,1),"")</f>
        <v>C</v>
      </c>
      <c r="AM216" s="9">
        <v>252</v>
      </c>
      <c r="AN216" s="9" t="str">
        <f>IFERROR(MID(VLOOKUP($B216,Seqs!$A:$B,2,0),AO216,1),"")</f>
        <v>K</v>
      </c>
      <c r="AO216" s="9">
        <v>294</v>
      </c>
      <c r="AP216" s="9" t="str">
        <f>IFERROR(MID(VLOOKUP($B216,Seqs!$A:$B,2,0),AQ216,1),"")</f>
        <v>F</v>
      </c>
      <c r="AQ216" s="9">
        <v>330</v>
      </c>
      <c r="AR216" s="9" t="str">
        <f>IFERROR(MID(VLOOKUP($B216,Seqs!$A:$B,2,0),AS216,1),"")</f>
        <v>D</v>
      </c>
      <c r="AS216" s="9">
        <v>338</v>
      </c>
      <c r="AT216" s="9" t="str">
        <f>IFERROR(MID(VLOOKUP($B216,Seqs!$A:$B,2,0),AU216,1),"")</f>
        <v>L</v>
      </c>
      <c r="AU216" s="9">
        <v>367</v>
      </c>
      <c r="AV216" s="9" t="str">
        <f>IFERROR(MID(VLOOKUP($B216,Seqs!$A:$B,2,0),AW216,1),"")</f>
        <v>S</v>
      </c>
      <c r="AW216" s="9">
        <v>368</v>
      </c>
      <c r="AX216" s="9" t="str">
        <f>IFERROR(MID(VLOOKUP($B216,Seqs!$A:$B,2,0),AY216,1),"")</f>
        <v>C</v>
      </c>
      <c r="AY216" s="9">
        <v>383</v>
      </c>
      <c r="AZ216" s="110" t="str">
        <f>VLOOKUP(B216,Classification!A:D,2,0)</f>
        <v>A</v>
      </c>
      <c r="BA216" s="98" t="str">
        <f>VLOOKUP(B216,Classification!A:D,4,0)</f>
        <v>Orexin</v>
      </c>
      <c r="BB216" s="36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109">
        <f>_xlfn.AGGREGATE(9,6,CH216:CS216)-_xlfn.AGGREGATE(9,6,BV216:CG216)+12</f>
        <v>255</v>
      </c>
      <c r="BD216" s="40" t="s">
        <v>1383</v>
      </c>
      <c r="BE216" s="9" t="s">
        <v>1381</v>
      </c>
      <c r="BF216" s="120">
        <v>2.2999999999999998</v>
      </c>
      <c r="BG216" s="51" t="s">
        <v>1</v>
      </c>
      <c r="BH216" s="51" t="s">
        <v>1</v>
      </c>
      <c r="BJ216" s="111" t="s">
        <v>1293</v>
      </c>
      <c r="BK216" s="112" t="s">
        <v>1293</v>
      </c>
      <c r="BL216" s="112" t="s">
        <v>1293</v>
      </c>
      <c r="BM216" s="112" t="s">
        <v>1293</v>
      </c>
      <c r="BN216" s="112" t="s">
        <v>1293</v>
      </c>
      <c r="BO216" s="112" t="s">
        <v>1293</v>
      </c>
      <c r="BP216" s="112" t="s">
        <v>1293</v>
      </c>
      <c r="BQ216" s="112" t="s">
        <v>1293</v>
      </c>
      <c r="BR216" s="112" t="s">
        <v>1293</v>
      </c>
      <c r="BS216" s="112" t="s">
        <v>1293</v>
      </c>
      <c r="BT216" s="112" t="s">
        <v>1293</v>
      </c>
      <c r="BU216" s="112" t="s">
        <v>1293</v>
      </c>
      <c r="BV216" s="111">
        <f>E216</f>
        <v>53</v>
      </c>
      <c r="BW216" s="113">
        <f>I216</f>
        <v>83</v>
      </c>
      <c r="BX216" s="114">
        <f>M216</f>
        <v>87</v>
      </c>
      <c r="BY216" s="113">
        <f>Q216</f>
        <v>119</v>
      </c>
      <c r="BZ216" s="114">
        <f>U216</f>
        <v>123</v>
      </c>
      <c r="CA216" s="113" t="str">
        <f>Y216</f>
        <v>-</v>
      </c>
      <c r="CB216" s="114">
        <f>AC216</f>
        <v>165</v>
      </c>
      <c r="CC216" s="113">
        <f>AG216</f>
        <v>210</v>
      </c>
      <c r="CD216" s="114">
        <f>AK216</f>
        <v>218</v>
      </c>
      <c r="CE216" s="113">
        <f>AO216</f>
        <v>294</v>
      </c>
      <c r="CF216" s="114">
        <f>AS216</f>
        <v>338</v>
      </c>
      <c r="CG216" s="113">
        <f>AW216</f>
        <v>368</v>
      </c>
      <c r="CH216" s="111">
        <f>G216</f>
        <v>82</v>
      </c>
      <c r="CI216" s="113">
        <f>K216</f>
        <v>86</v>
      </c>
      <c r="CJ216" s="114">
        <f>O216</f>
        <v>118</v>
      </c>
      <c r="CK216" s="114">
        <f>S216</f>
        <v>122</v>
      </c>
      <c r="CL216" s="114">
        <f>W216</f>
        <v>158</v>
      </c>
      <c r="CM216" s="114" t="str">
        <f>AA216</f>
        <v>-</v>
      </c>
      <c r="CN216" s="114">
        <f>AE216</f>
        <v>191</v>
      </c>
      <c r="CO216" s="114">
        <f>AI216</f>
        <v>212</v>
      </c>
      <c r="CP216" s="114">
        <f>AM216</f>
        <v>252</v>
      </c>
      <c r="CQ216" s="114">
        <f>AQ216</f>
        <v>330</v>
      </c>
      <c r="CR216" s="114">
        <f>AU216</f>
        <v>367</v>
      </c>
      <c r="CS216" s="114">
        <f>AY216</f>
        <v>383</v>
      </c>
      <c r="CT216" s="109">
        <f>M216-K216</f>
        <v>1</v>
      </c>
    </row>
    <row r="217" spans="1:1030" x14ac:dyDescent="0.2">
      <c r="A217" s="3" t="str">
        <f t="shared" si="333"/>
        <v>p2ry1_human__wt</v>
      </c>
      <c r="B217" s="3" t="s">
        <v>345</v>
      </c>
      <c r="C217" s="3" t="s">
        <v>100</v>
      </c>
      <c r="D217" s="3" t="str">
        <f>IFERROR(MID(VLOOKUP($B217,Seqs!$A:$B,2,0),E217,1),"")</f>
        <v>F</v>
      </c>
      <c r="E217" s="3">
        <v>49</v>
      </c>
      <c r="F217" s="3" t="str">
        <f>IFERROR(MID(VLOOKUP($B217,Seqs!$A:$B,2,0),G217,1),"")</f>
        <v>H</v>
      </c>
      <c r="G217" s="3">
        <v>79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S</v>
      </c>
      <c r="M217" s="3">
        <v>84</v>
      </c>
      <c r="N217" s="3" t="str">
        <f>IFERROR(MID(VLOOKUP($B217,Seqs!$A:$B,2,0),O217,1),"")</f>
        <v>N</v>
      </c>
      <c r="O217" s="3">
        <v>113</v>
      </c>
      <c r="P217" s="3" t="str">
        <f>IFERROR(MID(VLOOKUP($B217,Seqs!$A:$B,2,0),Q217,1),"")</f>
        <v>D</v>
      </c>
      <c r="Q217" s="3">
        <v>116</v>
      </c>
      <c r="R217" s="3" t="str">
        <f>IFERROR(MID(VLOOKUP($B217,Seqs!$A:$B,2,0),S217,1),"")</f>
        <v>F</v>
      </c>
      <c r="S217" s="3">
        <v>119</v>
      </c>
      <c r="T217" s="3" t="str">
        <f>IFERROR(MID(VLOOKUP($B217,Seqs!$A:$B,2,0),U217,1),"")</f>
        <v>G</v>
      </c>
      <c r="U217" s="3">
        <v>120</v>
      </c>
      <c r="V217" s="3" t="str">
        <f>IFERROR(MID(VLOOKUP($B217,Seqs!$A:$B,2,0),W217,1),"")</f>
        <v>Y</v>
      </c>
      <c r="W217" s="3">
        <v>155</v>
      </c>
      <c r="X217" s="3" t="str">
        <f>IFERROR(MID(VLOOKUP($B217,Seqs!$A:$B,2,0),Y217,1),"")</f>
        <v>P</v>
      </c>
      <c r="Y217" s="3">
        <v>156</v>
      </c>
      <c r="Z217" s="3" t="str">
        <f>IFERROR(MID(VLOOKUP($B217,Seqs!$A:$B,2,0),AA217,1),"")</f>
        <v>L</v>
      </c>
      <c r="AA217" s="3">
        <v>163</v>
      </c>
      <c r="AB217" s="3" t="str">
        <f>IFERROR(MID(VLOOKUP($B217,Seqs!$A:$B,2,0),AC217,1),"")</f>
        <v>K</v>
      </c>
      <c r="AC217" s="9">
        <v>164</v>
      </c>
      <c r="AD217" s="3" t="str">
        <f>IFERROR(MID(VLOOKUP($B217,Seqs!$A:$B,2,0),AE217,1),"")</f>
        <v>S</v>
      </c>
      <c r="AE217" s="3">
        <v>190</v>
      </c>
      <c r="AF217" s="3" t="str">
        <f>IFERROR(MID(VLOOKUP($B217,Seqs!$A:$B,2,0),AG217,1),"")</f>
        <v>C</v>
      </c>
      <c r="AG217" s="3">
        <v>202</v>
      </c>
      <c r="AH217" s="3" t="str">
        <f>IFERROR(MID(VLOOKUP($B217,Seqs!$A:$B,2,0),AI217,1),"")</f>
        <v>D</v>
      </c>
      <c r="AI217" s="3">
        <v>204</v>
      </c>
      <c r="AJ217" s="3" t="str">
        <f>IFERROR(MID(VLOOKUP($B217,Seqs!$A:$B,2,0),AK217,1),"")</f>
        <v>L</v>
      </c>
      <c r="AK217" s="3">
        <v>211</v>
      </c>
      <c r="AL217" s="3" t="str">
        <f>IFERROR(MID(VLOOKUP($B217,Seqs!$A:$B,2,0),AM217,1),"")</f>
        <v>K</v>
      </c>
      <c r="AM217" s="3">
        <v>247</v>
      </c>
      <c r="AN217" s="3" t="str">
        <f>IFERROR(MID(VLOOKUP($B217,Seqs!$A:$B,2,0),AO217,1),"")</f>
        <v>P</v>
      </c>
      <c r="AO217" s="3">
        <v>253</v>
      </c>
      <c r="AP217" s="3" t="str">
        <f>IFERROR(MID(VLOOKUP($B217,Seqs!$A:$B,2,0),AQ217,1),"")</f>
        <v>D</v>
      </c>
      <c r="AQ217" s="3">
        <v>289</v>
      </c>
      <c r="AR217" s="3" t="str">
        <f>IFERROR(MID(VLOOKUP($B217,Seqs!$A:$B,2,0),AS217,1),"")</f>
        <v>M</v>
      </c>
      <c r="AS217" s="3">
        <v>295</v>
      </c>
      <c r="AT217" s="3" t="str">
        <f>IFERROR(MID(VLOOKUP($B217,Seqs!$A:$B,2,0),AU217,1),"")</f>
        <v>A</v>
      </c>
      <c r="AU217" s="3">
        <v>327</v>
      </c>
      <c r="AV217" s="3" t="str">
        <f>IFERROR(MID(VLOOKUP($B217,Seqs!$A:$B,2,0),AW217,1),"")</f>
        <v>G</v>
      </c>
      <c r="AW217" s="3">
        <v>328</v>
      </c>
      <c r="AX217" s="3" t="str">
        <f>IFERROR(MID(VLOOKUP($B217,Seqs!$A:$B,2,0),AY217,1),"")</f>
        <v>R</v>
      </c>
      <c r="AY217" s="3">
        <v>340</v>
      </c>
      <c r="AZ217" s="77" t="str">
        <f>VLOOKUP(B217,Classification!A:D,2,0)</f>
        <v>A</v>
      </c>
      <c r="BA217" s="94" t="str">
        <f>VLOOKUP(B217,Classification!A:D,4,0)</f>
        <v>P2Y</v>
      </c>
      <c r="BB217" s="27" t="b">
        <f t="shared" si="334"/>
        <v>1</v>
      </c>
      <c r="BC217" s="23">
        <f t="shared" si="307"/>
        <v>260</v>
      </c>
      <c r="BD217" s="56" t="s">
        <v>1379</v>
      </c>
      <c r="BE217" s="3" t="s">
        <v>23</v>
      </c>
      <c r="BF217" s="119" t="s">
        <v>23</v>
      </c>
      <c r="BG217" s="49" t="s">
        <v>1379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si="308"/>
        <v>49</v>
      </c>
      <c r="BW217" s="71" t="str">
        <f t="shared" si="309"/>
        <v>-</v>
      </c>
      <c r="BX217" s="72">
        <f t="shared" si="310"/>
        <v>84</v>
      </c>
      <c r="BY217" s="71">
        <f t="shared" si="311"/>
        <v>116</v>
      </c>
      <c r="BZ217" s="72">
        <f t="shared" si="312"/>
        <v>120</v>
      </c>
      <c r="CA217" s="71">
        <f t="shared" si="313"/>
        <v>156</v>
      </c>
      <c r="CB217" s="72">
        <f t="shared" si="314"/>
        <v>164</v>
      </c>
      <c r="CC217" s="71">
        <f t="shared" si="315"/>
        <v>202</v>
      </c>
      <c r="CD217" s="72">
        <f t="shared" si="316"/>
        <v>211</v>
      </c>
      <c r="CE217" s="71">
        <f t="shared" si="317"/>
        <v>253</v>
      </c>
      <c r="CF217" s="72">
        <f t="shared" si="318"/>
        <v>295</v>
      </c>
      <c r="CG217" s="71">
        <f t="shared" si="319"/>
        <v>328</v>
      </c>
      <c r="CH217" s="70">
        <f t="shared" si="320"/>
        <v>79</v>
      </c>
      <c r="CI217" s="71" t="str">
        <f t="shared" si="321"/>
        <v>-</v>
      </c>
      <c r="CJ217" s="72">
        <f t="shared" si="322"/>
        <v>113</v>
      </c>
      <c r="CK217" s="72">
        <f t="shared" si="323"/>
        <v>119</v>
      </c>
      <c r="CL217" s="72">
        <f t="shared" si="324"/>
        <v>155</v>
      </c>
      <c r="CM217" s="72">
        <f t="shared" si="325"/>
        <v>163</v>
      </c>
      <c r="CN217" s="72">
        <f t="shared" si="326"/>
        <v>190</v>
      </c>
      <c r="CO217" s="72">
        <f t="shared" si="327"/>
        <v>204</v>
      </c>
      <c r="CP217" s="72">
        <f t="shared" si="328"/>
        <v>247</v>
      </c>
      <c r="CQ217" s="72">
        <f t="shared" si="329"/>
        <v>289</v>
      </c>
      <c r="CR217" s="72">
        <f t="shared" si="330"/>
        <v>327</v>
      </c>
      <c r="CS217" s="72">
        <f t="shared" si="331"/>
        <v>340</v>
      </c>
      <c r="CT217" s="23" t="e">
        <f t="shared" si="332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333"/>
        <v>p2ry1_human_4XNV</v>
      </c>
      <c r="B218" s="3" t="s">
        <v>345</v>
      </c>
      <c r="C218" s="3" t="s">
        <v>1152</v>
      </c>
      <c r="D218" s="3" t="str">
        <f>IFERROR(MID(VLOOKUP($B218,Seqs!$A:$B,2,0),E218,1),"")</f>
        <v>F</v>
      </c>
      <c r="E218" s="3">
        <v>49</v>
      </c>
      <c r="F218" s="3" t="str">
        <f>IFERROR(MID(VLOOKUP($B218,Seqs!$A:$B,2,0),G218,1),"")</f>
        <v>H</v>
      </c>
      <c r="G218" s="3">
        <v>79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S</v>
      </c>
      <c r="M218" s="3">
        <v>84</v>
      </c>
      <c r="N218" s="3" t="str">
        <f>IFERROR(MID(VLOOKUP($B218,Seqs!$A:$B,2,0),O218,1),"")</f>
        <v>N</v>
      </c>
      <c r="O218" s="3">
        <v>113</v>
      </c>
      <c r="P218" s="3" t="str">
        <f>IFERROR(MID(VLOOKUP($B218,Seqs!$A:$B,2,0),Q218,1),"")</f>
        <v>D</v>
      </c>
      <c r="Q218" s="3">
        <v>116</v>
      </c>
      <c r="R218" s="3" t="str">
        <f>IFERROR(MID(VLOOKUP($B218,Seqs!$A:$B,2,0),S218,1),"")</f>
        <v>F</v>
      </c>
      <c r="S218" s="3">
        <v>119</v>
      </c>
      <c r="T218" s="3" t="str">
        <f>IFERROR(MID(VLOOKUP($B218,Seqs!$A:$B,2,0),U218,1),"")</f>
        <v>G</v>
      </c>
      <c r="U218" s="3">
        <v>120</v>
      </c>
      <c r="V218" s="3" t="str">
        <f>IFERROR(MID(VLOOKUP($B218,Seqs!$A:$B,2,0),W218,1),"")</f>
        <v>Y</v>
      </c>
      <c r="W218" s="3">
        <v>155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9">
        <v>161</v>
      </c>
      <c r="AD218" s="3" t="str">
        <f>IFERROR(MID(VLOOKUP($B218,Seqs!$A:$B,2,0),AE218,1),"")</f>
        <v>S</v>
      </c>
      <c r="AE218" s="3">
        <v>190</v>
      </c>
      <c r="AF218" s="3" t="str">
        <f>IFERROR(MID(VLOOKUP($B218,Seqs!$A:$B,2,0),AG218,1),"")</f>
        <v>C</v>
      </c>
      <c r="AG218" s="3">
        <v>202</v>
      </c>
      <c r="AH218" s="3" t="str">
        <f>IFERROR(MID(VLOOKUP($B218,Seqs!$A:$B,2,0),AI218,1),"")</f>
        <v>D</v>
      </c>
      <c r="AI218" s="3">
        <v>204</v>
      </c>
      <c r="AJ218" s="3" t="str">
        <f>IFERROR(MID(VLOOKUP($B218,Seqs!$A:$B,2,0),AK218,1),"")</f>
        <v>L</v>
      </c>
      <c r="AK218" s="3">
        <v>211</v>
      </c>
      <c r="AL218" s="3" t="str">
        <f>IFERROR(MID(VLOOKUP($B218,Seqs!$A:$B,2,0),AM218,1),"")</f>
        <v>K</v>
      </c>
      <c r="AM218" s="3">
        <v>247</v>
      </c>
      <c r="AN218" s="3" t="str">
        <f>IFERROR(MID(VLOOKUP($B218,Seqs!$A:$B,2,0),AO218,1),"")</f>
        <v>P</v>
      </c>
      <c r="AO218" s="3">
        <v>253</v>
      </c>
      <c r="AP218" s="3" t="str">
        <f>IFERROR(MID(VLOOKUP($B218,Seqs!$A:$B,2,0),AQ218,1),"")</f>
        <v>D</v>
      </c>
      <c r="AQ218" s="3">
        <v>289</v>
      </c>
      <c r="AR218" s="3" t="str">
        <f>IFERROR(MID(VLOOKUP($B218,Seqs!$A:$B,2,0),AS218,1),"")</f>
        <v>M</v>
      </c>
      <c r="AS218" s="3">
        <v>295</v>
      </c>
      <c r="AT218" s="3" t="str">
        <f>IFERROR(MID(VLOOKUP($B218,Seqs!$A:$B,2,0),AU218,1),"")</f>
        <v>L</v>
      </c>
      <c r="AU218" s="3">
        <v>326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P2Y</v>
      </c>
      <c r="BB218" s="27" t="b">
        <f t="shared" si="334"/>
        <v>1</v>
      </c>
      <c r="BC218" s="23">
        <f t="shared" si="307"/>
        <v>243</v>
      </c>
      <c r="BD218" s="4" t="s">
        <v>23</v>
      </c>
      <c r="BE218" s="3" t="s">
        <v>1439</v>
      </c>
      <c r="BF218" s="119">
        <v>2.2000000000000002</v>
      </c>
      <c r="BG218" s="49" t="s">
        <v>1384</v>
      </c>
      <c r="BH218" s="49" t="s">
        <v>1384</v>
      </c>
      <c r="BI218" s="3" t="s">
        <v>1169</v>
      </c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 t="shared" si="308"/>
        <v>49</v>
      </c>
      <c r="BW218" s="71" t="str">
        <f t="shared" si="309"/>
        <v>-</v>
      </c>
      <c r="BX218" s="72">
        <f t="shared" si="310"/>
        <v>84</v>
      </c>
      <c r="BY218" s="71">
        <f t="shared" si="311"/>
        <v>116</v>
      </c>
      <c r="BZ218" s="72">
        <f t="shared" si="312"/>
        <v>120</v>
      </c>
      <c r="CA218" s="71" t="str">
        <f t="shared" si="313"/>
        <v>-</v>
      </c>
      <c r="CB218" s="72">
        <f t="shared" si="314"/>
        <v>161</v>
      </c>
      <c r="CC218" s="71">
        <f t="shared" si="315"/>
        <v>202</v>
      </c>
      <c r="CD218" s="72">
        <f t="shared" si="316"/>
        <v>211</v>
      </c>
      <c r="CE218" s="71">
        <f t="shared" si="317"/>
        <v>253</v>
      </c>
      <c r="CF218" s="72">
        <f t="shared" si="318"/>
        <v>295</v>
      </c>
      <c r="CG218" s="71" t="str">
        <f t="shared" si="319"/>
        <v>-</v>
      </c>
      <c r="CH218" s="70">
        <f t="shared" si="320"/>
        <v>79</v>
      </c>
      <c r="CI218" s="71" t="str">
        <f t="shared" si="321"/>
        <v>-</v>
      </c>
      <c r="CJ218" s="72">
        <f t="shared" si="322"/>
        <v>113</v>
      </c>
      <c r="CK218" s="72">
        <f t="shared" si="323"/>
        <v>119</v>
      </c>
      <c r="CL218" s="72">
        <f t="shared" si="324"/>
        <v>155</v>
      </c>
      <c r="CM218" s="72" t="str">
        <f t="shared" si="325"/>
        <v>-</v>
      </c>
      <c r="CN218" s="72">
        <f t="shared" si="326"/>
        <v>190</v>
      </c>
      <c r="CO218" s="72">
        <f t="shared" si="327"/>
        <v>204</v>
      </c>
      <c r="CP218" s="72">
        <f t="shared" si="328"/>
        <v>247</v>
      </c>
      <c r="CQ218" s="72">
        <f t="shared" si="329"/>
        <v>289</v>
      </c>
      <c r="CR218" s="72">
        <f t="shared" si="330"/>
        <v>326</v>
      </c>
      <c r="CS218" s="72" t="str">
        <f t="shared" si="331"/>
        <v>-</v>
      </c>
      <c r="CT218" s="23" t="e">
        <f t="shared" si="332"/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333"/>
        <v>p2ry1_human_4XNW</v>
      </c>
      <c r="B219" s="3" t="s">
        <v>345</v>
      </c>
      <c r="C219" s="3" t="s">
        <v>1056</v>
      </c>
      <c r="D219" s="3" t="str">
        <f>IFERROR(MID(VLOOKUP($B219,Seqs!$A:$B,2,0),E219,1),"")</f>
        <v>F</v>
      </c>
      <c r="E219" s="3">
        <v>49</v>
      </c>
      <c r="F219" s="3" t="str">
        <f>IFERROR(MID(VLOOKUP($B219,Seqs!$A:$B,2,0),G219,1),"")</f>
        <v>H</v>
      </c>
      <c r="G219" s="3">
        <v>79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S</v>
      </c>
      <c r="M219" s="3">
        <v>84</v>
      </c>
      <c r="N219" s="3" t="str">
        <f>IFERROR(MID(VLOOKUP($B219,Seqs!$A:$B,2,0),O219,1),"")</f>
        <v>N</v>
      </c>
      <c r="O219" s="3">
        <v>113</v>
      </c>
      <c r="P219" s="3" t="str">
        <f>IFERROR(MID(VLOOKUP($B219,Seqs!$A:$B,2,0),Q219,1),"")</f>
        <v>D</v>
      </c>
      <c r="Q219" s="3">
        <v>116</v>
      </c>
      <c r="R219" s="3" t="str">
        <f>IFERROR(MID(VLOOKUP($B219,Seqs!$A:$B,2,0),S219,1),"")</f>
        <v>F</v>
      </c>
      <c r="S219" s="3">
        <v>119</v>
      </c>
      <c r="T219" s="3" t="str">
        <f>IFERROR(MID(VLOOKUP($B219,Seqs!$A:$B,2,0),U219,1),"")</f>
        <v>G</v>
      </c>
      <c r="U219" s="3">
        <v>120</v>
      </c>
      <c r="V219" s="3" t="str">
        <f>IFERROR(MID(VLOOKUP($B219,Seqs!$A:$B,2,0),W219,1),"")</f>
        <v>Y</v>
      </c>
      <c r="W219" s="3">
        <v>155</v>
      </c>
      <c r="X219" s="3" t="str">
        <f>IFERROR(MID(VLOOKUP($B219,Seqs!$A:$B,2,0),Y219,1),"")</f>
        <v>P</v>
      </c>
      <c r="Y219" s="3">
        <v>156</v>
      </c>
      <c r="Z219" s="3" t="str">
        <f>IFERROR(MID(VLOOKUP($B219,Seqs!$A:$B,2,0),AA219,1),"")</f>
        <v>L</v>
      </c>
      <c r="AA219" s="3">
        <v>163</v>
      </c>
      <c r="AB219" s="3" t="str">
        <f>IFERROR(MID(VLOOKUP($B219,Seqs!$A:$B,2,0),AC219,1),"")</f>
        <v>K</v>
      </c>
      <c r="AC219" s="9">
        <v>164</v>
      </c>
      <c r="AD219" s="3" t="str">
        <f>IFERROR(MID(VLOOKUP($B219,Seqs!$A:$B,2,0),AE219,1),"")</f>
        <v>S</v>
      </c>
      <c r="AE219" s="3">
        <v>190</v>
      </c>
      <c r="AF219" s="3" t="str">
        <f>IFERROR(MID(VLOOKUP($B219,Seqs!$A:$B,2,0),AG219,1),"")</f>
        <v>C</v>
      </c>
      <c r="AG219" s="3">
        <v>202</v>
      </c>
      <c r="AH219" s="3" t="str">
        <f>IFERROR(MID(VLOOKUP($B219,Seqs!$A:$B,2,0),AI219,1),"")</f>
        <v>D</v>
      </c>
      <c r="AI219" s="3">
        <v>204</v>
      </c>
      <c r="AJ219" s="3" t="str">
        <f>IFERROR(MID(VLOOKUP($B219,Seqs!$A:$B,2,0),AK219,1),"")</f>
        <v>L</v>
      </c>
      <c r="AK219" s="3">
        <v>211</v>
      </c>
      <c r="AL219" s="3" t="str">
        <f>IFERROR(MID(VLOOKUP($B219,Seqs!$A:$B,2,0),AM219,1),"")</f>
        <v>K</v>
      </c>
      <c r="AM219" s="3">
        <v>247</v>
      </c>
      <c r="AN219" s="3" t="str">
        <f>IFERROR(MID(VLOOKUP($B219,Seqs!$A:$B,2,0),AO219,1),"")</f>
        <v>P</v>
      </c>
      <c r="AO219" s="3">
        <v>253</v>
      </c>
      <c r="AP219" s="3" t="str">
        <f>IFERROR(MID(VLOOKUP($B219,Seqs!$A:$B,2,0),AQ219,1),"")</f>
        <v>D</v>
      </c>
      <c r="AQ219" s="3">
        <v>289</v>
      </c>
      <c r="AR219" s="3" t="str">
        <f>IFERROR(MID(VLOOKUP($B219,Seqs!$A:$B,2,0),AS219,1),"")</f>
        <v>M</v>
      </c>
      <c r="AS219" s="3">
        <v>295</v>
      </c>
      <c r="AT219" s="3" t="str">
        <f>IFERROR(MID(VLOOKUP($B219,Seqs!$A:$B,2,0),AU219,1),"")</f>
        <v>L</v>
      </c>
      <c r="AU219" s="3">
        <v>326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P2Y</v>
      </c>
      <c r="BB219" s="27" t="b">
        <f t="shared" si="334"/>
        <v>1</v>
      </c>
      <c r="BC219" s="23">
        <f t="shared" si="307"/>
        <v>247</v>
      </c>
      <c r="BD219" s="2" t="s">
        <v>1440</v>
      </c>
      <c r="BE219" s="3" t="s">
        <v>1439</v>
      </c>
      <c r="BF219" s="119">
        <v>2.7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 t="shared" si="308"/>
        <v>49</v>
      </c>
      <c r="BW219" s="71" t="str">
        <f t="shared" si="309"/>
        <v>-</v>
      </c>
      <c r="BX219" s="72">
        <f t="shared" si="310"/>
        <v>84</v>
      </c>
      <c r="BY219" s="71">
        <f t="shared" si="311"/>
        <v>116</v>
      </c>
      <c r="BZ219" s="72">
        <f t="shared" si="312"/>
        <v>120</v>
      </c>
      <c r="CA219" s="71">
        <f t="shared" si="313"/>
        <v>156</v>
      </c>
      <c r="CB219" s="72">
        <f t="shared" si="314"/>
        <v>164</v>
      </c>
      <c r="CC219" s="71">
        <f t="shared" si="315"/>
        <v>202</v>
      </c>
      <c r="CD219" s="72">
        <f t="shared" si="316"/>
        <v>211</v>
      </c>
      <c r="CE219" s="71">
        <f t="shared" si="317"/>
        <v>253</v>
      </c>
      <c r="CF219" s="72">
        <f t="shared" si="318"/>
        <v>295</v>
      </c>
      <c r="CG219" s="71" t="str">
        <f t="shared" si="319"/>
        <v>-</v>
      </c>
      <c r="CH219" s="70">
        <f t="shared" si="320"/>
        <v>79</v>
      </c>
      <c r="CI219" s="71" t="str">
        <f t="shared" si="321"/>
        <v>-</v>
      </c>
      <c r="CJ219" s="72">
        <f t="shared" si="322"/>
        <v>113</v>
      </c>
      <c r="CK219" s="72">
        <f t="shared" si="323"/>
        <v>119</v>
      </c>
      <c r="CL219" s="72">
        <f t="shared" si="324"/>
        <v>155</v>
      </c>
      <c r="CM219" s="72">
        <f t="shared" si="325"/>
        <v>163</v>
      </c>
      <c r="CN219" s="72">
        <f t="shared" si="326"/>
        <v>190</v>
      </c>
      <c r="CO219" s="72">
        <f t="shared" si="327"/>
        <v>204</v>
      </c>
      <c r="CP219" s="72">
        <f t="shared" si="328"/>
        <v>247</v>
      </c>
      <c r="CQ219" s="72">
        <f t="shared" si="329"/>
        <v>289</v>
      </c>
      <c r="CR219" s="72">
        <f t="shared" si="330"/>
        <v>326</v>
      </c>
      <c r="CS219" s="72" t="str">
        <f t="shared" si="331"/>
        <v>-</v>
      </c>
      <c r="CT219" s="23" t="e">
        <f t="shared" si="332"/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333"/>
        <v>p2y12_human__wt</v>
      </c>
      <c r="B220" s="3" t="s">
        <v>352</v>
      </c>
      <c r="C220" s="3" t="s">
        <v>100</v>
      </c>
      <c r="D220" s="3" t="str">
        <f>IFERROR(MID(VLOOKUP($B220,Seqs!$A:$B,2,0),E220,1),"")</f>
        <v>Y</v>
      </c>
      <c r="E220" s="3">
        <v>21</v>
      </c>
      <c r="F220" s="3" t="str">
        <f>IFERROR(MID(VLOOKUP($B220,Seqs!$A:$B,2,0),G220,1),"")</f>
        <v>I</v>
      </c>
      <c r="G220" s="3">
        <v>53</v>
      </c>
      <c r="H220" s="3" t="str">
        <f>IFERROR(MID(VLOOKUP($B220,Seqs!$A:$B,2,0),I220,1),"")</f>
        <v/>
      </c>
      <c r="I220" s="23" t="s">
        <v>23</v>
      </c>
      <c r="J220" s="3" t="str">
        <f>IFERROR(MID(VLOOKUP($B220,Seqs!$A:$B,2,0),K220,1),"")</f>
        <v/>
      </c>
      <c r="K220" s="23" t="s">
        <v>23</v>
      </c>
      <c r="L220" s="3" t="str">
        <f>IFERROR(MID(VLOOKUP($B220,Seqs!$A:$B,2,0),M220,1),"")</f>
        <v>S</v>
      </c>
      <c r="M220" s="3">
        <v>57</v>
      </c>
      <c r="N220" s="3" t="str">
        <f>IFERROR(MID(VLOOKUP($B220,Seqs!$A:$B,2,0),O220,1),"")</f>
        <v>K</v>
      </c>
      <c r="O220" s="3">
        <v>86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G</v>
      </c>
      <c r="U220" s="3">
        <v>90</v>
      </c>
      <c r="V220" s="3" t="str">
        <f>IFERROR(MID(VLOOKUP($B220,Seqs!$A:$B,2,0),W220,1),"")</f>
        <v>R</v>
      </c>
      <c r="W220" s="3">
        <v>128</v>
      </c>
      <c r="X220" s="3" t="str">
        <f>IFERROR(MID(VLOOKUP($B220,Seqs!$A:$B,2,0),Y220,1),"")</f>
        <v>P</v>
      </c>
      <c r="Y220" s="3">
        <v>129</v>
      </c>
      <c r="Z220" s="3" t="str">
        <f>IFERROR(MID(VLOOKUP($B220,Seqs!$A:$B,2,0),AA220,1),"")</f>
        <v>K</v>
      </c>
      <c r="AA220" s="73">
        <v>136</v>
      </c>
      <c r="AB220" s="3" t="str">
        <f>IFERROR(MID(VLOOKUP($B220,Seqs!$A:$B,2,0),AC220,1),"")</f>
        <v>N</v>
      </c>
      <c r="AC220" s="9">
        <v>137</v>
      </c>
      <c r="AD220" s="3" t="str">
        <f>IFERROR(MID(VLOOKUP($B220,Seqs!$A:$B,2,0),AE220,1),"")</f>
        <v>T</v>
      </c>
      <c r="AE220" s="3">
        <v>163</v>
      </c>
      <c r="AF220" s="3" t="str">
        <f>IFERROR(MID(VLOOKUP($B220,Seqs!$A:$B,2,0),AG220,1),"")</f>
        <v>C</v>
      </c>
      <c r="AG220" s="3">
        <v>175</v>
      </c>
      <c r="AH220" s="3" t="str">
        <f>IFERROR(MID(VLOOKUP($B220,Seqs!$A:$B,2,0),AI220,1),"")</f>
        <v>F</v>
      </c>
      <c r="AI220" s="3">
        <v>177</v>
      </c>
      <c r="AJ220" s="3" t="str">
        <f>IFERROR(MID(VLOOKUP($B220,Seqs!$A:$B,2,0),AK220,1),"")</f>
        <v>E</v>
      </c>
      <c r="AK220" s="3">
        <v>181</v>
      </c>
      <c r="AL220" s="3" t="str">
        <f>IFERROR(MID(VLOOKUP($B220,Seqs!$A:$B,2,0),AM220,1),"")</f>
        <v>T</v>
      </c>
      <c r="AM220" s="3">
        <v>223</v>
      </c>
      <c r="AN220" s="3" t="str">
        <f>IFERROR(MID(VLOOKUP($B220,Seqs!$A:$B,2,0),AO220,1),"")</f>
        <v>P</v>
      </c>
      <c r="AO220" s="3">
        <v>230</v>
      </c>
      <c r="AP220" s="3" t="str">
        <f>IFERROR(MID(VLOOKUP($B220,Seqs!$A:$B,2,0),AQ220,1),"")</f>
        <v>R</v>
      </c>
      <c r="AQ220" s="3">
        <v>265</v>
      </c>
      <c r="AR220" s="3" t="str">
        <f>IFERROR(MID(VLOOKUP($B220,Seqs!$A:$B,2,0),AS220,1),"")</f>
        <v>D</v>
      </c>
      <c r="AS220" s="3">
        <v>269</v>
      </c>
      <c r="AT220" s="3" t="str">
        <f>IFERROR(MID(VLOOKUP($B220,Seqs!$A:$B,2,0),AU220,1),"")</f>
        <v>L</v>
      </c>
      <c r="AU220" s="3">
        <v>301</v>
      </c>
      <c r="AV220" s="3" t="str">
        <f>IFERROR(MID(VLOOKUP($B220,Seqs!$A:$B,2,0),AW220,1),"")</f>
        <v>C</v>
      </c>
      <c r="AW220" s="3">
        <v>302</v>
      </c>
      <c r="AX220" s="3" t="str">
        <f>IFERROR(MID(VLOOKUP($B220,Seqs!$A:$B,2,0),AY220,1),"")</f>
        <v>M</v>
      </c>
      <c r="AY220" s="3">
        <v>312</v>
      </c>
      <c r="AZ220" s="77" t="str">
        <f>VLOOKUP(B220,Classification!A:D,2,0)</f>
        <v>A</v>
      </c>
      <c r="BA220" s="94" t="str">
        <f>VLOOKUP(B220,Classification!A:D,4,0)</f>
        <v>P2Y</v>
      </c>
      <c r="BB220" s="27" t="b">
        <f t="shared" si="334"/>
        <v>1</v>
      </c>
      <c r="BC220" s="23">
        <f t="shared" si="307"/>
        <v>265</v>
      </c>
      <c r="BD220" s="56" t="s">
        <v>1379</v>
      </c>
      <c r="BE220" s="3" t="s">
        <v>23</v>
      </c>
      <c r="BF220" s="119" t="s">
        <v>23</v>
      </c>
      <c r="BG220" s="49" t="s">
        <v>1379</v>
      </c>
      <c r="BH220" s="49" t="s">
        <v>1384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308"/>
        <v>21</v>
      </c>
      <c r="BW220" s="71" t="str">
        <f t="shared" si="309"/>
        <v>-</v>
      </c>
      <c r="BX220" s="72">
        <f t="shared" si="310"/>
        <v>57</v>
      </c>
      <c r="BY220" s="71" t="str">
        <f t="shared" si="311"/>
        <v>-</v>
      </c>
      <c r="BZ220" s="72">
        <f t="shared" si="312"/>
        <v>90</v>
      </c>
      <c r="CA220" s="71">
        <f t="shared" si="313"/>
        <v>129</v>
      </c>
      <c r="CB220" s="72">
        <f t="shared" si="314"/>
        <v>137</v>
      </c>
      <c r="CC220" s="71">
        <f t="shared" si="315"/>
        <v>175</v>
      </c>
      <c r="CD220" s="72">
        <f t="shared" si="316"/>
        <v>181</v>
      </c>
      <c r="CE220" s="71">
        <f t="shared" si="317"/>
        <v>230</v>
      </c>
      <c r="CF220" s="72">
        <f t="shared" si="318"/>
        <v>269</v>
      </c>
      <c r="CG220" s="71">
        <f t="shared" si="319"/>
        <v>302</v>
      </c>
      <c r="CH220" s="70">
        <f t="shared" si="320"/>
        <v>53</v>
      </c>
      <c r="CI220" s="71" t="str">
        <f t="shared" si="321"/>
        <v>-</v>
      </c>
      <c r="CJ220" s="72">
        <f t="shared" si="322"/>
        <v>86</v>
      </c>
      <c r="CK220" s="72" t="str">
        <f t="shared" si="323"/>
        <v>-</v>
      </c>
      <c r="CL220" s="72">
        <f t="shared" si="324"/>
        <v>128</v>
      </c>
      <c r="CM220" s="72">
        <f t="shared" si="325"/>
        <v>136</v>
      </c>
      <c r="CN220" s="72">
        <f t="shared" si="326"/>
        <v>163</v>
      </c>
      <c r="CO220" s="72">
        <f t="shared" si="327"/>
        <v>177</v>
      </c>
      <c r="CP220" s="72">
        <f t="shared" si="328"/>
        <v>223</v>
      </c>
      <c r="CQ220" s="72">
        <f t="shared" si="329"/>
        <v>265</v>
      </c>
      <c r="CR220" s="72">
        <f t="shared" si="330"/>
        <v>301</v>
      </c>
      <c r="CS220" s="72">
        <f t="shared" si="331"/>
        <v>312</v>
      </c>
      <c r="CT220" s="23" t="e">
        <f t="shared" si="332"/>
        <v>#VALUE!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333"/>
        <v>p2y12_human_4NTJ</v>
      </c>
      <c r="B221" s="3" t="s">
        <v>352</v>
      </c>
      <c r="C221" s="3" t="s">
        <v>1049</v>
      </c>
      <c r="D221" s="3" t="str">
        <f>IFERROR(MID(VLOOKUP($B221,Seqs!$A:$B,2,0),E221,1),"")</f>
        <v>Y</v>
      </c>
      <c r="E221" s="3">
        <v>21</v>
      </c>
      <c r="F221" s="3" t="str">
        <f>IFERROR(MID(VLOOKUP($B221,Seqs!$A:$B,2,0),G221,1),"")</f>
        <v>I</v>
      </c>
      <c r="G221" s="3">
        <v>53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S</v>
      </c>
      <c r="M221" s="3">
        <v>57</v>
      </c>
      <c r="N221" s="3" t="str">
        <f>IFERROR(MID(VLOOKUP($B221,Seqs!$A:$B,2,0),O221,1),"")</f>
        <v>K</v>
      </c>
      <c r="O221" s="3">
        <v>86</v>
      </c>
      <c r="P221" s="3" t="str">
        <f>IFERROR(MID(VLOOKUP($B221,Seqs!$A:$B,2,0),Q221,1),"")</f>
        <v/>
      </c>
      <c r="Q221" s="3" t="s">
        <v>23</v>
      </c>
      <c r="R221" s="3" t="str">
        <f>IFERROR(MID(VLOOKUP($B221,Seqs!$A:$B,2,0),S221,1),"")</f>
        <v/>
      </c>
      <c r="S221" s="3" t="s">
        <v>23</v>
      </c>
      <c r="T221" s="3" t="str">
        <f>IFERROR(MID(VLOOKUP($B221,Seqs!$A:$B,2,0),U221,1),"")</f>
        <v>L</v>
      </c>
      <c r="U221" s="3">
        <v>92</v>
      </c>
      <c r="V221" s="3" t="str">
        <f>IFERROR(MID(VLOOKUP($B221,Seqs!$A:$B,2,0),W221,1),"")</f>
        <v>R</v>
      </c>
      <c r="W221" s="3">
        <v>128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N</v>
      </c>
      <c r="AC221" s="9">
        <v>137</v>
      </c>
      <c r="AD221" s="3" t="str">
        <f>IFERROR(MID(VLOOKUP($B221,Seqs!$A:$B,2,0),AE221,1),"")</f>
        <v>L</v>
      </c>
      <c r="AE221" s="3">
        <v>162</v>
      </c>
      <c r="AF221" s="3" t="str">
        <f>IFERROR(MID(VLOOKUP($B221,Seqs!$A:$B,2,0),AG221,1),"")</f>
        <v>C</v>
      </c>
      <c r="AG221" s="3">
        <v>175</v>
      </c>
      <c r="AH221" s="3" t="str">
        <f>IFERROR(MID(VLOOKUP($B221,Seqs!$A:$B,2,0),AI221,1),"")</f>
        <v>F</v>
      </c>
      <c r="AI221" s="3">
        <v>177</v>
      </c>
      <c r="AJ221" s="3" t="str">
        <f>IFERROR(MID(VLOOKUP($B221,Seqs!$A:$B,2,0),AK221,1),"")</f>
        <v>E</v>
      </c>
      <c r="AK221" s="3">
        <v>181</v>
      </c>
      <c r="AL221" s="3" t="str">
        <f>IFERROR(MID(VLOOKUP($B221,Seqs!$A:$B,2,0),AM221,1),"")</f>
        <v>T</v>
      </c>
      <c r="AM221" s="3">
        <v>223</v>
      </c>
      <c r="AN221" s="3" t="str">
        <f>IFERROR(MID(VLOOKUP($B221,Seqs!$A:$B,2,0),AO221,1),"")</f>
        <v>I</v>
      </c>
      <c r="AO221" s="3">
        <v>240</v>
      </c>
      <c r="AP221" s="3" t="str">
        <f>IFERROR(MID(VLOOKUP($B221,Seqs!$A:$B,2,0),AQ221,1),"")</f>
        <v>L</v>
      </c>
      <c r="AQ221" s="3">
        <v>261</v>
      </c>
      <c r="AR221" s="3" t="str">
        <f>IFERROR(MID(VLOOKUP($B221,Seqs!$A:$B,2,0),AS221,1),"")</f>
        <v>D</v>
      </c>
      <c r="AS221" s="3">
        <v>269</v>
      </c>
      <c r="AT221" s="3" t="str">
        <f>IFERROR(MID(VLOOKUP($B221,Seqs!$A:$B,2,0),AU221,1),"")</f>
        <v>L</v>
      </c>
      <c r="AU221" s="3">
        <v>301</v>
      </c>
      <c r="AV221" s="3" t="str">
        <f>IFERROR(MID(VLOOKUP($B221,Seqs!$A:$B,2,0),AW221,1),"")</f>
        <v>C</v>
      </c>
      <c r="AW221" s="3">
        <v>302</v>
      </c>
      <c r="AX221" s="3" t="str">
        <f>IFERROR(MID(VLOOKUP($B221,Seqs!$A:$B,2,0),AY221,1),"")</f>
        <v>M</v>
      </c>
      <c r="AY221" s="3">
        <v>312</v>
      </c>
      <c r="AZ221" s="77" t="str">
        <f>VLOOKUP(B221,Classification!A:D,2,0)</f>
        <v>A</v>
      </c>
      <c r="BA221" s="94" t="str">
        <f>VLOOKUP(B221,Classification!A:D,4,0)</f>
        <v>P2Y</v>
      </c>
      <c r="BB221" s="27" t="b">
        <f t="shared" si="334"/>
        <v>1</v>
      </c>
      <c r="BC221" s="23">
        <f t="shared" si="307"/>
        <v>241</v>
      </c>
      <c r="BD221" s="2" t="s">
        <v>1440</v>
      </c>
      <c r="BE221" s="3" t="s">
        <v>1439</v>
      </c>
      <c r="BF221" s="119">
        <v>2.62</v>
      </c>
      <c r="BG221" s="49" t="s">
        <v>1384</v>
      </c>
      <c r="BH221" s="49" t="s">
        <v>1384</v>
      </c>
      <c r="BI221" s="3" t="s">
        <v>1171</v>
      </c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308"/>
        <v>21</v>
      </c>
      <c r="BW221" s="71" t="str">
        <f t="shared" si="309"/>
        <v>-</v>
      </c>
      <c r="BX221" s="72">
        <f t="shared" si="310"/>
        <v>57</v>
      </c>
      <c r="BY221" s="71" t="str">
        <f t="shared" si="311"/>
        <v>-</v>
      </c>
      <c r="BZ221" s="72">
        <f t="shared" si="312"/>
        <v>92</v>
      </c>
      <c r="CA221" s="71" t="str">
        <f t="shared" si="313"/>
        <v>-</v>
      </c>
      <c r="CB221" s="72">
        <f t="shared" si="314"/>
        <v>137</v>
      </c>
      <c r="CC221" s="71">
        <f t="shared" si="315"/>
        <v>175</v>
      </c>
      <c r="CD221" s="72">
        <f t="shared" si="316"/>
        <v>181</v>
      </c>
      <c r="CE221" s="71">
        <f t="shared" si="317"/>
        <v>240</v>
      </c>
      <c r="CF221" s="72">
        <f t="shared" si="318"/>
        <v>269</v>
      </c>
      <c r="CG221" s="71">
        <f t="shared" si="319"/>
        <v>302</v>
      </c>
      <c r="CH221" s="70">
        <f t="shared" si="320"/>
        <v>53</v>
      </c>
      <c r="CI221" s="71" t="str">
        <f t="shared" si="321"/>
        <v>-</v>
      </c>
      <c r="CJ221" s="72">
        <f t="shared" si="322"/>
        <v>86</v>
      </c>
      <c r="CK221" s="72" t="str">
        <f t="shared" si="323"/>
        <v>-</v>
      </c>
      <c r="CL221" s="72">
        <f t="shared" si="324"/>
        <v>128</v>
      </c>
      <c r="CM221" s="72" t="str">
        <f t="shared" si="325"/>
        <v>-</v>
      </c>
      <c r="CN221" s="72">
        <f t="shared" si="326"/>
        <v>162</v>
      </c>
      <c r="CO221" s="72">
        <f t="shared" si="327"/>
        <v>177</v>
      </c>
      <c r="CP221" s="72">
        <f t="shared" si="328"/>
        <v>223</v>
      </c>
      <c r="CQ221" s="72">
        <f t="shared" si="329"/>
        <v>261</v>
      </c>
      <c r="CR221" s="72">
        <f t="shared" si="330"/>
        <v>301</v>
      </c>
      <c r="CS221" s="72">
        <f t="shared" si="331"/>
        <v>312</v>
      </c>
      <c r="CT221" s="23" t="e">
        <f t="shared" si="332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333"/>
        <v>p2y12_human_4PXZ</v>
      </c>
      <c r="B222" s="3" t="s">
        <v>352</v>
      </c>
      <c r="C222" s="3" t="s">
        <v>1153</v>
      </c>
      <c r="D222" s="3" t="str">
        <f>IFERROR(MID(VLOOKUP($B222,Seqs!$A:$B,2,0),E222,1),"")</f>
        <v>I</v>
      </c>
      <c r="E222" s="3">
        <v>23</v>
      </c>
      <c r="F222" s="3" t="str">
        <f>IFERROR(MID(VLOOKUP($B222,Seqs!$A:$B,2,0),G222,1),"")</f>
        <v>I</v>
      </c>
      <c r="G222" s="3">
        <v>53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57</v>
      </c>
      <c r="N222" s="3" t="str">
        <f>IFERROR(MID(VLOOKUP($B222,Seqs!$A:$B,2,0),O222,1),"")</f>
        <v>K</v>
      </c>
      <c r="O222" s="3">
        <v>86</v>
      </c>
      <c r="P222" s="3" t="str">
        <f>IFERROR(MID(VLOOKUP($B222,Seqs!$A:$B,2,0),Q222,1),"")</f>
        <v/>
      </c>
      <c r="Q222" s="3" t="s">
        <v>23</v>
      </c>
      <c r="R222" s="3" t="str">
        <f>IFERROR(MID(VLOOKUP($B222,Seqs!$A:$B,2,0),S222,1),"")</f>
        <v/>
      </c>
      <c r="S222" s="3" t="s">
        <v>23</v>
      </c>
      <c r="T222" s="3" t="str">
        <f>IFERROR(MID(VLOOKUP($B222,Seqs!$A:$B,2,0),U222,1),"")</f>
        <v>G</v>
      </c>
      <c r="U222" s="3">
        <v>90</v>
      </c>
      <c r="V222" s="3" t="str">
        <f>IFERROR(MID(VLOOKUP($B222,Seqs!$A:$B,2,0),W222,1),"")</f>
        <v>R</v>
      </c>
      <c r="W222" s="3">
        <v>128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N</v>
      </c>
      <c r="AC222" s="9">
        <v>137</v>
      </c>
      <c r="AD222" s="3" t="str">
        <f>IFERROR(MID(VLOOKUP($B222,Seqs!$A:$B,2,0),AE222,1),"")</f>
        <v>T</v>
      </c>
      <c r="AE222" s="3">
        <v>163</v>
      </c>
      <c r="AF222" s="3" t="str">
        <f>IFERROR(MID(VLOOKUP($B222,Seqs!$A:$B,2,0),AG222,1),"")</f>
        <v>C</v>
      </c>
      <c r="AG222" s="3">
        <v>175</v>
      </c>
      <c r="AH222" s="3" t="str">
        <f>IFERROR(MID(VLOOKUP($B222,Seqs!$A:$B,2,0),AI222,1),"")</f>
        <v>F</v>
      </c>
      <c r="AI222" s="3">
        <v>177</v>
      </c>
      <c r="AJ222" s="3" t="str">
        <f>IFERROR(MID(VLOOKUP($B222,Seqs!$A:$B,2,0),AK222,1),"")</f>
        <v>E</v>
      </c>
      <c r="AK222" s="3">
        <v>181</v>
      </c>
      <c r="AL222" s="3" t="str">
        <f>IFERROR(MID(VLOOKUP($B222,Seqs!$A:$B,2,0),AM222,1),"")</f>
        <v>S</v>
      </c>
      <c r="AM222" s="3">
        <v>219</v>
      </c>
      <c r="AN222" s="3" t="str">
        <f>IFERROR(MID(VLOOKUP($B222,Seqs!$A:$B,2,0),AO222,1),"")</f>
        <v>V</v>
      </c>
      <c r="AO222" s="3">
        <v>236</v>
      </c>
      <c r="AP222" s="3" t="str">
        <f>IFERROR(MID(VLOOKUP($B222,Seqs!$A:$B,2,0),AQ222,1),"")</f>
        <v>R</v>
      </c>
      <c r="AQ222" s="3">
        <v>265</v>
      </c>
      <c r="AR222" s="3" t="str">
        <f>IFERROR(MID(VLOOKUP($B222,Seqs!$A:$B,2,0),AS222,1),"")</f>
        <v>D</v>
      </c>
      <c r="AS222" s="3">
        <v>269</v>
      </c>
      <c r="AT222" s="3" t="str">
        <f>IFERROR(MID(VLOOKUP($B222,Seqs!$A:$B,2,0),AU222,1),"")</f>
        <v>C</v>
      </c>
      <c r="AU222" s="3">
        <v>292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P2Y</v>
      </c>
      <c r="BB222" s="27" t="b">
        <f t="shared" si="334"/>
        <v>1</v>
      </c>
      <c r="BC222" s="23">
        <f t="shared" si="307"/>
        <v>227</v>
      </c>
      <c r="BD222" s="4" t="s">
        <v>23</v>
      </c>
      <c r="BE222" s="3" t="s">
        <v>1439</v>
      </c>
      <c r="BF222" s="119">
        <v>2.5</v>
      </c>
      <c r="BG222" s="49" t="s">
        <v>1384</v>
      </c>
      <c r="BH222" s="49" t="s">
        <v>1384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308"/>
        <v>23</v>
      </c>
      <c r="BW222" s="71" t="str">
        <f t="shared" si="309"/>
        <v>-</v>
      </c>
      <c r="BX222" s="72">
        <f t="shared" si="310"/>
        <v>57</v>
      </c>
      <c r="BY222" s="71" t="str">
        <f t="shared" si="311"/>
        <v>-</v>
      </c>
      <c r="BZ222" s="72">
        <f t="shared" si="312"/>
        <v>90</v>
      </c>
      <c r="CA222" s="71" t="str">
        <f t="shared" si="313"/>
        <v>-</v>
      </c>
      <c r="CB222" s="72">
        <f t="shared" si="314"/>
        <v>137</v>
      </c>
      <c r="CC222" s="71">
        <f t="shared" si="315"/>
        <v>175</v>
      </c>
      <c r="CD222" s="72">
        <f t="shared" si="316"/>
        <v>181</v>
      </c>
      <c r="CE222" s="71">
        <f t="shared" si="317"/>
        <v>236</v>
      </c>
      <c r="CF222" s="72">
        <f t="shared" si="318"/>
        <v>269</v>
      </c>
      <c r="CG222" s="71" t="str">
        <f t="shared" si="319"/>
        <v>-</v>
      </c>
      <c r="CH222" s="70">
        <f t="shared" si="320"/>
        <v>53</v>
      </c>
      <c r="CI222" s="71" t="str">
        <f t="shared" si="321"/>
        <v>-</v>
      </c>
      <c r="CJ222" s="72">
        <f t="shared" si="322"/>
        <v>86</v>
      </c>
      <c r="CK222" s="72" t="str">
        <f t="shared" si="323"/>
        <v>-</v>
      </c>
      <c r="CL222" s="72">
        <f t="shared" si="324"/>
        <v>128</v>
      </c>
      <c r="CM222" s="72" t="str">
        <f t="shared" si="325"/>
        <v>-</v>
      </c>
      <c r="CN222" s="72">
        <f t="shared" si="326"/>
        <v>163</v>
      </c>
      <c r="CO222" s="72">
        <f t="shared" si="327"/>
        <v>177</v>
      </c>
      <c r="CP222" s="72">
        <f t="shared" si="328"/>
        <v>219</v>
      </c>
      <c r="CQ222" s="72">
        <f t="shared" si="329"/>
        <v>265</v>
      </c>
      <c r="CR222" s="72">
        <f t="shared" si="330"/>
        <v>292</v>
      </c>
      <c r="CS222" s="72" t="str">
        <f t="shared" si="331"/>
        <v>-</v>
      </c>
      <c r="CT222" s="23" t="e">
        <f t="shared" si="33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333"/>
        <v>p2y12_human_4PY0</v>
      </c>
      <c r="B223" s="3" t="s">
        <v>352</v>
      </c>
      <c r="C223" s="3" t="s">
        <v>1051</v>
      </c>
      <c r="D223" s="3" t="str">
        <f>IFERROR(MID(VLOOKUP($B223,Seqs!$A:$B,2,0),E223,1),"")</f>
        <v>I</v>
      </c>
      <c r="E223" s="3">
        <v>23</v>
      </c>
      <c r="F223" s="3" t="str">
        <f>IFERROR(MID(VLOOKUP($B223,Seqs!$A:$B,2,0),G223,1),"")</f>
        <v>I</v>
      </c>
      <c r="G223" s="3">
        <v>53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57</v>
      </c>
      <c r="N223" s="3" t="str">
        <f>IFERROR(MID(VLOOKUP($B223,Seqs!$A:$B,2,0),O223,1),"")</f>
        <v>K</v>
      </c>
      <c r="O223" s="3">
        <v>86</v>
      </c>
      <c r="P223" s="3" t="str">
        <f>IFERROR(MID(VLOOKUP($B223,Seqs!$A:$B,2,0),Q223,1),"")</f>
        <v/>
      </c>
      <c r="Q223" s="3" t="s">
        <v>23</v>
      </c>
      <c r="R223" s="3" t="str">
        <f>IFERROR(MID(VLOOKUP($B223,Seqs!$A:$B,2,0),S223,1),"")</f>
        <v/>
      </c>
      <c r="S223" s="3" t="s">
        <v>23</v>
      </c>
      <c r="T223" s="3" t="str">
        <f>IFERROR(MID(VLOOKUP($B223,Seqs!$A:$B,2,0),U223,1),"")</f>
        <v>G</v>
      </c>
      <c r="U223" s="3">
        <v>90</v>
      </c>
      <c r="V223" s="3" t="str">
        <f>IFERROR(MID(VLOOKUP($B223,Seqs!$A:$B,2,0),W223,1),"")</f>
        <v>R</v>
      </c>
      <c r="W223" s="3">
        <v>128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N</v>
      </c>
      <c r="AC223" s="9">
        <v>137</v>
      </c>
      <c r="AD223" s="3" t="str">
        <f>IFERROR(MID(VLOOKUP($B223,Seqs!$A:$B,2,0),AE223,1),"")</f>
        <v>T</v>
      </c>
      <c r="AE223" s="3">
        <v>163</v>
      </c>
      <c r="AF223" s="3" t="str">
        <f>IFERROR(MID(VLOOKUP($B223,Seqs!$A:$B,2,0),AG223,1),"")</f>
        <v>C</v>
      </c>
      <c r="AG223" s="3">
        <v>175</v>
      </c>
      <c r="AH223" s="3" t="str">
        <f>IFERROR(MID(VLOOKUP($B223,Seqs!$A:$B,2,0),AI223,1),"")</f>
        <v>F</v>
      </c>
      <c r="AI223" s="3">
        <v>177</v>
      </c>
      <c r="AJ223" s="3" t="str">
        <f>IFERROR(MID(VLOOKUP($B223,Seqs!$A:$B,2,0),AK223,1),"")</f>
        <v>E</v>
      </c>
      <c r="AK223" s="3">
        <v>181</v>
      </c>
      <c r="AL223" s="3" t="str">
        <f>IFERROR(MID(VLOOKUP($B223,Seqs!$A:$B,2,0),AM223,1),"")</f>
        <v>S</v>
      </c>
      <c r="AM223" s="3">
        <v>219</v>
      </c>
      <c r="AN223" s="3" t="str">
        <f>IFERROR(MID(VLOOKUP($B223,Seqs!$A:$B,2,0),AO223,1),"")</f>
        <v>V</v>
      </c>
      <c r="AO223" s="3">
        <v>236</v>
      </c>
      <c r="AP223" s="3" t="str">
        <f>IFERROR(MID(VLOOKUP($B223,Seqs!$A:$B,2,0),AQ223,1),"")</f>
        <v>R</v>
      </c>
      <c r="AQ223" s="3">
        <v>265</v>
      </c>
      <c r="AR223" s="3" t="str">
        <f>IFERROR(MID(VLOOKUP($B223,Seqs!$A:$B,2,0),AS223,1),"")</f>
        <v>D</v>
      </c>
      <c r="AS223" s="3">
        <v>269</v>
      </c>
      <c r="AT223" s="3" t="str">
        <f>IFERROR(MID(VLOOKUP($B223,Seqs!$A:$B,2,0),AU223,1),"")</f>
        <v>C</v>
      </c>
      <c r="AU223" s="3">
        <v>292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P2Y</v>
      </c>
      <c r="BB223" s="27" t="b">
        <f t="shared" si="334"/>
        <v>1</v>
      </c>
      <c r="BC223" s="23">
        <f t="shared" si="307"/>
        <v>227</v>
      </c>
      <c r="BD223" s="4" t="s">
        <v>23</v>
      </c>
      <c r="BE223" s="3" t="s">
        <v>1439</v>
      </c>
      <c r="BF223" s="119">
        <v>3.1</v>
      </c>
      <c r="BG223" s="49" t="s">
        <v>1384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308"/>
        <v>23</v>
      </c>
      <c r="BW223" s="71" t="str">
        <f t="shared" si="309"/>
        <v>-</v>
      </c>
      <c r="BX223" s="72">
        <f t="shared" si="310"/>
        <v>57</v>
      </c>
      <c r="BY223" s="71" t="str">
        <f t="shared" si="311"/>
        <v>-</v>
      </c>
      <c r="BZ223" s="72">
        <f t="shared" si="312"/>
        <v>90</v>
      </c>
      <c r="CA223" s="71" t="str">
        <f t="shared" si="313"/>
        <v>-</v>
      </c>
      <c r="CB223" s="72">
        <f t="shared" si="314"/>
        <v>137</v>
      </c>
      <c r="CC223" s="71">
        <f t="shared" si="315"/>
        <v>175</v>
      </c>
      <c r="CD223" s="72">
        <f t="shared" si="316"/>
        <v>181</v>
      </c>
      <c r="CE223" s="71">
        <f t="shared" si="317"/>
        <v>236</v>
      </c>
      <c r="CF223" s="72">
        <f t="shared" si="318"/>
        <v>269</v>
      </c>
      <c r="CG223" s="71" t="str">
        <f t="shared" si="319"/>
        <v>-</v>
      </c>
      <c r="CH223" s="70">
        <f t="shared" si="320"/>
        <v>53</v>
      </c>
      <c r="CI223" s="71" t="str">
        <f t="shared" si="321"/>
        <v>-</v>
      </c>
      <c r="CJ223" s="72">
        <f t="shared" si="322"/>
        <v>86</v>
      </c>
      <c r="CK223" s="72" t="str">
        <f t="shared" si="323"/>
        <v>-</v>
      </c>
      <c r="CL223" s="72">
        <f t="shared" si="324"/>
        <v>128</v>
      </c>
      <c r="CM223" s="72" t="str">
        <f t="shared" si="325"/>
        <v>-</v>
      </c>
      <c r="CN223" s="72">
        <f t="shared" si="326"/>
        <v>163</v>
      </c>
      <c r="CO223" s="72">
        <f t="shared" si="327"/>
        <v>177</v>
      </c>
      <c r="CP223" s="72">
        <f t="shared" si="328"/>
        <v>219</v>
      </c>
      <c r="CQ223" s="72">
        <f t="shared" si="329"/>
        <v>265</v>
      </c>
      <c r="CR223" s="72">
        <f t="shared" si="330"/>
        <v>292</v>
      </c>
      <c r="CS223" s="72" t="str">
        <f t="shared" si="331"/>
        <v>-</v>
      </c>
      <c r="CT223" s="23" t="e">
        <f t="shared" si="332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333"/>
        <v>par1_human__wt</v>
      </c>
      <c r="B224" s="3" t="s">
        <v>355</v>
      </c>
      <c r="C224" s="3" t="s">
        <v>100</v>
      </c>
      <c r="D224" s="3" t="str">
        <f>IFERROR(MID(VLOOKUP($B224,Seqs!$A:$B,2,0),E224,1),"")</f>
        <v>S</v>
      </c>
      <c r="E224" s="3">
        <v>99</v>
      </c>
      <c r="F224" s="3" t="str">
        <f>IFERROR(MID(VLOOKUP($B224,Seqs!$A:$B,2,0),G224,1),"")</f>
        <v>K</v>
      </c>
      <c r="G224" s="3">
        <v>130</v>
      </c>
      <c r="H224" s="3" t="str">
        <f>IFERROR(MID(VLOOKUP($B224,Seqs!$A:$B,2,0),I224,1),"")</f>
        <v>M</v>
      </c>
      <c r="I224" s="23">
        <v>131</v>
      </c>
      <c r="J224" s="3" t="str">
        <f>IFERROR(MID(VLOOKUP($B224,Seqs!$A:$B,2,0),K224,1),"")</f>
        <v>K</v>
      </c>
      <c r="K224" s="23">
        <v>134</v>
      </c>
      <c r="L224" s="3" t="str">
        <f>IFERROR(MID(VLOOKUP($B224,Seqs!$A:$B,2,0),M224,1),"")</f>
        <v>K</v>
      </c>
      <c r="M224" s="3">
        <v>135</v>
      </c>
      <c r="N224" s="3" t="str">
        <f>IFERROR(MID(VLOOKUP($B224,Seqs!$A:$B,2,0),O224,1),"")</f>
        <v>S</v>
      </c>
      <c r="O224" s="3">
        <v>164</v>
      </c>
      <c r="P224" s="3" t="str">
        <f>IFERROR(MID(VLOOKUP($B224,Seqs!$A:$B,2,0),Q224,1),"")</f>
        <v>D</v>
      </c>
      <c r="Q224" s="3">
        <v>167</v>
      </c>
      <c r="R224" s="3" t="str">
        <f>IFERROR(MID(VLOOKUP($B224,Seqs!$A:$B,2,0),S224,1),"")</f>
        <v>F</v>
      </c>
      <c r="S224" s="3">
        <v>170</v>
      </c>
      <c r="T224" s="3" t="str">
        <f>IFERROR(MID(VLOOKUP($B224,Seqs!$A:$B,2,0),U224,1),"")</f>
        <v>G</v>
      </c>
      <c r="U224" s="3">
        <v>171</v>
      </c>
      <c r="V224" s="3" t="str">
        <f>IFERROR(MID(VLOOKUP($B224,Seqs!$A:$B,2,0),W224,1),"")</f>
        <v>Y</v>
      </c>
      <c r="W224" s="3">
        <v>206</v>
      </c>
      <c r="X224" s="3" t="str">
        <f>IFERROR(MID(VLOOKUP($B224,Seqs!$A:$B,2,0),Y224,1),"")</f>
        <v>P</v>
      </c>
      <c r="Y224" s="3">
        <v>207</v>
      </c>
      <c r="Z224" s="3" t="str">
        <f>IFERROR(MID(VLOOKUP($B224,Seqs!$A:$B,2,0),AA224,1),"")</f>
        <v>R</v>
      </c>
      <c r="AA224" s="3">
        <v>214</v>
      </c>
      <c r="AB224" s="3" t="str">
        <f>IFERROR(MID(VLOOKUP($B224,Seqs!$A:$B,2,0),AC224,1),"")</f>
        <v>T</v>
      </c>
      <c r="AC224" s="9">
        <v>215</v>
      </c>
      <c r="AD224" s="3" t="str">
        <f>IFERROR(MID(VLOOKUP($B224,Seqs!$A:$B,2,0),AE224,1),"")</f>
        <v>K</v>
      </c>
      <c r="AE224" s="3">
        <v>240</v>
      </c>
      <c r="AF224" s="3" t="str">
        <f>IFERROR(MID(VLOOKUP($B224,Seqs!$A:$B,2,0),AG224,1),"")</f>
        <v>C</v>
      </c>
      <c r="AG224" s="3">
        <v>254</v>
      </c>
      <c r="AH224" s="3" t="str">
        <f>IFERROR(MID(VLOOKUP($B224,Seqs!$A:$B,2,0),AI224,1),"")</f>
        <v>D</v>
      </c>
      <c r="AI224" s="3">
        <v>256</v>
      </c>
      <c r="AJ224" s="3" t="str">
        <f>IFERROR(MID(VLOOKUP($B224,Seqs!$A:$B,2,0),AK224,1),"")</f>
        <v>E</v>
      </c>
      <c r="AK224" s="3">
        <v>264</v>
      </c>
      <c r="AL224" s="3" t="str">
        <f>IFERROR(MID(VLOOKUP($B224,Seqs!$A:$B,2,0),AM224,1),"")</f>
        <v>S</v>
      </c>
      <c r="AM224" s="3">
        <v>299</v>
      </c>
      <c r="AN224" s="3" t="str">
        <f>IFERROR(MID(VLOOKUP($B224,Seqs!$A:$B,2,0),AO224,1),"")</f>
        <v>N</v>
      </c>
      <c r="AO224" s="3">
        <v>304</v>
      </c>
      <c r="AP224" s="3" t="str">
        <f>IFERROR(MID(VLOOKUP($B224,Seqs!$A:$B,2,0),AQ224,1),"")</f>
        <v>L</v>
      </c>
      <c r="AQ224" s="3">
        <v>340</v>
      </c>
      <c r="AR224" s="3" t="str">
        <f>IFERROR(MID(VLOOKUP($B224,Seqs!$A:$B,2,0),AS224,1),"")</f>
        <v>T</v>
      </c>
      <c r="AS224" s="3">
        <v>346</v>
      </c>
      <c r="AT224" s="3" t="str">
        <f>IFERROR(MID(VLOOKUP($B224,Seqs!$A:$B,2,0),AU224,1),"")</f>
        <v>A</v>
      </c>
      <c r="AU224" s="3">
        <v>374</v>
      </c>
      <c r="AV224" s="3" t="str">
        <f>IFERROR(MID(VLOOKUP($B224,Seqs!$A:$B,2,0),AW224,1),"")</f>
        <v>S</v>
      </c>
      <c r="AW224" s="3">
        <v>375</v>
      </c>
      <c r="AX224" s="3" t="str">
        <f>IFERROR(MID(VLOOKUP($B224,Seqs!$A:$B,2,0),AY224,1),"")</f>
        <v>K</v>
      </c>
      <c r="AY224" s="3">
        <v>389</v>
      </c>
      <c r="AZ224" s="77" t="str">
        <f>VLOOKUP(B224,Classification!A:D,2,0)</f>
        <v>A</v>
      </c>
      <c r="BA224" s="94" t="str">
        <f>VLOOKUP(B224,Classification!A:D,4,0)</f>
        <v>Proteinase-activated</v>
      </c>
      <c r="BB224" s="27" t="b">
        <f t="shared" si="334"/>
        <v>1</v>
      </c>
      <c r="BC224" s="23">
        <f t="shared" si="307"/>
        <v>260</v>
      </c>
      <c r="BD224" s="56" t="s">
        <v>1379</v>
      </c>
      <c r="BE224" s="3" t="s">
        <v>23</v>
      </c>
      <c r="BF224" s="119" t="s">
        <v>23</v>
      </c>
      <c r="BG224" s="49" t="s">
        <v>1379</v>
      </c>
      <c r="BH224" s="49" t="s">
        <v>1384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308"/>
        <v>99</v>
      </c>
      <c r="BW224" s="71">
        <f t="shared" si="309"/>
        <v>131</v>
      </c>
      <c r="BX224" s="72">
        <f t="shared" si="310"/>
        <v>135</v>
      </c>
      <c r="BY224" s="71">
        <f t="shared" si="311"/>
        <v>167</v>
      </c>
      <c r="BZ224" s="72">
        <f t="shared" si="312"/>
        <v>171</v>
      </c>
      <c r="CA224" s="71">
        <f t="shared" si="313"/>
        <v>207</v>
      </c>
      <c r="CB224" s="72">
        <f t="shared" si="314"/>
        <v>215</v>
      </c>
      <c r="CC224" s="71">
        <f t="shared" si="315"/>
        <v>254</v>
      </c>
      <c r="CD224" s="72">
        <f t="shared" si="316"/>
        <v>264</v>
      </c>
      <c r="CE224" s="71">
        <f t="shared" si="317"/>
        <v>304</v>
      </c>
      <c r="CF224" s="72">
        <f t="shared" si="318"/>
        <v>346</v>
      </c>
      <c r="CG224" s="71">
        <f t="shared" si="319"/>
        <v>375</v>
      </c>
      <c r="CH224" s="70">
        <f t="shared" si="320"/>
        <v>130</v>
      </c>
      <c r="CI224" s="71">
        <f t="shared" si="321"/>
        <v>134</v>
      </c>
      <c r="CJ224" s="72">
        <f t="shared" si="322"/>
        <v>164</v>
      </c>
      <c r="CK224" s="72">
        <f t="shared" si="323"/>
        <v>170</v>
      </c>
      <c r="CL224" s="72">
        <f t="shared" si="324"/>
        <v>206</v>
      </c>
      <c r="CM224" s="72">
        <f t="shared" si="325"/>
        <v>214</v>
      </c>
      <c r="CN224" s="72">
        <f t="shared" si="326"/>
        <v>240</v>
      </c>
      <c r="CO224" s="72">
        <f t="shared" si="327"/>
        <v>256</v>
      </c>
      <c r="CP224" s="72">
        <f t="shared" si="328"/>
        <v>299</v>
      </c>
      <c r="CQ224" s="72">
        <f t="shared" si="329"/>
        <v>340</v>
      </c>
      <c r="CR224" s="72">
        <f t="shared" si="330"/>
        <v>374</v>
      </c>
      <c r="CS224" s="72">
        <f t="shared" si="331"/>
        <v>389</v>
      </c>
      <c r="CT224" s="23">
        <f t="shared" si="332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333"/>
        <v>par1_human_3VW7</v>
      </c>
      <c r="B225" s="3" t="s">
        <v>355</v>
      </c>
      <c r="C225" s="3" t="s">
        <v>93</v>
      </c>
      <c r="D225" s="3" t="str">
        <f>IFERROR(MID(VLOOKUP($B225,Seqs!$A:$B,2,0),E225,1),"")</f>
        <v>S</v>
      </c>
      <c r="E225" s="3">
        <v>99</v>
      </c>
      <c r="F225" s="3" t="str">
        <f>IFERROR(MID(VLOOKUP($B225,Seqs!$A:$B,2,0),G225,1),"")</f>
        <v>K</v>
      </c>
      <c r="G225" s="3">
        <v>130</v>
      </c>
      <c r="H225" s="3" t="str">
        <f>IFERROR(MID(VLOOKUP($B225,Seqs!$A:$B,2,0),I225,1),"")</f>
        <v/>
      </c>
      <c r="I225" s="23" t="s">
        <v>23</v>
      </c>
      <c r="J225" s="3" t="str">
        <f>IFERROR(MID(VLOOKUP($B225,Seqs!$A:$B,2,0),K225,1),"")</f>
        <v/>
      </c>
      <c r="K225" s="23" t="s">
        <v>23</v>
      </c>
      <c r="L225" s="3" t="str">
        <f>IFERROR(MID(VLOOKUP($B225,Seqs!$A:$B,2,0),M225,1),"")</f>
        <v>K</v>
      </c>
      <c r="M225" s="3">
        <v>135</v>
      </c>
      <c r="N225" s="3" t="str">
        <f>IFERROR(MID(VLOOKUP($B225,Seqs!$A:$B,2,0),O225,1),"")</f>
        <v>S</v>
      </c>
      <c r="O225" s="3">
        <v>164</v>
      </c>
      <c r="P225" s="3" t="str">
        <f>IFERROR(MID(VLOOKUP($B225,Seqs!$A:$B,2,0),Q225,1),"")</f>
        <v>D</v>
      </c>
      <c r="Q225" s="3">
        <v>167</v>
      </c>
      <c r="R225" s="3" t="str">
        <f>IFERROR(MID(VLOOKUP($B225,Seqs!$A:$B,2,0),S225,1),"")</f>
        <v>F</v>
      </c>
      <c r="S225" s="3">
        <v>170</v>
      </c>
      <c r="T225" s="3" t="str">
        <f>IFERROR(MID(VLOOKUP($B225,Seqs!$A:$B,2,0),U225,1),"")</f>
        <v>G</v>
      </c>
      <c r="U225" s="3">
        <v>171</v>
      </c>
      <c r="V225" s="3" t="str">
        <f>IFERROR(MID(VLOOKUP($B225,Seqs!$A:$B,2,0),W225,1),"")</f>
        <v>Y</v>
      </c>
      <c r="W225" s="3">
        <v>206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T</v>
      </c>
      <c r="AC225" s="9">
        <v>215</v>
      </c>
      <c r="AD225" s="3" t="str">
        <f>IFERROR(MID(VLOOKUP($B225,Seqs!$A:$B,2,0),AE225,1),"")</f>
        <v>K</v>
      </c>
      <c r="AE225" s="3">
        <v>240</v>
      </c>
      <c r="AF225" s="3" t="str">
        <f>IFERROR(MID(VLOOKUP($B225,Seqs!$A:$B,2,0),AG225,1),"")</f>
        <v>C</v>
      </c>
      <c r="AG225" s="3">
        <v>254</v>
      </c>
      <c r="AH225" s="3" t="str">
        <f>IFERROR(MID(VLOOKUP($B225,Seqs!$A:$B,2,0),AI225,1),"")</f>
        <v>D</v>
      </c>
      <c r="AI225" s="3">
        <v>256</v>
      </c>
      <c r="AJ225" s="3" t="str">
        <f>IFERROR(MID(VLOOKUP($B225,Seqs!$A:$B,2,0),AK225,1),"")</f>
        <v>E</v>
      </c>
      <c r="AK225" s="3">
        <v>264</v>
      </c>
      <c r="AL225" s="3" t="str">
        <f>IFERROR(MID(VLOOKUP($B225,Seqs!$A:$B,2,0),AM225,1),"")</f>
        <v>S</v>
      </c>
      <c r="AM225" s="3">
        <v>300</v>
      </c>
      <c r="AN225" s="3" t="str">
        <f>IFERROR(MID(VLOOKUP($B225,Seqs!$A:$B,2,0),AO225,1),"")</f>
        <v>N</v>
      </c>
      <c r="AO225" s="3">
        <v>304</v>
      </c>
      <c r="AP225" s="3" t="str">
        <f>IFERROR(MID(VLOOKUP($B225,Seqs!$A:$B,2,0),AQ225,1),"")</f>
        <v>L</v>
      </c>
      <c r="AQ225" s="3">
        <v>340</v>
      </c>
      <c r="AR225" s="3" t="str">
        <f>IFERROR(MID(VLOOKUP($B225,Seqs!$A:$B,2,0),AS225,1),"")</f>
        <v>T</v>
      </c>
      <c r="AS225" s="3">
        <v>346</v>
      </c>
      <c r="AT225" s="3" t="str">
        <f>IFERROR(MID(VLOOKUP($B225,Seqs!$A:$B,2,0),AU225,1),"")</f>
        <v>Y</v>
      </c>
      <c r="AU225" s="3">
        <v>372</v>
      </c>
      <c r="AV225" s="3" t="str">
        <f>IFERROR(MID(VLOOKUP($B225,Seqs!$A:$B,2,0),AW225,1),"")</f>
        <v/>
      </c>
      <c r="AW225" s="3" t="s">
        <v>23</v>
      </c>
      <c r="AX225" s="3" t="str">
        <f>IFERROR(MID(VLOOKUP($B225,Seqs!$A:$B,2,0),AY225,1),"")</f>
        <v/>
      </c>
      <c r="AY225" s="3" t="s">
        <v>23</v>
      </c>
      <c r="AZ225" s="77" t="str">
        <f>VLOOKUP(B225,Classification!A:D,2,0)</f>
        <v>A</v>
      </c>
      <c r="BA225" s="94" t="str">
        <f>VLOOKUP(B225,Classification!A:D,4,0)</f>
        <v>Proteinase-activated</v>
      </c>
      <c r="BB225" s="27" t="b">
        <f t="shared" si="334"/>
        <v>1</v>
      </c>
      <c r="BC225" s="23">
        <f t="shared" si="307"/>
        <v>235</v>
      </c>
      <c r="BD225" s="2" t="s">
        <v>1440</v>
      </c>
      <c r="BE225" s="3" t="s">
        <v>1439</v>
      </c>
      <c r="BF225" s="119">
        <v>2.2000000000000002</v>
      </c>
      <c r="BG225" s="49" t="s">
        <v>1384</v>
      </c>
      <c r="BH225" s="49" t="s">
        <v>1384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308"/>
        <v>99</v>
      </c>
      <c r="BW225" s="71" t="str">
        <f t="shared" si="309"/>
        <v>-</v>
      </c>
      <c r="BX225" s="72">
        <f t="shared" si="310"/>
        <v>135</v>
      </c>
      <c r="BY225" s="71">
        <f t="shared" si="311"/>
        <v>167</v>
      </c>
      <c r="BZ225" s="72">
        <f t="shared" si="312"/>
        <v>171</v>
      </c>
      <c r="CA225" s="71" t="str">
        <f t="shared" si="313"/>
        <v>-</v>
      </c>
      <c r="CB225" s="72">
        <f t="shared" si="314"/>
        <v>215</v>
      </c>
      <c r="CC225" s="71">
        <f t="shared" si="315"/>
        <v>254</v>
      </c>
      <c r="CD225" s="72">
        <f t="shared" si="316"/>
        <v>264</v>
      </c>
      <c r="CE225" s="71">
        <f t="shared" si="317"/>
        <v>304</v>
      </c>
      <c r="CF225" s="72">
        <f t="shared" si="318"/>
        <v>346</v>
      </c>
      <c r="CG225" s="71" t="str">
        <f t="shared" si="319"/>
        <v>-</v>
      </c>
      <c r="CH225" s="70">
        <f t="shared" si="320"/>
        <v>130</v>
      </c>
      <c r="CI225" s="71" t="str">
        <f t="shared" si="321"/>
        <v>-</v>
      </c>
      <c r="CJ225" s="72">
        <f t="shared" si="322"/>
        <v>164</v>
      </c>
      <c r="CK225" s="72">
        <f t="shared" si="323"/>
        <v>170</v>
      </c>
      <c r="CL225" s="72">
        <f t="shared" si="324"/>
        <v>206</v>
      </c>
      <c r="CM225" s="72" t="str">
        <f t="shared" si="325"/>
        <v>-</v>
      </c>
      <c r="CN225" s="72">
        <f t="shared" si="326"/>
        <v>240</v>
      </c>
      <c r="CO225" s="72">
        <f t="shared" si="327"/>
        <v>256</v>
      </c>
      <c r="CP225" s="72">
        <f t="shared" si="328"/>
        <v>300</v>
      </c>
      <c r="CQ225" s="72">
        <f t="shared" si="329"/>
        <v>340</v>
      </c>
      <c r="CR225" s="72">
        <f t="shared" si="330"/>
        <v>372</v>
      </c>
      <c r="CS225" s="72" t="str">
        <f t="shared" si="331"/>
        <v>-</v>
      </c>
      <c r="CT225" s="23" t="e">
        <f t="shared" si="332"/>
        <v>#VALUE!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ref="A226:A236" si="363">CONCATENATE(B226,"_",C226)</f>
        <v>par2_human__wt</v>
      </c>
      <c r="B226" s="3" t="s">
        <v>356</v>
      </c>
      <c r="C226" s="3" t="s">
        <v>100</v>
      </c>
      <c r="D226" s="3" t="str">
        <f>IFERROR(MID(VLOOKUP($B226,Seqs!$A:$B,2,0),E226,1),"")</f>
        <v>G</v>
      </c>
      <c r="E226" s="3">
        <v>71</v>
      </c>
      <c r="F226" s="3" t="str">
        <f>IFERROR(MID(VLOOKUP($B226,Seqs!$A:$B,2,0),G226,1),"")</f>
        <v>R</v>
      </c>
      <c r="G226" s="3">
        <v>103</v>
      </c>
      <c r="H226" s="3" t="str">
        <f>IFERROR(MID(VLOOKUP($B226,Seqs!$A:$B,2,0),I226,1),"")</f>
        <v/>
      </c>
      <c r="I226" s="23" t="s">
        <v>23</v>
      </c>
      <c r="J226" s="3" t="str">
        <f>IFERROR(MID(VLOOKUP($B226,Seqs!$A:$B,2,0),K226,1),"")</f>
        <v/>
      </c>
      <c r="K226" s="23" t="s">
        <v>23</v>
      </c>
      <c r="L226" s="3" t="str">
        <f>IFERROR(MID(VLOOKUP($B226,Seqs!$A:$B,2,0),M226,1),"")</f>
        <v>H</v>
      </c>
      <c r="M226" s="3">
        <v>108</v>
      </c>
      <c r="N226" s="3" t="str">
        <f>IFERROR(MID(VLOOKUP($B226,Seqs!$A:$B,2,0),O226,1),"")</f>
        <v>H</v>
      </c>
      <c r="O226" s="3">
        <v>137</v>
      </c>
      <c r="P226" s="3" t="str">
        <f>IFERROR(MID(VLOOKUP($B226,Seqs!$A:$B,2,0),Q226,1),"")</f>
        <v>G</v>
      </c>
      <c r="Q226" s="3">
        <v>138</v>
      </c>
      <c r="R226" s="3" t="str">
        <f>IFERROR(MID(VLOOKUP($B226,Seqs!$A:$B,2,0),S226,1),"")</f>
        <v>Y</v>
      </c>
      <c r="S226" s="3">
        <v>143</v>
      </c>
      <c r="T226" s="3" t="str">
        <f>IFERROR(MID(VLOOKUP($B226,Seqs!$A:$B,2,0),U226,1),"")</f>
        <v>G</v>
      </c>
      <c r="U226" s="3">
        <v>144</v>
      </c>
      <c r="V226" s="3" t="str">
        <f>IFERROR(MID(VLOOKUP($B226,Seqs!$A:$B,2,0),W226,1),"")</f>
        <v>N</v>
      </c>
      <c r="W226" s="3">
        <v>179</v>
      </c>
      <c r="X226" s="3" t="str">
        <f>IFERROR(MID(VLOOKUP($B226,Seqs!$A:$B,2,0),Y226,1),"")</f>
        <v>P</v>
      </c>
      <c r="Y226" s="3">
        <v>180</v>
      </c>
      <c r="Z226" s="3" t="str">
        <f>IFERROR(MID(VLOOKUP($B226,Seqs!$A:$B,2,0),AA226,1),"")</f>
        <v>K</v>
      </c>
      <c r="AA226" s="3">
        <v>186</v>
      </c>
      <c r="AB226" s="3" t="str">
        <f>IFERROR(MID(VLOOKUP($B226,Seqs!$A:$B,2,0),AC226,1),"")</f>
        <v>K</v>
      </c>
      <c r="AC226" s="3">
        <v>187</v>
      </c>
      <c r="AD226" s="3" t="str">
        <f>IFERROR(MID(VLOOKUP($B226,Seqs!$A:$B,2,0),AE226,1),"")</f>
        <v>V</v>
      </c>
      <c r="AE226" s="3">
        <v>211</v>
      </c>
      <c r="AF226" s="3" t="str">
        <f>IFERROR(MID(VLOOKUP($B226,Seqs!$A:$B,2,0),AG226,1),"")</f>
        <v>C</v>
      </c>
      <c r="AG226" s="3">
        <v>226</v>
      </c>
      <c r="AH226" s="3" t="str">
        <f>IFERROR(MID(VLOOKUP($B226,Seqs!$A:$B,2,0),AI226,1),"")</f>
        <v>D</v>
      </c>
      <c r="AI226" s="3">
        <v>228</v>
      </c>
      <c r="AJ226" s="3" t="str">
        <f>IFERROR(MID(VLOOKUP($B226,Seqs!$A:$B,2,0),AK226,1),"")</f>
        <v>L</v>
      </c>
      <c r="AK226" s="3">
        <v>235</v>
      </c>
      <c r="AL226" s="3" t="str">
        <f>IFERROR(MID(VLOOKUP($B226,Seqs!$A:$B,2,0),AM226,1),"")</f>
        <v>S</v>
      </c>
      <c r="AM226" s="3">
        <v>272</v>
      </c>
      <c r="AN226" s="3" t="str">
        <f>IFERROR(MID(VLOOKUP($B226,Seqs!$A:$B,2,0),AO226,1),"")</f>
        <v>S</v>
      </c>
      <c r="AO226" s="3">
        <v>278</v>
      </c>
      <c r="AP226" s="3" t="str">
        <f>IFERROR(MID(VLOOKUP($B226,Seqs!$A:$B,2,0),AQ226,1),"")</f>
        <v>Q</v>
      </c>
      <c r="AQ226" s="3">
        <v>317</v>
      </c>
      <c r="AR226" s="3" t="str">
        <f>IFERROR(MID(VLOOKUP($B226,Seqs!$A:$B,2,0),AS226,1),"")</f>
        <v>V</v>
      </c>
      <c r="AS226" s="3">
        <v>322</v>
      </c>
      <c r="AT226" s="3" t="str">
        <f>IFERROR(MID(VLOOKUP($B226,Seqs!$A:$B,2,0),AU226,1),"")</f>
        <v>V</v>
      </c>
      <c r="AU226" s="3">
        <v>347</v>
      </c>
      <c r="AV226" s="3" t="str">
        <f>IFERROR(MID(VLOOKUP($B226,Seqs!$A:$B,2,0),AW226,1),"")</f>
        <v>S</v>
      </c>
      <c r="AW226" s="3">
        <v>348</v>
      </c>
      <c r="AX226" s="3" t="str">
        <f>IFERROR(MID(VLOOKUP($B226,Seqs!$A:$B,2,0),AY226,1),"")</f>
        <v>R</v>
      </c>
      <c r="AY226" s="3">
        <v>362</v>
      </c>
      <c r="AZ226" s="77" t="str">
        <f>VLOOKUP(B226,Classification!A:D,2,0)</f>
        <v>A</v>
      </c>
      <c r="BA226" s="94" t="str">
        <f>VLOOKUP(B226,Classification!A:D,4,0)</f>
        <v>Proteinase-activated</v>
      </c>
      <c r="BB226" s="27" t="b">
        <f t="shared" ref="BB226:BB236" si="364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:BC236" si="365">_xlfn.AGGREGATE(9,6,CH226:CS226)-_xlfn.AGGREGATE(9,6,BV226:CG226)+12</f>
        <v>260</v>
      </c>
      <c r="BD226" s="2" t="s">
        <v>23</v>
      </c>
      <c r="BE226" s="3" t="s">
        <v>23</v>
      </c>
      <c r="BF226" s="119" t="s">
        <v>23</v>
      </c>
      <c r="BG226" s="49" t="s">
        <v>1384</v>
      </c>
      <c r="BH226" s="49" t="s">
        <v>1384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ref="BV226:BV236" si="366">E226</f>
        <v>71</v>
      </c>
      <c r="BW226" s="71" t="str">
        <f t="shared" ref="BW226:BW236" si="367">I226</f>
        <v>-</v>
      </c>
      <c r="BX226" s="72">
        <f t="shared" ref="BX226:BX236" si="368">M226</f>
        <v>108</v>
      </c>
      <c r="BY226" s="71">
        <f t="shared" ref="BY226:BY236" si="369">Q226</f>
        <v>138</v>
      </c>
      <c r="BZ226" s="72">
        <f t="shared" ref="BZ226:BZ236" si="370">U226</f>
        <v>144</v>
      </c>
      <c r="CA226" s="71">
        <f t="shared" ref="CA226:CA236" si="371">Y226</f>
        <v>180</v>
      </c>
      <c r="CB226" s="72">
        <f t="shared" ref="CB226:CB236" si="372">AC226</f>
        <v>187</v>
      </c>
      <c r="CC226" s="71">
        <f t="shared" ref="CC226:CC236" si="373">AG226</f>
        <v>226</v>
      </c>
      <c r="CD226" s="72">
        <f t="shared" ref="CD226:CD236" si="374">AK226</f>
        <v>235</v>
      </c>
      <c r="CE226" s="71">
        <f t="shared" ref="CE226:CE236" si="375">AO226</f>
        <v>278</v>
      </c>
      <c r="CF226" s="72">
        <f t="shared" ref="CF226:CF236" si="376">AS226</f>
        <v>322</v>
      </c>
      <c r="CG226" s="71">
        <f t="shared" ref="CG226:CG236" si="377">AW226</f>
        <v>348</v>
      </c>
      <c r="CH226" s="70">
        <f t="shared" ref="CH226:CH236" si="378">G226</f>
        <v>103</v>
      </c>
      <c r="CI226" s="71" t="str">
        <f t="shared" ref="CI226:CI236" si="379">K226</f>
        <v>-</v>
      </c>
      <c r="CJ226" s="72">
        <f t="shared" ref="CJ226:CJ236" si="380">O226</f>
        <v>137</v>
      </c>
      <c r="CK226" s="72">
        <f t="shared" ref="CK226:CK236" si="381">S226</f>
        <v>143</v>
      </c>
      <c r="CL226" s="72">
        <f t="shared" ref="CL226:CL236" si="382">W226</f>
        <v>179</v>
      </c>
      <c r="CM226" s="72">
        <f t="shared" ref="CM226:CM236" si="383">AA226</f>
        <v>186</v>
      </c>
      <c r="CN226" s="72">
        <f t="shared" ref="CN226:CN236" si="384">AE226</f>
        <v>211</v>
      </c>
      <c r="CO226" s="72">
        <f t="shared" ref="CO226:CO236" si="385">AI226</f>
        <v>228</v>
      </c>
      <c r="CP226" s="72">
        <f t="shared" ref="CP226:CP236" si="386">AM226</f>
        <v>272</v>
      </c>
      <c r="CQ226" s="72">
        <f t="shared" ref="CQ226:CQ236" si="387">AQ226</f>
        <v>317</v>
      </c>
      <c r="CR226" s="72">
        <f t="shared" ref="CR226:CR236" si="388">AU226</f>
        <v>347</v>
      </c>
      <c r="CS226" s="72">
        <f t="shared" ref="CS226:CS236" si="389">AY226</f>
        <v>362</v>
      </c>
      <c r="CT226" s="23" t="e">
        <f t="shared" ref="CT226:CT236" si="390">M226-K226</f>
        <v>#VALUE!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363"/>
        <v>par2_human_5NDD</v>
      </c>
      <c r="B227" s="3" t="s">
        <v>356</v>
      </c>
      <c r="C227" s="3" t="s">
        <v>1403</v>
      </c>
      <c r="D227" s="3" t="str">
        <f>IFERROR(MID(VLOOKUP($B227,Seqs!$A:$B,2,0),E227,1),"")</f>
        <v>G</v>
      </c>
      <c r="E227" s="3">
        <v>71</v>
      </c>
      <c r="F227" s="3" t="str">
        <f>IFERROR(MID(VLOOKUP($B227,Seqs!$A:$B,2,0),G227,1),"")</f>
        <v>R</v>
      </c>
      <c r="G227" s="3">
        <v>103</v>
      </c>
      <c r="H227" s="3" t="str">
        <f>IFERROR(MID(VLOOKUP($B227,Seqs!$A:$B,2,0),I227,1),"")</f>
        <v/>
      </c>
      <c r="I227" s="23" t="s">
        <v>23</v>
      </c>
      <c r="J227" s="3" t="str">
        <f>IFERROR(MID(VLOOKUP($B227,Seqs!$A:$B,2,0),K227,1),"")</f>
        <v/>
      </c>
      <c r="K227" s="23" t="s">
        <v>23</v>
      </c>
      <c r="L227" s="3" t="str">
        <f>IFERROR(MID(VLOOKUP($B227,Seqs!$A:$B,2,0),M227,1),"")</f>
        <v>H</v>
      </c>
      <c r="M227" s="3">
        <v>108</v>
      </c>
      <c r="N227" s="3" t="str">
        <f>IFERROR(MID(VLOOKUP($B227,Seqs!$A:$B,2,0),O227,1),"")</f>
        <v>H</v>
      </c>
      <c r="O227" s="3">
        <v>137</v>
      </c>
      <c r="P227" s="3" t="str">
        <f>IFERROR(MID(VLOOKUP($B227,Seqs!$A:$B,2,0),Q227,1),"")</f>
        <v>G</v>
      </c>
      <c r="Q227" s="3">
        <v>138</v>
      </c>
      <c r="R227" s="3" t="str">
        <f>IFERROR(MID(VLOOKUP($B227,Seqs!$A:$B,2,0),S227,1),"")</f>
        <v>Y</v>
      </c>
      <c r="S227" s="3">
        <v>143</v>
      </c>
      <c r="T227" s="3" t="str">
        <f>IFERROR(MID(VLOOKUP($B227,Seqs!$A:$B,2,0),U227,1),"")</f>
        <v>G</v>
      </c>
      <c r="U227" s="3">
        <v>144</v>
      </c>
      <c r="V227" s="3" t="str">
        <f>IFERROR(MID(VLOOKUP($B227,Seqs!$A:$B,2,0),W227,1),"")</f>
        <v>N</v>
      </c>
      <c r="W227" s="3">
        <v>179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H</v>
      </c>
      <c r="AC227" s="3">
        <v>183</v>
      </c>
      <c r="AD227" s="3" t="str">
        <f>IFERROR(MID(VLOOKUP($B227,Seqs!$A:$B,2,0),AE227,1),"")</f>
        <v>V</v>
      </c>
      <c r="AE227" s="3">
        <v>211</v>
      </c>
      <c r="AF227" s="3" t="str">
        <f>IFERROR(MID(VLOOKUP($B227,Seqs!$A:$B,2,0),AG227,1),"")</f>
        <v>C</v>
      </c>
      <c r="AG227" s="3">
        <v>226</v>
      </c>
      <c r="AH227" s="3" t="str">
        <f>IFERROR(MID(VLOOKUP($B227,Seqs!$A:$B,2,0),AI227,1),"")</f>
        <v>D</v>
      </c>
      <c r="AI227" s="3">
        <v>228</v>
      </c>
      <c r="AJ227" s="3" t="str">
        <f>IFERROR(MID(VLOOKUP($B227,Seqs!$A:$B,2,0),AK227,1),"")</f>
        <v>L</v>
      </c>
      <c r="AK227" s="3">
        <v>235</v>
      </c>
      <c r="AL227" s="3" t="str">
        <f>IFERROR(MID(VLOOKUP($B227,Seqs!$A:$B,2,0),AM227,1),"")</f>
        <v>L</v>
      </c>
      <c r="AM227" s="3">
        <v>269</v>
      </c>
      <c r="AN227" s="3" t="str">
        <f>IFERROR(MID(VLOOKUP($B227,Seqs!$A:$B,2,0),AO227,1),"")</f>
        <v>S</v>
      </c>
      <c r="AO227" s="3">
        <v>278</v>
      </c>
      <c r="AP227" s="3" t="str">
        <f>IFERROR(MID(VLOOKUP($B227,Seqs!$A:$B,2,0),AQ227,1),"")</f>
        <v>Q</v>
      </c>
      <c r="AQ227" s="3">
        <v>317</v>
      </c>
      <c r="AR227" s="3" t="str">
        <f>IFERROR(MID(VLOOKUP($B227,Seqs!$A:$B,2,0),AS227,1),"")</f>
        <v>V</v>
      </c>
      <c r="AS227" s="3">
        <v>322</v>
      </c>
      <c r="AT227" s="3" t="str">
        <f>IFERROR(MID(VLOOKUP($B227,Seqs!$A:$B,2,0),AU227,1),"")</f>
        <v>V</v>
      </c>
      <c r="AU227" s="3">
        <v>347</v>
      </c>
      <c r="AV227" s="3" t="str">
        <f>IFERROR(MID(VLOOKUP($B227,Seqs!$A:$B,2,0),AW227,1),"")</f>
        <v>S</v>
      </c>
      <c r="AW227" s="3">
        <v>348</v>
      </c>
      <c r="AX227" s="3" t="str">
        <f>IFERROR(MID(VLOOKUP($B227,Seqs!$A:$B,2,0),AY227,1),"")</f>
        <v>L</v>
      </c>
      <c r="AY227" s="3">
        <v>359</v>
      </c>
      <c r="AZ227" s="77" t="str">
        <f>VLOOKUP(B227,Classification!A:D,2,0)</f>
        <v>A</v>
      </c>
      <c r="BA227" s="94" t="str">
        <f>VLOOKUP(B227,Classification!A:D,4,0)</f>
        <v>Proteinase-activated</v>
      </c>
      <c r="BB227" s="27" t="b">
        <f t="shared" si="364"/>
        <v>1</v>
      </c>
      <c r="BC227" s="23">
        <f t="shared" si="365"/>
        <v>252</v>
      </c>
      <c r="BD227" s="2" t="s">
        <v>1440</v>
      </c>
      <c r="BE227" s="3" t="s">
        <v>1439</v>
      </c>
      <c r="BF227" s="119">
        <v>2.8</v>
      </c>
      <c r="BG227" s="49" t="s">
        <v>1</v>
      </c>
      <c r="BH227" s="49" t="s">
        <v>1384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366"/>
        <v>71</v>
      </c>
      <c r="BW227" s="71" t="str">
        <f t="shared" si="367"/>
        <v>-</v>
      </c>
      <c r="BX227" s="72">
        <f t="shared" si="368"/>
        <v>108</v>
      </c>
      <c r="BY227" s="71">
        <f t="shared" si="369"/>
        <v>138</v>
      </c>
      <c r="BZ227" s="72">
        <f t="shared" si="370"/>
        <v>144</v>
      </c>
      <c r="CA227" s="71" t="str">
        <f t="shared" si="371"/>
        <v>-</v>
      </c>
      <c r="CB227" s="72">
        <f t="shared" si="372"/>
        <v>183</v>
      </c>
      <c r="CC227" s="71">
        <f t="shared" si="373"/>
        <v>226</v>
      </c>
      <c r="CD227" s="72">
        <f t="shared" si="374"/>
        <v>235</v>
      </c>
      <c r="CE227" s="71">
        <f t="shared" si="375"/>
        <v>278</v>
      </c>
      <c r="CF227" s="72">
        <f t="shared" si="376"/>
        <v>322</v>
      </c>
      <c r="CG227" s="71">
        <f t="shared" si="377"/>
        <v>348</v>
      </c>
      <c r="CH227" s="70">
        <f t="shared" si="378"/>
        <v>103</v>
      </c>
      <c r="CI227" s="71" t="str">
        <f t="shared" si="379"/>
        <v>-</v>
      </c>
      <c r="CJ227" s="72">
        <f t="shared" si="380"/>
        <v>137</v>
      </c>
      <c r="CK227" s="72">
        <f t="shared" si="381"/>
        <v>143</v>
      </c>
      <c r="CL227" s="72">
        <f t="shared" si="382"/>
        <v>179</v>
      </c>
      <c r="CM227" s="72" t="str">
        <f t="shared" si="383"/>
        <v>-</v>
      </c>
      <c r="CN227" s="72">
        <f t="shared" si="384"/>
        <v>211</v>
      </c>
      <c r="CO227" s="72">
        <f t="shared" si="385"/>
        <v>228</v>
      </c>
      <c r="CP227" s="72">
        <f t="shared" si="386"/>
        <v>269</v>
      </c>
      <c r="CQ227" s="72">
        <f t="shared" si="387"/>
        <v>317</v>
      </c>
      <c r="CR227" s="72">
        <f t="shared" si="388"/>
        <v>347</v>
      </c>
      <c r="CS227" s="72">
        <f t="shared" si="389"/>
        <v>359</v>
      </c>
      <c r="CT227" s="23" t="e">
        <f t="shared" si="390"/>
        <v>#VALUE!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363"/>
        <v>par2_human_5NDZ</v>
      </c>
      <c r="B228" s="3" t="s">
        <v>356</v>
      </c>
      <c r="C228" s="3" t="s">
        <v>1404</v>
      </c>
      <c r="D228" s="3" t="str">
        <f>IFERROR(MID(VLOOKUP($B228,Seqs!$A:$B,2,0),E228,1),"")</f>
        <v>G</v>
      </c>
      <c r="E228" s="3">
        <v>71</v>
      </c>
      <c r="F228" s="3" t="str">
        <f>IFERROR(MID(VLOOKUP($B228,Seqs!$A:$B,2,0),G228,1),"")</f>
        <v>R</v>
      </c>
      <c r="G228" s="3">
        <v>103</v>
      </c>
      <c r="H228" s="3" t="str">
        <f>IFERROR(MID(VLOOKUP($B228,Seqs!$A:$B,2,0),I228,1),"")</f>
        <v/>
      </c>
      <c r="I228" s="23" t="s">
        <v>23</v>
      </c>
      <c r="J228" s="3" t="str">
        <f>IFERROR(MID(VLOOKUP($B228,Seqs!$A:$B,2,0),K228,1),"")</f>
        <v/>
      </c>
      <c r="K228" s="23" t="s">
        <v>23</v>
      </c>
      <c r="L228" s="3" t="str">
        <f>IFERROR(MID(VLOOKUP($B228,Seqs!$A:$B,2,0),M228,1),"")</f>
        <v>H</v>
      </c>
      <c r="M228" s="3">
        <v>108</v>
      </c>
      <c r="N228" s="3" t="str">
        <f>IFERROR(MID(VLOOKUP($B228,Seqs!$A:$B,2,0),O228,1),"")</f>
        <v>H</v>
      </c>
      <c r="O228" s="3">
        <v>137</v>
      </c>
      <c r="P228" s="3" t="str">
        <f>IFERROR(MID(VLOOKUP($B228,Seqs!$A:$B,2,0),Q228,1),"")</f>
        <v>G</v>
      </c>
      <c r="Q228" s="3">
        <v>138</v>
      </c>
      <c r="R228" s="3" t="str">
        <f>IFERROR(MID(VLOOKUP($B228,Seqs!$A:$B,2,0),S228,1),"")</f>
        <v>Y</v>
      </c>
      <c r="S228" s="3">
        <v>143</v>
      </c>
      <c r="T228" s="3" t="str">
        <f>IFERROR(MID(VLOOKUP($B228,Seqs!$A:$B,2,0),U228,1),"")</f>
        <v>G</v>
      </c>
      <c r="U228" s="3">
        <v>144</v>
      </c>
      <c r="V228" s="3" t="str">
        <f>IFERROR(MID(VLOOKUP($B228,Seqs!$A:$B,2,0),W228,1),"")</f>
        <v>N</v>
      </c>
      <c r="W228" s="3">
        <v>179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H</v>
      </c>
      <c r="AC228" s="3">
        <v>183</v>
      </c>
      <c r="AD228" s="3" t="str">
        <f>IFERROR(MID(VLOOKUP($B228,Seqs!$A:$B,2,0),AE228,1),"")</f>
        <v>V</v>
      </c>
      <c r="AE228" s="3">
        <v>211</v>
      </c>
      <c r="AF228" s="3" t="str">
        <f>IFERROR(MID(VLOOKUP($B228,Seqs!$A:$B,2,0),AG228,1),"")</f>
        <v>C</v>
      </c>
      <c r="AG228" s="3">
        <v>226</v>
      </c>
      <c r="AH228" s="3" t="str">
        <f>IFERROR(MID(VLOOKUP($B228,Seqs!$A:$B,2,0),AI228,1),"")</f>
        <v>D</v>
      </c>
      <c r="AI228" s="3">
        <v>228</v>
      </c>
      <c r="AJ228" s="3" t="str">
        <f>IFERROR(MID(VLOOKUP($B228,Seqs!$A:$B,2,0),AK228,1),"")</f>
        <v>L</v>
      </c>
      <c r="AK228" s="3">
        <v>235</v>
      </c>
      <c r="AL228" s="3" t="str">
        <f>IFERROR(MID(VLOOKUP($B228,Seqs!$A:$B,2,0),AM228,1),"")</f>
        <v>L</v>
      </c>
      <c r="AM228" s="3">
        <v>269</v>
      </c>
      <c r="AN228" s="3" t="str">
        <f>IFERROR(MID(VLOOKUP($B228,Seqs!$A:$B,2,0),AO228,1),"")</f>
        <v>S</v>
      </c>
      <c r="AO228" s="3">
        <v>278</v>
      </c>
      <c r="AP228" s="3" t="str">
        <f>IFERROR(MID(VLOOKUP($B228,Seqs!$A:$B,2,0),AQ228,1),"")</f>
        <v>Q</v>
      </c>
      <c r="AQ228" s="3">
        <v>317</v>
      </c>
      <c r="AR228" s="3" t="str">
        <f>IFERROR(MID(VLOOKUP($B228,Seqs!$A:$B,2,0),AS228,1),"")</f>
        <v>V</v>
      </c>
      <c r="AS228" s="3">
        <v>322</v>
      </c>
      <c r="AT228" s="3" t="str">
        <f>IFERROR(MID(VLOOKUP($B228,Seqs!$A:$B,2,0),AU228,1),"")</f>
        <v>S</v>
      </c>
      <c r="AU228" s="3">
        <v>348</v>
      </c>
      <c r="AV228" s="3" t="str">
        <f>IFERROR(MID(VLOOKUP($B228,Seqs!$A:$B,2,0),AW228,1),"")</f>
        <v>H</v>
      </c>
      <c r="AW228" s="3">
        <v>349</v>
      </c>
      <c r="AX228" s="3" t="str">
        <f>IFERROR(MID(VLOOKUP($B228,Seqs!$A:$B,2,0),AY228,1),"")</f>
        <v>L</v>
      </c>
      <c r="AY228" s="3">
        <v>359</v>
      </c>
      <c r="AZ228" s="77" t="str">
        <f>VLOOKUP(B228,Classification!A:D,2,0)</f>
        <v>A</v>
      </c>
      <c r="BA228" s="94" t="str">
        <f>VLOOKUP(B228,Classification!A:D,4,0)</f>
        <v>Proteinase-activated</v>
      </c>
      <c r="BB228" s="27" t="b">
        <f t="shared" si="364"/>
        <v>1</v>
      </c>
      <c r="BC228" s="23">
        <f t="shared" si="365"/>
        <v>252</v>
      </c>
      <c r="BD228" s="2" t="s">
        <v>23</v>
      </c>
      <c r="BE228" s="3" t="s">
        <v>1439</v>
      </c>
      <c r="BF228" s="119">
        <v>3.6</v>
      </c>
      <c r="BG228" s="49" t="s">
        <v>1</v>
      </c>
      <c r="BH228" s="49" t="s">
        <v>1384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366"/>
        <v>71</v>
      </c>
      <c r="BW228" s="71" t="str">
        <f t="shared" si="367"/>
        <v>-</v>
      </c>
      <c r="BX228" s="72">
        <f t="shared" si="368"/>
        <v>108</v>
      </c>
      <c r="BY228" s="71">
        <f t="shared" si="369"/>
        <v>138</v>
      </c>
      <c r="BZ228" s="72">
        <f t="shared" si="370"/>
        <v>144</v>
      </c>
      <c r="CA228" s="71" t="str">
        <f t="shared" si="371"/>
        <v>-</v>
      </c>
      <c r="CB228" s="72">
        <f t="shared" si="372"/>
        <v>183</v>
      </c>
      <c r="CC228" s="71">
        <f t="shared" si="373"/>
        <v>226</v>
      </c>
      <c r="CD228" s="72">
        <f t="shared" si="374"/>
        <v>235</v>
      </c>
      <c r="CE228" s="71">
        <f t="shared" si="375"/>
        <v>278</v>
      </c>
      <c r="CF228" s="72">
        <f t="shared" si="376"/>
        <v>322</v>
      </c>
      <c r="CG228" s="71">
        <f t="shared" si="377"/>
        <v>349</v>
      </c>
      <c r="CH228" s="70">
        <f t="shared" si="378"/>
        <v>103</v>
      </c>
      <c r="CI228" s="71" t="str">
        <f t="shared" si="379"/>
        <v>-</v>
      </c>
      <c r="CJ228" s="72">
        <f t="shared" si="380"/>
        <v>137</v>
      </c>
      <c r="CK228" s="72">
        <f t="shared" si="381"/>
        <v>143</v>
      </c>
      <c r="CL228" s="72">
        <f t="shared" si="382"/>
        <v>179</v>
      </c>
      <c r="CM228" s="72" t="str">
        <f t="shared" si="383"/>
        <v>-</v>
      </c>
      <c r="CN228" s="72">
        <f t="shared" si="384"/>
        <v>211</v>
      </c>
      <c r="CO228" s="72">
        <f t="shared" si="385"/>
        <v>228</v>
      </c>
      <c r="CP228" s="72">
        <f t="shared" si="386"/>
        <v>269</v>
      </c>
      <c r="CQ228" s="72">
        <f t="shared" si="387"/>
        <v>317</v>
      </c>
      <c r="CR228" s="72">
        <f t="shared" si="388"/>
        <v>348</v>
      </c>
      <c r="CS228" s="72">
        <f t="shared" si="389"/>
        <v>359</v>
      </c>
      <c r="CT228" s="23" t="e">
        <f t="shared" si="390"/>
        <v>#VALUE!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si="363"/>
        <v>par2_human_5NJ6</v>
      </c>
      <c r="B229" s="3" t="s">
        <v>356</v>
      </c>
      <c r="C229" s="3" t="s">
        <v>1406</v>
      </c>
      <c r="D229" s="3" t="str">
        <f>IFERROR(MID(VLOOKUP($B229,Seqs!$A:$B,2,0),E229,1),"")</f>
        <v>G</v>
      </c>
      <c r="E229" s="3">
        <v>71</v>
      </c>
      <c r="F229" s="3" t="str">
        <f>IFERROR(MID(VLOOKUP($B229,Seqs!$A:$B,2,0),G229,1),"")</f>
        <v>R</v>
      </c>
      <c r="G229" s="3">
        <v>103</v>
      </c>
      <c r="H229" s="3" t="str">
        <f>IFERROR(MID(VLOOKUP($B229,Seqs!$A:$B,2,0),I229,1),"")</f>
        <v/>
      </c>
      <c r="I229" s="23" t="s">
        <v>23</v>
      </c>
      <c r="J229" s="3" t="str">
        <f>IFERROR(MID(VLOOKUP($B229,Seqs!$A:$B,2,0),K229,1),"")</f>
        <v/>
      </c>
      <c r="K229" s="23" t="s">
        <v>23</v>
      </c>
      <c r="L229" s="3" t="str">
        <f>IFERROR(MID(VLOOKUP($B229,Seqs!$A:$B,2,0),M229,1),"")</f>
        <v>H</v>
      </c>
      <c r="M229" s="3">
        <v>108</v>
      </c>
      <c r="N229" s="3" t="str">
        <f>IFERROR(MID(VLOOKUP($B229,Seqs!$A:$B,2,0),O229,1),"")</f>
        <v>H</v>
      </c>
      <c r="O229" s="3">
        <v>137</v>
      </c>
      <c r="P229" s="3" t="str">
        <f>IFERROR(MID(VLOOKUP($B229,Seqs!$A:$B,2,0),Q229,1),"")</f>
        <v>G</v>
      </c>
      <c r="Q229" s="3">
        <v>138</v>
      </c>
      <c r="R229" s="3" t="str">
        <f>IFERROR(MID(VLOOKUP($B229,Seqs!$A:$B,2,0),S229,1),"")</f>
        <v>Y</v>
      </c>
      <c r="S229" s="3">
        <v>143</v>
      </c>
      <c r="T229" s="3" t="str">
        <f>IFERROR(MID(VLOOKUP($B229,Seqs!$A:$B,2,0),U229,1),"")</f>
        <v>G</v>
      </c>
      <c r="U229" s="3">
        <v>144</v>
      </c>
      <c r="V229" s="3" t="str">
        <f>IFERROR(MID(VLOOKUP($B229,Seqs!$A:$B,2,0),W229,1),"")</f>
        <v>N</v>
      </c>
      <c r="W229" s="3">
        <v>179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H</v>
      </c>
      <c r="AC229" s="3">
        <v>183</v>
      </c>
      <c r="AD229" s="3" t="str">
        <f>IFERROR(MID(VLOOKUP($B229,Seqs!$A:$B,2,0),AE229,1),"")</f>
        <v>V</v>
      </c>
      <c r="AE229" s="3">
        <v>211</v>
      </c>
      <c r="AF229" s="3" t="str">
        <f>IFERROR(MID(VLOOKUP($B229,Seqs!$A:$B,2,0),AG229,1),"")</f>
        <v>C</v>
      </c>
      <c r="AG229" s="3">
        <v>226</v>
      </c>
      <c r="AH229" s="3" t="str">
        <f>IFERROR(MID(VLOOKUP($B229,Seqs!$A:$B,2,0),AI229,1),"")</f>
        <v>D</v>
      </c>
      <c r="AI229" s="3">
        <v>228</v>
      </c>
      <c r="AJ229" s="3" t="str">
        <f>IFERROR(MID(VLOOKUP($B229,Seqs!$A:$B,2,0),AK229,1),"")</f>
        <v>L</v>
      </c>
      <c r="AK229" s="3">
        <v>235</v>
      </c>
      <c r="AL229" s="3" t="str">
        <f>IFERROR(MID(VLOOKUP($B229,Seqs!$A:$B,2,0),AM229,1),"")</f>
        <v>L</v>
      </c>
      <c r="AM229" s="3">
        <v>269</v>
      </c>
      <c r="AN229" s="3" t="str">
        <f>IFERROR(MID(VLOOKUP($B229,Seqs!$A:$B,2,0),AO229,1),"")</f>
        <v>S</v>
      </c>
      <c r="AO229" s="3">
        <v>278</v>
      </c>
      <c r="AP229" s="3" t="str">
        <f>IFERROR(MID(VLOOKUP($B229,Seqs!$A:$B,2,0),AQ229,1),"")</f>
        <v>Q</v>
      </c>
      <c r="AQ229" s="3">
        <v>317</v>
      </c>
      <c r="AR229" s="3" t="str">
        <f>IFERROR(MID(VLOOKUP($B229,Seqs!$A:$B,2,0),AS229,1),"")</f>
        <v>V</v>
      </c>
      <c r="AS229" s="3">
        <v>322</v>
      </c>
      <c r="AT229" s="3" t="str">
        <f>IFERROR(MID(VLOOKUP($B229,Seqs!$A:$B,2,0),AU229,1),"")</f>
        <v>S</v>
      </c>
      <c r="AU229" s="3">
        <v>348</v>
      </c>
      <c r="AV229" s="3" t="str">
        <f>IFERROR(MID(VLOOKUP($B229,Seqs!$A:$B,2,0),AW229,1),"")</f>
        <v>H</v>
      </c>
      <c r="AW229" s="3">
        <v>349</v>
      </c>
      <c r="AX229" s="3" t="str">
        <f>IFERROR(MID(VLOOKUP($B229,Seqs!$A:$B,2,0),AY229,1),"")</f>
        <v>L</v>
      </c>
      <c r="AY229" s="3">
        <v>359</v>
      </c>
      <c r="AZ229" s="77" t="str">
        <f>VLOOKUP(B229,Classification!A:D,2,0)</f>
        <v>A</v>
      </c>
      <c r="BA229" s="94" t="str">
        <f>VLOOKUP(B229,Classification!A:D,4,0)</f>
        <v>Proteinase-activated</v>
      </c>
      <c r="BB229" s="27" t="b">
        <f t="shared" si="364"/>
        <v>1</v>
      </c>
      <c r="BC229" s="23">
        <f t="shared" si="365"/>
        <v>252</v>
      </c>
      <c r="BD229" s="2" t="s">
        <v>23</v>
      </c>
      <c r="BE229" s="3" t="s">
        <v>1439</v>
      </c>
      <c r="BF229" s="119">
        <v>4</v>
      </c>
      <c r="BG229" s="49" t="s">
        <v>1</v>
      </c>
      <c r="BH229" s="49" t="s">
        <v>1384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366"/>
        <v>71</v>
      </c>
      <c r="BW229" s="71" t="str">
        <f t="shared" si="367"/>
        <v>-</v>
      </c>
      <c r="BX229" s="72">
        <f t="shared" si="368"/>
        <v>108</v>
      </c>
      <c r="BY229" s="71">
        <f t="shared" si="369"/>
        <v>138</v>
      </c>
      <c r="BZ229" s="72">
        <f t="shared" si="370"/>
        <v>144</v>
      </c>
      <c r="CA229" s="71" t="str">
        <f t="shared" si="371"/>
        <v>-</v>
      </c>
      <c r="CB229" s="72">
        <f t="shared" si="372"/>
        <v>183</v>
      </c>
      <c r="CC229" s="71">
        <f t="shared" si="373"/>
        <v>226</v>
      </c>
      <c r="CD229" s="72">
        <f t="shared" si="374"/>
        <v>235</v>
      </c>
      <c r="CE229" s="71">
        <f t="shared" si="375"/>
        <v>278</v>
      </c>
      <c r="CF229" s="72">
        <f t="shared" si="376"/>
        <v>322</v>
      </c>
      <c r="CG229" s="71">
        <f t="shared" si="377"/>
        <v>349</v>
      </c>
      <c r="CH229" s="70">
        <f t="shared" si="378"/>
        <v>103</v>
      </c>
      <c r="CI229" s="71" t="str">
        <f t="shared" si="379"/>
        <v>-</v>
      </c>
      <c r="CJ229" s="72">
        <f t="shared" si="380"/>
        <v>137</v>
      </c>
      <c r="CK229" s="72">
        <f t="shared" si="381"/>
        <v>143</v>
      </c>
      <c r="CL229" s="72">
        <f t="shared" si="382"/>
        <v>179</v>
      </c>
      <c r="CM229" s="72" t="str">
        <f t="shared" si="383"/>
        <v>-</v>
      </c>
      <c r="CN229" s="72">
        <f t="shared" si="384"/>
        <v>211</v>
      </c>
      <c r="CO229" s="72">
        <f t="shared" si="385"/>
        <v>228</v>
      </c>
      <c r="CP229" s="72">
        <f t="shared" si="386"/>
        <v>269</v>
      </c>
      <c r="CQ229" s="72">
        <f t="shared" si="387"/>
        <v>317</v>
      </c>
      <c r="CR229" s="72">
        <f t="shared" si="388"/>
        <v>348</v>
      </c>
      <c r="CS229" s="72">
        <f t="shared" si="389"/>
        <v>359</v>
      </c>
      <c r="CT229" s="23" t="e">
        <f t="shared" si="390"/>
        <v>#VALUE!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9" t="str">
        <f t="shared" ref="A230" si="391">CONCATENATE(B230,"_",C230)</f>
        <v>ptafr_human__wt</v>
      </c>
      <c r="B230" s="9" t="s">
        <v>371</v>
      </c>
      <c r="C230" s="9" t="s">
        <v>100</v>
      </c>
      <c r="D230" s="9" t="str">
        <f>IFERROR(MID(VLOOKUP($B230,Seqs!$A:$B,2,0),E230,1),"")</f>
        <v>D</v>
      </c>
      <c r="E230" s="9">
        <v>10</v>
      </c>
      <c r="F230" s="9" t="str">
        <f>IFERROR(MID(VLOOKUP($B230,Seqs!$A:$B,2,0),G230,1),"")</f>
        <v>Y</v>
      </c>
      <c r="G230" s="9">
        <v>44</v>
      </c>
      <c r="H230" s="9" t="str">
        <f>IFERROR(MID(VLOOKUP($B230,Seqs!$A:$B,2,0),I230,1),"")</f>
        <v/>
      </c>
      <c r="I230" s="109" t="s">
        <v>23</v>
      </c>
      <c r="J230" s="9" t="str">
        <f>IFERROR(MID(VLOOKUP($B230,Seqs!$A:$B,2,0),K230,1),"")</f>
        <v/>
      </c>
      <c r="K230" s="109" t="s">
        <v>23</v>
      </c>
      <c r="L230" s="9" t="str">
        <f>IFERROR(MID(VLOOKUP($B230,Seqs!$A:$B,2,0),M230,1),"")</f>
        <v>F</v>
      </c>
      <c r="M230" s="9">
        <v>49</v>
      </c>
      <c r="N230" s="9" t="str">
        <f>IFERROR(MID(VLOOKUP($B230,Seqs!$A:$B,2,0),O230,1),"")</f>
        <v>Q</v>
      </c>
      <c r="O230" s="9">
        <v>80</v>
      </c>
      <c r="P230" s="9" t="str">
        <f>IFERROR(MID(VLOOKUP($B230,Seqs!$A:$B,2,0),Q230,1),"")</f>
        <v>N</v>
      </c>
      <c r="Q230" s="9">
        <v>82</v>
      </c>
      <c r="R230" s="9" t="str">
        <f>IFERROR(MID(VLOOKUP($B230,Seqs!$A:$B,2,0),S230,1),"")</f>
        <v>L</v>
      </c>
      <c r="S230" s="9">
        <v>85</v>
      </c>
      <c r="T230" s="9" t="str">
        <f>IFERROR(MID(VLOOKUP($B230,Seqs!$A:$B,2,0),U230,1),"")</f>
        <v>P</v>
      </c>
      <c r="U230" s="9">
        <v>86</v>
      </c>
      <c r="V230" s="9" t="str">
        <f>IFERROR(MID(VLOOKUP($B230,Seqs!$A:$B,2,0),W230,1),"")</f>
        <v>R</v>
      </c>
      <c r="W230" s="9">
        <v>121</v>
      </c>
      <c r="X230" s="9" t="str">
        <f>IFERROR(MID(VLOOKUP($B230,Seqs!$A:$B,2,0),Y230,1),"")</f>
        <v>P</v>
      </c>
      <c r="Y230" s="9">
        <v>122</v>
      </c>
      <c r="Z230" s="9" t="str">
        <f>IFERROR(MID(VLOOKUP($B230,Seqs!$A:$B,2,0),AA230,1),"")</f>
        <v>N</v>
      </c>
      <c r="AA230" s="9">
        <v>129</v>
      </c>
      <c r="AB230" s="9" t="str">
        <f>IFERROR(MID(VLOOKUP($B230,Seqs!$A:$B,2,0),AC230,1),"")</f>
        <v>T</v>
      </c>
      <c r="AC230" s="9">
        <v>130</v>
      </c>
      <c r="AD230" s="9" t="str">
        <f>IFERROR(MID(VLOOKUP($B230,Seqs!$A:$B,2,0),AE230,1),"")</f>
        <v>L</v>
      </c>
      <c r="AE230" s="9">
        <v>155</v>
      </c>
      <c r="AF230" s="9" t="str">
        <f>IFERROR(MID(VLOOKUP($B230,Seqs!$A:$B,2,0),AG230,1),"")</f>
        <v>C</v>
      </c>
      <c r="AG230" s="9">
        <v>173</v>
      </c>
      <c r="AH230" s="9" t="str">
        <f>IFERROR(MID(VLOOKUP($B230,Seqs!$A:$B,2,0),AI230,1),"")</f>
        <v>E</v>
      </c>
      <c r="AI230" s="9">
        <v>175</v>
      </c>
      <c r="AJ230" s="9" t="str">
        <f>IFERROR(MID(VLOOKUP($B230,Seqs!$A:$B,2,0),AK230,1),"")</f>
        <v>S</v>
      </c>
      <c r="AK230" s="9">
        <v>181</v>
      </c>
      <c r="AL230" s="9" t="str">
        <f>IFERROR(MID(VLOOKUP($B230,Seqs!$A:$B,2,0),AM230,1),"")</f>
        <v>Q</v>
      </c>
      <c r="AM230" s="9">
        <v>216</v>
      </c>
      <c r="AN230" s="9" t="str">
        <f>IFERROR(MID(VLOOKUP($B230,Seqs!$A:$B,2,0),AO230,1),"")</f>
        <v>Q</v>
      </c>
      <c r="AO230" s="9">
        <v>221</v>
      </c>
      <c r="AP230" s="9" t="str">
        <f>IFERROR(MID(VLOOKUP($B230,Seqs!$A:$B,2,0),AQ230,1),"")</f>
        <v>G</v>
      </c>
      <c r="AQ230" s="9">
        <v>261</v>
      </c>
      <c r="AR230" s="9" t="str">
        <f>IFERROR(MID(VLOOKUP($B230,Seqs!$A:$B,2,0),AS230,1),"")</f>
        <v>D</v>
      </c>
      <c r="AS230" s="9">
        <v>264</v>
      </c>
      <c r="AT230" s="9" t="str">
        <f>IFERROR(MID(VLOOKUP($B230,Seqs!$A:$B,2,0),AU230,1),"")</f>
        <v>K</v>
      </c>
      <c r="AU230" s="9">
        <v>299</v>
      </c>
      <c r="AV230" s="9" t="str">
        <f>IFERROR(MID(VLOOKUP($B230,Seqs!$A:$B,2,0),AW230,1),"")</f>
        <v>F</v>
      </c>
      <c r="AW230" s="9">
        <v>300</v>
      </c>
      <c r="AX230" s="9" t="str">
        <f>IFERROR(MID(VLOOKUP($B230,Seqs!$A:$B,2,0),AY230,1),"")</f>
        <v>S</v>
      </c>
      <c r="AY230" s="9">
        <v>313</v>
      </c>
      <c r="AZ230" s="110" t="str">
        <f>VLOOKUP(B230,Classification!A:D,2,0)</f>
        <v>A</v>
      </c>
      <c r="BA230" s="98" t="str">
        <f>VLOOKUP(B230,Classification!A:D,4,0)</f>
        <v>Platelet-activatingfactor</v>
      </c>
      <c r="BB230" s="36" t="b">
        <f t="shared" ref="BB230" si="392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9">
        <f t="shared" ref="BC230" si="393">_xlfn.AGGREGATE(9,6,CH230:CS230)-_xlfn.AGGREGATE(9,6,BV230:CG230)+12</f>
        <v>272</v>
      </c>
      <c r="BD230" s="40" t="s">
        <v>23</v>
      </c>
      <c r="BE230" s="9" t="s">
        <v>23</v>
      </c>
      <c r="BF230" s="120" t="s">
        <v>23</v>
      </c>
      <c r="BG230" s="51" t="s">
        <v>1384</v>
      </c>
      <c r="BH230" s="51" t="s">
        <v>1384</v>
      </c>
      <c r="BI230" s="12"/>
      <c r="BJ230" s="111" t="s">
        <v>1293</v>
      </c>
      <c r="BK230" s="112" t="s">
        <v>1293</v>
      </c>
      <c r="BL230" s="112" t="s">
        <v>1293</v>
      </c>
      <c r="BM230" s="112" t="s">
        <v>1293</v>
      </c>
      <c r="BN230" s="112" t="s">
        <v>1293</v>
      </c>
      <c r="BO230" s="112" t="s">
        <v>1293</v>
      </c>
      <c r="BP230" s="112" t="s">
        <v>1293</v>
      </c>
      <c r="BQ230" s="112" t="s">
        <v>1293</v>
      </c>
      <c r="BR230" s="112" t="s">
        <v>1293</v>
      </c>
      <c r="BS230" s="112" t="s">
        <v>1293</v>
      </c>
      <c r="BT230" s="112" t="s">
        <v>1293</v>
      </c>
      <c r="BU230" s="112" t="s">
        <v>1293</v>
      </c>
      <c r="BV230" s="111">
        <f t="shared" ref="BV230" si="394">E230</f>
        <v>10</v>
      </c>
      <c r="BW230" s="113" t="str">
        <f t="shared" ref="BW230" si="395">I230</f>
        <v>-</v>
      </c>
      <c r="BX230" s="114">
        <f t="shared" ref="BX230" si="396">M230</f>
        <v>49</v>
      </c>
      <c r="BY230" s="113">
        <f t="shared" ref="BY230" si="397">Q230</f>
        <v>82</v>
      </c>
      <c r="BZ230" s="114">
        <f t="shared" ref="BZ230" si="398">U230</f>
        <v>86</v>
      </c>
      <c r="CA230" s="113">
        <f t="shared" ref="CA230" si="399">Y230</f>
        <v>122</v>
      </c>
      <c r="CB230" s="114">
        <f t="shared" ref="CB230" si="400">AC230</f>
        <v>130</v>
      </c>
      <c r="CC230" s="113">
        <f t="shared" ref="CC230" si="401">AG230</f>
        <v>173</v>
      </c>
      <c r="CD230" s="114">
        <f t="shared" ref="CD230" si="402">AK230</f>
        <v>181</v>
      </c>
      <c r="CE230" s="113">
        <f t="shared" ref="CE230" si="403">AO230</f>
        <v>221</v>
      </c>
      <c r="CF230" s="114">
        <f t="shared" ref="CF230" si="404">AS230</f>
        <v>264</v>
      </c>
      <c r="CG230" s="113">
        <f t="shared" ref="CG230" si="405">AW230</f>
        <v>300</v>
      </c>
      <c r="CH230" s="111">
        <f t="shared" ref="CH230" si="406">G230</f>
        <v>44</v>
      </c>
      <c r="CI230" s="113" t="str">
        <f t="shared" ref="CI230" si="407">K230</f>
        <v>-</v>
      </c>
      <c r="CJ230" s="114">
        <f t="shared" ref="CJ230" si="408">O230</f>
        <v>80</v>
      </c>
      <c r="CK230" s="114">
        <f t="shared" ref="CK230" si="409">S230</f>
        <v>85</v>
      </c>
      <c r="CL230" s="114">
        <f t="shared" ref="CL230" si="410">W230</f>
        <v>121</v>
      </c>
      <c r="CM230" s="114">
        <f t="shared" ref="CM230" si="411">AA230</f>
        <v>129</v>
      </c>
      <c r="CN230" s="114">
        <f t="shared" ref="CN230" si="412">AE230</f>
        <v>155</v>
      </c>
      <c r="CO230" s="114">
        <f t="shared" ref="CO230" si="413">AI230</f>
        <v>175</v>
      </c>
      <c r="CP230" s="114">
        <f t="shared" ref="CP230" si="414">AM230</f>
        <v>216</v>
      </c>
      <c r="CQ230" s="114">
        <f t="shared" ref="CQ230" si="415">AQ230</f>
        <v>261</v>
      </c>
      <c r="CR230" s="114">
        <f t="shared" ref="CR230" si="416">AU230</f>
        <v>299</v>
      </c>
      <c r="CS230" s="114">
        <f t="shared" ref="CS230" si="417">AY230</f>
        <v>313</v>
      </c>
      <c r="CT230" s="109" t="e">
        <f t="shared" ref="CT230" si="418">M230-K230</f>
        <v>#VALUE!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9" t="str">
        <f t="shared" ref="A231" si="419">CONCATENATE(B231,"_",C231)</f>
        <v>ptafr_human_5ZKP</v>
      </c>
      <c r="B231" s="9" t="s">
        <v>371</v>
      </c>
      <c r="C231" s="9" t="s">
        <v>1521</v>
      </c>
      <c r="D231" s="9" t="str">
        <f>IFERROR(MID(VLOOKUP($B231,Seqs!$A:$B,2,0),E231,1),"")</f>
        <v>S</v>
      </c>
      <c r="E231" s="9">
        <v>11</v>
      </c>
      <c r="F231" s="9" t="str">
        <f>IFERROR(MID(VLOOKUP($B231,Seqs!$A:$B,2,0),G231,1),"")</f>
        <v>Y</v>
      </c>
      <c r="G231" s="9">
        <v>44</v>
      </c>
      <c r="H231" s="9" t="str">
        <f>IFERROR(MID(VLOOKUP($B231,Seqs!$A:$B,2,0),I231,1),"")</f>
        <v/>
      </c>
      <c r="I231" s="109" t="s">
        <v>23</v>
      </c>
      <c r="J231" s="9" t="str">
        <f>IFERROR(MID(VLOOKUP($B231,Seqs!$A:$B,2,0),K231,1),"")</f>
        <v/>
      </c>
      <c r="K231" s="109" t="s">
        <v>23</v>
      </c>
      <c r="L231" s="9" t="str">
        <f>IFERROR(MID(VLOOKUP($B231,Seqs!$A:$B,2,0),M231,1),"")</f>
        <v>F</v>
      </c>
      <c r="M231" s="9">
        <v>49</v>
      </c>
      <c r="N231" s="9" t="str">
        <f>IFERROR(MID(VLOOKUP($B231,Seqs!$A:$B,2,0),O231,1),"")</f>
        <v>Q</v>
      </c>
      <c r="O231" s="9">
        <v>80</v>
      </c>
      <c r="P231" s="9" t="str">
        <f>IFERROR(MID(VLOOKUP($B231,Seqs!$A:$B,2,0),Q231,1),"")</f>
        <v>N</v>
      </c>
      <c r="Q231" s="9">
        <v>82</v>
      </c>
      <c r="R231" s="9" t="str">
        <f>IFERROR(MID(VLOOKUP($B231,Seqs!$A:$B,2,0),S231,1),"")</f>
        <v>L</v>
      </c>
      <c r="S231" s="9">
        <v>85</v>
      </c>
      <c r="T231" s="9" t="str">
        <f>IFERROR(MID(VLOOKUP($B231,Seqs!$A:$B,2,0),U231,1),"")</f>
        <v>P</v>
      </c>
      <c r="U231" s="9">
        <v>86</v>
      </c>
      <c r="V231" s="9" t="str">
        <f>IFERROR(MID(VLOOKUP($B231,Seqs!$A:$B,2,0),W231,1),"")</f>
        <v>T</v>
      </c>
      <c r="W231" s="9">
        <v>120</v>
      </c>
      <c r="X231" s="9" t="str">
        <f>IFERROR(MID(VLOOKUP($B231,Seqs!$A:$B,2,0),Y231,1),"")</f>
        <v/>
      </c>
      <c r="Y231" s="9" t="s">
        <v>23</v>
      </c>
      <c r="Z231" s="9" t="str">
        <f>IFERROR(MID(VLOOKUP($B231,Seqs!$A:$B,2,0),AA231,1),"")</f>
        <v/>
      </c>
      <c r="AA231" s="9" t="s">
        <v>23</v>
      </c>
      <c r="AB231" s="9" t="str">
        <f>IFERROR(MID(VLOOKUP($B231,Seqs!$A:$B,2,0),AC231,1),"")</f>
        <v>I</v>
      </c>
      <c r="AC231" s="9">
        <v>141</v>
      </c>
      <c r="AD231" s="9" t="str">
        <f>IFERROR(MID(VLOOKUP($B231,Seqs!$A:$B,2,0),AE231,1),"")</f>
        <v>L</v>
      </c>
      <c r="AE231" s="9">
        <v>155</v>
      </c>
      <c r="AF231" s="9" t="str">
        <f>IFERROR(MID(VLOOKUP($B231,Seqs!$A:$B,2,0),AG231,1),"")</f>
        <v>C</v>
      </c>
      <c r="AG231" s="9">
        <v>173</v>
      </c>
      <c r="AH231" s="9" t="str">
        <f>IFERROR(MID(VLOOKUP($B231,Seqs!$A:$B,2,0),AI231,1),"")</f>
        <v>E</v>
      </c>
      <c r="AI231" s="9">
        <v>175</v>
      </c>
      <c r="AJ231" s="9" t="str">
        <f>IFERROR(MID(VLOOKUP($B231,Seqs!$A:$B,2,0),AK231,1),"")</f>
        <v>P</v>
      </c>
      <c r="AK231" s="9">
        <v>183</v>
      </c>
      <c r="AL231" s="9" t="str">
        <f>IFERROR(MID(VLOOKUP($B231,Seqs!$A:$B,2,0),AM231,1),"")</f>
        <v>L</v>
      </c>
      <c r="AM231" s="9">
        <v>214</v>
      </c>
      <c r="AN231" s="9" t="str">
        <f>IFERROR(MID(VLOOKUP($B231,Seqs!$A:$B,2,0),AO231,1),"")</f>
        <v>A</v>
      </c>
      <c r="AO231" s="9">
        <v>224</v>
      </c>
      <c r="AP231" s="9" t="str">
        <f>IFERROR(MID(VLOOKUP($B231,Seqs!$A:$B,2,0),AQ231,1),"")</f>
        <v>G</v>
      </c>
      <c r="AQ231" s="9">
        <v>261</v>
      </c>
      <c r="AR231" s="9" t="str">
        <f>IFERROR(MID(VLOOKUP($B231,Seqs!$A:$B,2,0),AS231,1),"")</f>
        <v>D</v>
      </c>
      <c r="AS231" s="9">
        <v>264</v>
      </c>
      <c r="AT231" s="9" t="str">
        <f>IFERROR(MID(VLOOKUP($B231,Seqs!$A:$B,2,0),AU231,1),"")</f>
        <v>K</v>
      </c>
      <c r="AU231" s="9">
        <v>299</v>
      </c>
      <c r="AV231" s="9" t="str">
        <f>IFERROR(MID(VLOOKUP($B231,Seqs!$A:$B,2,0),AW231,1),"")</f>
        <v>F</v>
      </c>
      <c r="AW231" s="9">
        <v>300</v>
      </c>
      <c r="AX231" s="9" t="str">
        <f>IFERROR(MID(VLOOKUP($B231,Seqs!$A:$B,2,0),AY231,1),"")</f>
        <v>S</v>
      </c>
      <c r="AY231" s="9">
        <v>313</v>
      </c>
      <c r="AZ231" s="110" t="str">
        <f>VLOOKUP(B231,Classification!A:D,2,0)</f>
        <v>A</v>
      </c>
      <c r="BA231" s="98" t="str">
        <f>VLOOKUP(B231,Classification!A:D,4,0)</f>
        <v>Platelet-activatingfactor</v>
      </c>
      <c r="BB231" s="36" t="b">
        <f t="shared" ref="BB231" si="420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9">
        <f t="shared" ref="BC231" si="421">_xlfn.AGGREGATE(9,6,CH231:CS231)-_xlfn.AGGREGATE(9,6,BV231:CG231)+12</f>
        <v>245</v>
      </c>
      <c r="BD231" s="40" t="s">
        <v>1382</v>
      </c>
      <c r="BE231" s="9" t="s">
        <v>1297</v>
      </c>
      <c r="BF231" s="120">
        <v>2.81</v>
      </c>
      <c r="BG231" s="51" t="s">
        <v>1</v>
      </c>
      <c r="BH231" s="51" t="s">
        <v>1</v>
      </c>
      <c r="BI231" s="12"/>
      <c r="BJ231" s="111" t="s">
        <v>1293</v>
      </c>
      <c r="BK231" s="112" t="s">
        <v>1293</v>
      </c>
      <c r="BL231" s="112" t="s">
        <v>1293</v>
      </c>
      <c r="BM231" s="112" t="s">
        <v>1293</v>
      </c>
      <c r="BN231" s="112" t="s">
        <v>1293</v>
      </c>
      <c r="BO231" s="112" t="s">
        <v>1293</v>
      </c>
      <c r="BP231" s="112" t="s">
        <v>1293</v>
      </c>
      <c r="BQ231" s="112" t="s">
        <v>1293</v>
      </c>
      <c r="BR231" s="112" t="s">
        <v>1293</v>
      </c>
      <c r="BS231" s="112" t="s">
        <v>1293</v>
      </c>
      <c r="BT231" s="112" t="s">
        <v>1293</v>
      </c>
      <c r="BU231" s="112" t="s">
        <v>1293</v>
      </c>
      <c r="BV231" s="111">
        <f t="shared" ref="BV231" si="422">E231</f>
        <v>11</v>
      </c>
      <c r="BW231" s="113" t="str">
        <f t="shared" ref="BW231" si="423">I231</f>
        <v>-</v>
      </c>
      <c r="BX231" s="114">
        <f t="shared" ref="BX231" si="424">M231</f>
        <v>49</v>
      </c>
      <c r="BY231" s="113">
        <f t="shared" ref="BY231" si="425">Q231</f>
        <v>82</v>
      </c>
      <c r="BZ231" s="114">
        <f t="shared" ref="BZ231" si="426">U231</f>
        <v>86</v>
      </c>
      <c r="CA231" s="113" t="str">
        <f t="shared" ref="CA231" si="427">Y231</f>
        <v>-</v>
      </c>
      <c r="CB231" s="114">
        <f t="shared" ref="CB231" si="428">AC231</f>
        <v>141</v>
      </c>
      <c r="CC231" s="113">
        <f t="shared" ref="CC231" si="429">AG231</f>
        <v>173</v>
      </c>
      <c r="CD231" s="114">
        <f t="shared" ref="CD231" si="430">AK231</f>
        <v>183</v>
      </c>
      <c r="CE231" s="113">
        <f t="shared" ref="CE231" si="431">AO231</f>
        <v>224</v>
      </c>
      <c r="CF231" s="114">
        <f t="shared" ref="CF231" si="432">AS231</f>
        <v>264</v>
      </c>
      <c r="CG231" s="113">
        <f t="shared" ref="CG231" si="433">AW231</f>
        <v>300</v>
      </c>
      <c r="CH231" s="111">
        <f t="shared" ref="CH231" si="434">G231</f>
        <v>44</v>
      </c>
      <c r="CI231" s="113" t="str">
        <f t="shared" ref="CI231" si="435">K231</f>
        <v>-</v>
      </c>
      <c r="CJ231" s="114">
        <f t="shared" ref="CJ231" si="436">O231</f>
        <v>80</v>
      </c>
      <c r="CK231" s="114">
        <f t="shared" ref="CK231" si="437">S231</f>
        <v>85</v>
      </c>
      <c r="CL231" s="114">
        <f t="shared" ref="CL231" si="438">W231</f>
        <v>120</v>
      </c>
      <c r="CM231" s="114" t="str">
        <f t="shared" ref="CM231" si="439">AA231</f>
        <v>-</v>
      </c>
      <c r="CN231" s="114">
        <f t="shared" ref="CN231" si="440">AE231</f>
        <v>155</v>
      </c>
      <c r="CO231" s="114">
        <f t="shared" ref="CO231" si="441">AI231</f>
        <v>175</v>
      </c>
      <c r="CP231" s="114">
        <f t="shared" ref="CP231" si="442">AM231</f>
        <v>214</v>
      </c>
      <c r="CQ231" s="114">
        <f t="shared" ref="CQ231" si="443">AQ231</f>
        <v>261</v>
      </c>
      <c r="CR231" s="114">
        <f t="shared" ref="CR231" si="444">AU231</f>
        <v>299</v>
      </c>
      <c r="CS231" s="114">
        <f t="shared" ref="CS231" si="445">AY231</f>
        <v>313</v>
      </c>
      <c r="CT231" s="109" t="e">
        <f t="shared" ref="CT231" si="446">M231-K231</f>
        <v>#VALUE!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9" t="str">
        <f t="shared" ref="A232" si="447">CONCATENATE(B232,"_",C232)</f>
        <v>ptafr_human_5ZKQ</v>
      </c>
      <c r="B232" s="9" t="s">
        <v>371</v>
      </c>
      <c r="C232" s="9" t="s">
        <v>1523</v>
      </c>
      <c r="D232" s="9" t="str">
        <f>IFERROR(MID(VLOOKUP($B232,Seqs!$A:$B,2,0),E232,1),"")</f>
        <v>D</v>
      </c>
      <c r="E232" s="9">
        <v>10</v>
      </c>
      <c r="F232" s="9" t="str">
        <f>IFERROR(MID(VLOOKUP($B232,Seqs!$A:$B,2,0),G232,1),"")</f>
        <v>L</v>
      </c>
      <c r="G232" s="9">
        <v>43</v>
      </c>
      <c r="H232" s="9" t="str">
        <f>IFERROR(MID(VLOOKUP($B232,Seqs!$A:$B,2,0),I232,1),"")</f>
        <v/>
      </c>
      <c r="I232" s="109" t="s">
        <v>23</v>
      </c>
      <c r="J232" s="9" t="str">
        <f>IFERROR(MID(VLOOKUP($B232,Seqs!$A:$B,2,0),K232,1),"")</f>
        <v/>
      </c>
      <c r="K232" s="109" t="s">
        <v>23</v>
      </c>
      <c r="L232" s="9" t="str">
        <f>IFERROR(MID(VLOOKUP($B232,Seqs!$A:$B,2,0),M232,1),"")</f>
        <v>F</v>
      </c>
      <c r="M232" s="9">
        <v>49</v>
      </c>
      <c r="N232" s="9" t="str">
        <f>IFERROR(MID(VLOOKUP($B232,Seqs!$A:$B,2,0),O232,1),"")</f>
        <v>Q</v>
      </c>
      <c r="O232" s="9">
        <v>80</v>
      </c>
      <c r="P232" s="9" t="str">
        <f>IFERROR(MID(VLOOKUP($B232,Seqs!$A:$B,2,0),Q232,1),"")</f>
        <v>N</v>
      </c>
      <c r="Q232" s="9">
        <v>82</v>
      </c>
      <c r="R232" s="9" t="str">
        <f>IFERROR(MID(VLOOKUP($B232,Seqs!$A:$B,2,0),S232,1),"")</f>
        <v>L</v>
      </c>
      <c r="S232" s="9">
        <v>85</v>
      </c>
      <c r="T232" s="9" t="str">
        <f>IFERROR(MID(VLOOKUP($B232,Seqs!$A:$B,2,0),U232,1),"")</f>
        <v>P</v>
      </c>
      <c r="U232" s="9">
        <v>86</v>
      </c>
      <c r="V232" s="9" t="str">
        <f>IFERROR(MID(VLOOKUP($B232,Seqs!$A:$B,2,0),W232,1),"")</f>
        <v>R</v>
      </c>
      <c r="W232" s="9">
        <v>121</v>
      </c>
      <c r="X232" s="9" t="str">
        <f>IFERROR(MID(VLOOKUP($B232,Seqs!$A:$B,2,0),Y232,1),"")</f>
        <v/>
      </c>
      <c r="Y232" s="9" t="s">
        <v>23</v>
      </c>
      <c r="Z232" s="9" t="str">
        <f>IFERROR(MID(VLOOKUP($B232,Seqs!$A:$B,2,0),AA232,1),"")</f>
        <v/>
      </c>
      <c r="AA232" s="9" t="s">
        <v>23</v>
      </c>
      <c r="AB232" s="9" t="str">
        <f>IFERROR(MID(VLOOKUP($B232,Seqs!$A:$B,2,0),AC232,1),"")</f>
        <v>T</v>
      </c>
      <c r="AC232" s="9">
        <v>130</v>
      </c>
      <c r="AD232" s="9" t="str">
        <f>IFERROR(MID(VLOOKUP($B232,Seqs!$A:$B,2,0),AE232,1),"")</f>
        <v>I</v>
      </c>
      <c r="AE232" s="9">
        <v>154</v>
      </c>
      <c r="AF232" s="9" t="str">
        <f>IFERROR(MID(VLOOKUP($B232,Seqs!$A:$B,2,0),AG232,1),"")</f>
        <v>C</v>
      </c>
      <c r="AG232" s="9">
        <v>173</v>
      </c>
      <c r="AH232" s="9" t="str">
        <f>IFERROR(MID(VLOOKUP($B232,Seqs!$A:$B,2,0),AI232,1),"")</f>
        <v>E</v>
      </c>
      <c r="AI232" s="9">
        <v>175</v>
      </c>
      <c r="AJ232" s="9" t="str">
        <f>IFERROR(MID(VLOOKUP($B232,Seqs!$A:$B,2,0),AK232,1),"")</f>
        <v>S</v>
      </c>
      <c r="AK232" s="9">
        <v>181</v>
      </c>
      <c r="AL232" s="9" t="str">
        <f>IFERROR(MID(VLOOKUP($B232,Seqs!$A:$B,2,0),AM232,1),"")</f>
        <v>M</v>
      </c>
      <c r="AM232" s="9">
        <v>215</v>
      </c>
      <c r="AN232" s="9" t="str">
        <f>IFERROR(MID(VLOOKUP($B232,Seqs!$A:$B,2,0),AO232,1),"")</f>
        <v>K</v>
      </c>
      <c r="AO232" s="9">
        <v>227</v>
      </c>
      <c r="AP232" s="9" t="str">
        <f>IFERROR(MID(VLOOKUP($B232,Seqs!$A:$B,2,0),AQ232,1),"")</f>
        <v>G</v>
      </c>
      <c r="AQ232" s="9">
        <v>261</v>
      </c>
      <c r="AR232" s="9" t="str">
        <f>IFERROR(MID(VLOOKUP($B232,Seqs!$A:$B,2,0),AS232,1),"")</f>
        <v>D</v>
      </c>
      <c r="AS232" s="9">
        <v>264</v>
      </c>
      <c r="AT232" s="9" t="str">
        <f>IFERROR(MID(VLOOKUP($B232,Seqs!$A:$B,2,0),AU232,1),"")</f>
        <v>T</v>
      </c>
      <c r="AU232" s="9">
        <v>297</v>
      </c>
      <c r="AV232" s="9" t="str">
        <f>IFERROR(MID(VLOOKUP($B232,Seqs!$A:$B,2,0),AW232,1),"")</f>
        <v/>
      </c>
      <c r="AW232" s="9" t="s">
        <v>23</v>
      </c>
      <c r="AX232" s="9" t="str">
        <f>IFERROR(MID(VLOOKUP($B232,Seqs!$A:$B,2,0),AY232,1),"")</f>
        <v/>
      </c>
      <c r="AY232" s="9" t="s">
        <v>23</v>
      </c>
      <c r="AZ232" s="110" t="str">
        <f>VLOOKUP(B232,Classification!A:D,2,0)</f>
        <v>A</v>
      </c>
      <c r="BA232" s="98" t="str">
        <f>VLOOKUP(B232,Classification!A:D,4,0)</f>
        <v>Platelet-activatingfactor</v>
      </c>
      <c r="BB232" s="36" t="b">
        <f t="shared" ref="BB232" si="448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109">
        <f t="shared" ref="BC232" si="449">_xlfn.AGGREGATE(9,6,CH232:CS232)-_xlfn.AGGREGATE(9,6,BV232:CG232)+12</f>
        <v>241</v>
      </c>
      <c r="BD232" s="40" t="s">
        <v>1440</v>
      </c>
      <c r="BE232" s="9" t="s">
        <v>1439</v>
      </c>
      <c r="BF232" s="120">
        <v>2.9</v>
      </c>
      <c r="BG232" s="51" t="s">
        <v>1287</v>
      </c>
      <c r="BH232" s="51" t="s">
        <v>1287</v>
      </c>
      <c r="BI232" s="12"/>
      <c r="BJ232" s="111" t="s">
        <v>1293</v>
      </c>
      <c r="BK232" s="112" t="s">
        <v>1293</v>
      </c>
      <c r="BL232" s="112" t="s">
        <v>1293</v>
      </c>
      <c r="BM232" s="112" t="s">
        <v>1293</v>
      </c>
      <c r="BN232" s="112" t="s">
        <v>1293</v>
      </c>
      <c r="BO232" s="112" t="s">
        <v>1293</v>
      </c>
      <c r="BP232" s="112" t="s">
        <v>1293</v>
      </c>
      <c r="BQ232" s="112" t="s">
        <v>1293</v>
      </c>
      <c r="BR232" s="112" t="s">
        <v>1293</v>
      </c>
      <c r="BS232" s="112" t="s">
        <v>1293</v>
      </c>
      <c r="BT232" s="112" t="s">
        <v>1293</v>
      </c>
      <c r="BU232" s="112" t="s">
        <v>1293</v>
      </c>
      <c r="BV232" s="111">
        <f t="shared" ref="BV232" si="450">E232</f>
        <v>10</v>
      </c>
      <c r="BW232" s="113" t="str">
        <f t="shared" ref="BW232" si="451">I232</f>
        <v>-</v>
      </c>
      <c r="BX232" s="114">
        <f t="shared" ref="BX232" si="452">M232</f>
        <v>49</v>
      </c>
      <c r="BY232" s="113">
        <f t="shared" ref="BY232" si="453">Q232</f>
        <v>82</v>
      </c>
      <c r="BZ232" s="114">
        <f t="shared" ref="BZ232" si="454">U232</f>
        <v>86</v>
      </c>
      <c r="CA232" s="113" t="str">
        <f t="shared" ref="CA232" si="455">Y232</f>
        <v>-</v>
      </c>
      <c r="CB232" s="114">
        <f t="shared" ref="CB232" si="456">AC232</f>
        <v>130</v>
      </c>
      <c r="CC232" s="113">
        <f t="shared" ref="CC232" si="457">AG232</f>
        <v>173</v>
      </c>
      <c r="CD232" s="114">
        <f t="shared" ref="CD232" si="458">AK232</f>
        <v>181</v>
      </c>
      <c r="CE232" s="113">
        <f t="shared" ref="CE232" si="459">AO232</f>
        <v>227</v>
      </c>
      <c r="CF232" s="114">
        <f t="shared" ref="CF232" si="460">AS232</f>
        <v>264</v>
      </c>
      <c r="CG232" s="113" t="str">
        <f t="shared" ref="CG232" si="461">AW232</f>
        <v>-</v>
      </c>
      <c r="CH232" s="111">
        <f t="shared" ref="CH232" si="462">G232</f>
        <v>43</v>
      </c>
      <c r="CI232" s="113" t="str">
        <f t="shared" ref="CI232" si="463">K232</f>
        <v>-</v>
      </c>
      <c r="CJ232" s="114">
        <f t="shared" ref="CJ232" si="464">O232</f>
        <v>80</v>
      </c>
      <c r="CK232" s="114">
        <f t="shared" ref="CK232" si="465">S232</f>
        <v>85</v>
      </c>
      <c r="CL232" s="114">
        <f t="shared" ref="CL232" si="466">W232</f>
        <v>121</v>
      </c>
      <c r="CM232" s="114" t="str">
        <f t="shared" ref="CM232" si="467">AA232</f>
        <v>-</v>
      </c>
      <c r="CN232" s="114">
        <f t="shared" ref="CN232" si="468">AE232</f>
        <v>154</v>
      </c>
      <c r="CO232" s="114">
        <f t="shared" ref="CO232" si="469">AI232</f>
        <v>175</v>
      </c>
      <c r="CP232" s="114">
        <f t="shared" ref="CP232" si="470">AM232</f>
        <v>215</v>
      </c>
      <c r="CQ232" s="114">
        <f t="shared" ref="CQ232" si="471">AQ232</f>
        <v>261</v>
      </c>
      <c r="CR232" s="114">
        <f t="shared" ref="CR232" si="472">AU232</f>
        <v>297</v>
      </c>
      <c r="CS232" s="114" t="str">
        <f t="shared" ref="CS232" si="473">AY232</f>
        <v>-</v>
      </c>
      <c r="CT232" s="109" t="e">
        <f t="shared" ref="CT232" si="474">M232-K232</f>
        <v>#VALUE!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363"/>
        <v>q08bg4_danre__wt</v>
      </c>
      <c r="B233" s="3" t="s">
        <v>1451</v>
      </c>
      <c r="C233" s="3" t="s">
        <v>100</v>
      </c>
      <c r="D233" s="3" t="str">
        <f>IFERROR(MID(VLOOKUP($B233,Seqs!$A:$B,2,0),E233,1),"")</f>
        <v>K</v>
      </c>
      <c r="E233" s="3">
        <v>26</v>
      </c>
      <c r="F233" s="3" t="str">
        <f>IFERROR(MID(VLOOKUP($B233,Seqs!$A:$B,2,0),G233,1),"")</f>
        <v>S</v>
      </c>
      <c r="G233" s="3">
        <v>55</v>
      </c>
      <c r="H233" s="3" t="str">
        <f>IFERROR(MID(VLOOKUP($B233,Seqs!$A:$B,2,0),I233,1),"")</f>
        <v>L</v>
      </c>
      <c r="I233" s="23">
        <v>56</v>
      </c>
      <c r="J233" s="3" t="str">
        <f>IFERROR(MID(VLOOKUP($B233,Seqs!$A:$B,2,0),K233,1),"")</f>
        <v>R</v>
      </c>
      <c r="K233" s="23">
        <v>59</v>
      </c>
      <c r="L233" s="3" t="str">
        <f>IFERROR(MID(VLOOKUP($B233,Seqs!$A:$B,2,0),M233,1),"")</f>
        <v>N</v>
      </c>
      <c r="M233" s="3">
        <v>60</v>
      </c>
      <c r="N233" s="3" t="str">
        <f>IFERROR(MID(VLOOKUP($B233,Seqs!$A:$B,2,0),O233,1),"")</f>
        <v>Q</v>
      </c>
      <c r="O233" s="3">
        <v>89</v>
      </c>
      <c r="P233" s="3" t="str">
        <f>IFERROR(MID(VLOOKUP($B233,Seqs!$A:$B,2,0),Q233,1),"")</f>
        <v>Q</v>
      </c>
      <c r="Q233" s="3">
        <v>90</v>
      </c>
      <c r="R233" s="3" t="str">
        <f>IFERROR(MID(VLOOKUP($B233,Seqs!$A:$B,2,0),S233,1),"")</f>
        <v>F</v>
      </c>
      <c r="S233" s="3">
        <v>94</v>
      </c>
      <c r="T233" s="3" t="str">
        <f>IFERROR(MID(VLOOKUP($B233,Seqs!$A:$B,2,0),U233,1),"")</f>
        <v>G</v>
      </c>
      <c r="U233" s="3">
        <v>95</v>
      </c>
      <c r="V233" s="3" t="str">
        <f>IFERROR(MID(VLOOKUP($B233,Seqs!$A:$B,2,0),W233,1),"")</f>
        <v>Y</v>
      </c>
      <c r="W233" s="3">
        <v>130</v>
      </c>
      <c r="X233" s="3" t="str">
        <f>IFERROR(MID(VLOOKUP($B233,Seqs!$A:$B,2,0),Y233,1),"")</f>
        <v>P</v>
      </c>
      <c r="Y233" s="3">
        <v>131</v>
      </c>
      <c r="Z233" s="3" t="str">
        <f>IFERROR(MID(VLOOKUP($B233,Seqs!$A:$B,2,0),AA233,1),"")</f>
        <v>R</v>
      </c>
      <c r="AA233" s="3">
        <v>138</v>
      </c>
      <c r="AB233" s="3" t="str">
        <f>IFERROR(MID(VLOOKUP($B233,Seqs!$A:$B,2,0),AC233,1),"")</f>
        <v>T</v>
      </c>
      <c r="AC233" s="3">
        <v>139</v>
      </c>
      <c r="AD233" s="3" t="str">
        <f>IFERROR(MID(VLOOKUP($B233,Seqs!$A:$B,2,0),AE233,1),"")</f>
        <v>N</v>
      </c>
      <c r="AE233" s="3">
        <v>166</v>
      </c>
      <c r="AF233" s="3" t="str">
        <f>IFERROR(MID(VLOOKUP($B233,Seqs!$A:$B,2,0),AG233,1),"")</f>
        <v>C</v>
      </c>
      <c r="AG233" s="3">
        <v>178</v>
      </c>
      <c r="AH233" s="3" t="str">
        <f>IFERROR(MID(VLOOKUP($B233,Seqs!$A:$B,2,0),AI233,1),"")</f>
        <v>E</v>
      </c>
      <c r="AI233" s="3">
        <v>180</v>
      </c>
      <c r="AJ233" s="3" t="str">
        <f>IFERROR(MID(VLOOKUP($B233,Seqs!$A:$B,2,0),AK233,1),"")</f>
        <v>W</v>
      </c>
      <c r="AK233" s="3">
        <v>187</v>
      </c>
      <c r="AL233" s="3" t="str">
        <f>IFERROR(MID(VLOOKUP($B233,Seqs!$A:$B,2,0),AM233,1),"")</f>
        <v>R</v>
      </c>
      <c r="AM233" s="3">
        <v>223</v>
      </c>
      <c r="AN233" s="3" t="str">
        <f>IFERROR(MID(VLOOKUP($B233,Seqs!$A:$B,2,0),AO233,1),"")</f>
        <v>N</v>
      </c>
      <c r="AO233" s="3">
        <v>234</v>
      </c>
      <c r="AP233" s="3" t="str">
        <f>IFERROR(MID(VLOOKUP($B233,Seqs!$A:$B,2,0),AQ233,1),"")</f>
        <v>N</v>
      </c>
      <c r="AQ233" s="3">
        <v>269</v>
      </c>
      <c r="AR233" s="3" t="str">
        <f>IFERROR(MID(VLOOKUP($B233,Seqs!$A:$B,2,0),AS233,1),"")</f>
        <v>G</v>
      </c>
      <c r="AS233" s="3">
        <v>273</v>
      </c>
      <c r="AT233" s="3" t="str">
        <f>IFERROR(MID(VLOOKUP($B233,Seqs!$A:$B,2,0),AU233,1),"")</f>
        <v>T</v>
      </c>
      <c r="AU233" s="3">
        <v>305</v>
      </c>
      <c r="AV233" s="3" t="str">
        <f>IFERROR(MID(VLOOKUP($B233,Seqs!$A:$B,2,0),AW233,1),"")</f>
        <v>S</v>
      </c>
      <c r="AW233" s="3">
        <v>306</v>
      </c>
      <c r="AX233" s="3" t="str">
        <f>IFERROR(MID(VLOOKUP($B233,Seqs!$A:$B,2,0),AY233,1),"")</f>
        <v>G</v>
      </c>
      <c r="AY233" s="3">
        <v>320</v>
      </c>
      <c r="AZ233" s="77" t="str">
        <f>VLOOKUP(B233,Classification!A:D,2,0)</f>
        <v>A</v>
      </c>
      <c r="BA233" s="94" t="str">
        <f>VLOOKUP(B233,Classification!A:D,4,0)</f>
        <v>Lysophospholipid(LPA)</v>
      </c>
      <c r="BB233" s="27" t="b">
        <f t="shared" si="364"/>
        <v>1</v>
      </c>
      <c r="BC233" s="23">
        <f t="shared" si="365"/>
        <v>265</v>
      </c>
      <c r="BD233" s="2" t="s">
        <v>23</v>
      </c>
      <c r="BE233" s="3" t="s">
        <v>23</v>
      </c>
      <c r="BF233" s="119" t="s">
        <v>23</v>
      </c>
      <c r="BG233" s="49" t="s">
        <v>1</v>
      </c>
      <c r="BH233" s="49" t="s">
        <v>1384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366"/>
        <v>26</v>
      </c>
      <c r="BW233" s="71">
        <f t="shared" si="367"/>
        <v>56</v>
      </c>
      <c r="BX233" s="72">
        <f t="shared" si="368"/>
        <v>60</v>
      </c>
      <c r="BY233" s="71">
        <f t="shared" si="369"/>
        <v>90</v>
      </c>
      <c r="BZ233" s="72">
        <f t="shared" si="370"/>
        <v>95</v>
      </c>
      <c r="CA233" s="71">
        <f t="shared" si="371"/>
        <v>131</v>
      </c>
      <c r="CB233" s="72">
        <f t="shared" si="372"/>
        <v>139</v>
      </c>
      <c r="CC233" s="71">
        <f t="shared" si="373"/>
        <v>178</v>
      </c>
      <c r="CD233" s="72">
        <f t="shared" si="374"/>
        <v>187</v>
      </c>
      <c r="CE233" s="71">
        <f t="shared" si="375"/>
        <v>234</v>
      </c>
      <c r="CF233" s="72">
        <f t="shared" si="376"/>
        <v>273</v>
      </c>
      <c r="CG233" s="71">
        <f t="shared" si="377"/>
        <v>306</v>
      </c>
      <c r="CH233" s="70">
        <f t="shared" si="378"/>
        <v>55</v>
      </c>
      <c r="CI233" s="71">
        <f t="shared" si="379"/>
        <v>59</v>
      </c>
      <c r="CJ233" s="72">
        <f t="shared" si="380"/>
        <v>89</v>
      </c>
      <c r="CK233" s="72">
        <f t="shared" si="381"/>
        <v>94</v>
      </c>
      <c r="CL233" s="72">
        <f t="shared" si="382"/>
        <v>130</v>
      </c>
      <c r="CM233" s="72">
        <f t="shared" si="383"/>
        <v>138</v>
      </c>
      <c r="CN233" s="72">
        <f t="shared" si="384"/>
        <v>166</v>
      </c>
      <c r="CO233" s="72">
        <f t="shared" si="385"/>
        <v>180</v>
      </c>
      <c r="CP233" s="72">
        <f t="shared" si="386"/>
        <v>223</v>
      </c>
      <c r="CQ233" s="72">
        <f t="shared" si="387"/>
        <v>269</v>
      </c>
      <c r="CR233" s="72">
        <f t="shared" si="388"/>
        <v>305</v>
      </c>
      <c r="CS233" s="72">
        <f t="shared" si="389"/>
        <v>320</v>
      </c>
      <c r="CT233" s="23">
        <f t="shared" si="390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si="363"/>
        <v>q08bg4_danre_5XSZ</v>
      </c>
      <c r="B234" s="3" t="s">
        <v>1451</v>
      </c>
      <c r="C234" s="3" t="s">
        <v>1453</v>
      </c>
      <c r="D234" s="3" t="str">
        <f>IFERROR(MID(VLOOKUP($B234,Seqs!$A:$B,2,0),E234,1),"")</f>
        <v>K</v>
      </c>
      <c r="E234" s="3">
        <v>26</v>
      </c>
      <c r="F234" s="3" t="str">
        <f>IFERROR(MID(VLOOKUP($B234,Seqs!$A:$B,2,0),G234,1),"")</f>
        <v>S</v>
      </c>
      <c r="G234" s="3">
        <v>55</v>
      </c>
      <c r="H234" s="3" t="str">
        <f>IFERROR(MID(VLOOKUP($B234,Seqs!$A:$B,2,0),I234,1),"")</f>
        <v/>
      </c>
      <c r="I234" s="23" t="s">
        <v>23</v>
      </c>
      <c r="J234" s="3" t="str">
        <f>IFERROR(MID(VLOOKUP($B234,Seqs!$A:$B,2,0),K234,1),"")</f>
        <v/>
      </c>
      <c r="K234" s="23" t="s">
        <v>23</v>
      </c>
      <c r="L234" s="3" t="str">
        <f>IFERROR(MID(VLOOKUP($B234,Seqs!$A:$B,2,0),M234,1),"")</f>
        <v>N</v>
      </c>
      <c r="M234" s="3">
        <v>60</v>
      </c>
      <c r="N234" s="3" t="str">
        <f>IFERROR(MID(VLOOKUP($B234,Seqs!$A:$B,2,0),O234,1),"")</f>
        <v>Q</v>
      </c>
      <c r="O234" s="3">
        <v>89</v>
      </c>
      <c r="P234" s="3" t="str">
        <f>IFERROR(MID(VLOOKUP($B234,Seqs!$A:$B,2,0),Q234,1),"")</f>
        <v>Q</v>
      </c>
      <c r="Q234" s="3">
        <v>90</v>
      </c>
      <c r="R234" s="3" t="str">
        <f>IFERROR(MID(VLOOKUP($B234,Seqs!$A:$B,2,0),S234,1),"")</f>
        <v>F</v>
      </c>
      <c r="S234" s="3">
        <v>94</v>
      </c>
      <c r="T234" s="3" t="str">
        <f>IFERROR(MID(VLOOKUP($B234,Seqs!$A:$B,2,0),U234,1),"")</f>
        <v>G</v>
      </c>
      <c r="U234" s="3">
        <v>95</v>
      </c>
      <c r="V234" s="3" t="str">
        <f>IFERROR(MID(VLOOKUP($B234,Seqs!$A:$B,2,0),W234,1),"")</f>
        <v>Y</v>
      </c>
      <c r="W234" s="3">
        <v>130</v>
      </c>
      <c r="X234" s="3" t="str">
        <f>IFERROR(MID(VLOOKUP($B234,Seqs!$A:$B,2,0),Y234,1),"")</f>
        <v>P</v>
      </c>
      <c r="Y234" s="3">
        <v>131</v>
      </c>
      <c r="Z234" s="3" t="str">
        <f>IFERROR(MID(VLOOKUP($B234,Seqs!$A:$B,2,0),AA234,1),"")</f>
        <v>R</v>
      </c>
      <c r="AA234" s="3">
        <v>138</v>
      </c>
      <c r="AB234" s="3" t="str">
        <f>IFERROR(MID(VLOOKUP($B234,Seqs!$A:$B,2,0),AC234,1),"")</f>
        <v>T</v>
      </c>
      <c r="AC234" s="3">
        <v>139</v>
      </c>
      <c r="AD234" s="3" t="str">
        <f>IFERROR(MID(VLOOKUP($B234,Seqs!$A:$B,2,0),AE234,1),"")</f>
        <v>N</v>
      </c>
      <c r="AE234" s="3">
        <v>166</v>
      </c>
      <c r="AF234" s="3" t="str">
        <f>IFERROR(MID(VLOOKUP($B234,Seqs!$A:$B,2,0),AG234,1),"")</f>
        <v>C</v>
      </c>
      <c r="AG234" s="3">
        <v>178</v>
      </c>
      <c r="AH234" s="3" t="str">
        <f>IFERROR(MID(VLOOKUP($B234,Seqs!$A:$B,2,0),AI234,1),"")</f>
        <v>F</v>
      </c>
      <c r="AI234" s="3">
        <v>179</v>
      </c>
      <c r="AJ234" s="3" t="str">
        <f>IFERROR(MID(VLOOKUP($B234,Seqs!$A:$B,2,0),AK234,1),"")</f>
        <v>W</v>
      </c>
      <c r="AK234" s="3">
        <v>187</v>
      </c>
      <c r="AL234" s="3" t="str">
        <f>IFERROR(MID(VLOOKUP($B234,Seqs!$A:$B,2,0),AM234,1),"")</f>
        <v>R</v>
      </c>
      <c r="AM234" s="3">
        <v>223</v>
      </c>
      <c r="AN234" s="3" t="str">
        <f>IFERROR(MID(VLOOKUP($B234,Seqs!$A:$B,2,0),AO234,1),"")</f>
        <v>N</v>
      </c>
      <c r="AO234" s="3">
        <v>234</v>
      </c>
      <c r="AP234" s="3" t="str">
        <f>IFERROR(MID(VLOOKUP($B234,Seqs!$A:$B,2,0),AQ234,1),"")</f>
        <v>N</v>
      </c>
      <c r="AQ234" s="3">
        <v>269</v>
      </c>
      <c r="AR234" s="3" t="str">
        <f>IFERROR(MID(VLOOKUP($B234,Seqs!$A:$B,2,0),AS234,1),"")</f>
        <v>G</v>
      </c>
      <c r="AS234" s="3">
        <v>273</v>
      </c>
      <c r="AT234" s="3" t="str">
        <f>IFERROR(MID(VLOOKUP($B234,Seqs!$A:$B,2,0),AU234,1),"")</f>
        <v>T</v>
      </c>
      <c r="AU234" s="3">
        <v>308</v>
      </c>
      <c r="AV234" s="3" t="str">
        <f>IFERROR(MID(VLOOKUP($B234,Seqs!$A:$B,2,0),AW234,1),"")</f>
        <v/>
      </c>
      <c r="AW234" s="3" t="s">
        <v>23</v>
      </c>
      <c r="AX234" s="3" t="str">
        <f>IFERROR(MID(VLOOKUP($B234,Seqs!$A:$B,2,0),AY234,1),"")</f>
        <v/>
      </c>
      <c r="AY234" s="3" t="s">
        <v>23</v>
      </c>
      <c r="AZ234" s="77" t="str">
        <f>VLOOKUP(B234,Classification!A:D,2,0)</f>
        <v>A</v>
      </c>
      <c r="BA234" s="94" t="str">
        <f>VLOOKUP(B234,Classification!A:D,4,0)</f>
        <v>Lysophospholipid(LPA)</v>
      </c>
      <c r="BB234" s="27" t="b">
        <f t="shared" si="364"/>
        <v>1</v>
      </c>
      <c r="BC234" s="23">
        <f t="shared" si="365"/>
        <v>250</v>
      </c>
      <c r="BD234" s="2" t="s">
        <v>1382</v>
      </c>
      <c r="BE234" s="3" t="s">
        <v>1297</v>
      </c>
      <c r="BF234" s="119">
        <v>3.2</v>
      </c>
      <c r="BG234" s="49" t="s">
        <v>1</v>
      </c>
      <c r="BH234" s="49" t="s">
        <v>1384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si="366"/>
        <v>26</v>
      </c>
      <c r="BW234" s="71" t="str">
        <f t="shared" si="367"/>
        <v>-</v>
      </c>
      <c r="BX234" s="72">
        <f t="shared" si="368"/>
        <v>60</v>
      </c>
      <c r="BY234" s="71">
        <f t="shared" si="369"/>
        <v>90</v>
      </c>
      <c r="BZ234" s="72">
        <f t="shared" si="370"/>
        <v>95</v>
      </c>
      <c r="CA234" s="71">
        <f t="shared" si="371"/>
        <v>131</v>
      </c>
      <c r="CB234" s="72">
        <f t="shared" si="372"/>
        <v>139</v>
      </c>
      <c r="CC234" s="71">
        <f t="shared" si="373"/>
        <v>178</v>
      </c>
      <c r="CD234" s="72">
        <f t="shared" si="374"/>
        <v>187</v>
      </c>
      <c r="CE234" s="71">
        <f t="shared" si="375"/>
        <v>234</v>
      </c>
      <c r="CF234" s="72">
        <f t="shared" si="376"/>
        <v>273</v>
      </c>
      <c r="CG234" s="71" t="str">
        <f t="shared" si="377"/>
        <v>-</v>
      </c>
      <c r="CH234" s="70">
        <f t="shared" si="378"/>
        <v>55</v>
      </c>
      <c r="CI234" s="71" t="str">
        <f t="shared" si="379"/>
        <v>-</v>
      </c>
      <c r="CJ234" s="72">
        <f t="shared" si="380"/>
        <v>89</v>
      </c>
      <c r="CK234" s="72">
        <f t="shared" si="381"/>
        <v>94</v>
      </c>
      <c r="CL234" s="72">
        <f t="shared" si="382"/>
        <v>130</v>
      </c>
      <c r="CM234" s="72">
        <f t="shared" si="383"/>
        <v>138</v>
      </c>
      <c r="CN234" s="72">
        <f t="shared" si="384"/>
        <v>166</v>
      </c>
      <c r="CO234" s="72">
        <f t="shared" si="385"/>
        <v>179</v>
      </c>
      <c r="CP234" s="72">
        <f t="shared" si="386"/>
        <v>223</v>
      </c>
      <c r="CQ234" s="72">
        <f t="shared" si="387"/>
        <v>269</v>
      </c>
      <c r="CR234" s="72">
        <f t="shared" si="388"/>
        <v>308</v>
      </c>
      <c r="CS234" s="72" t="str">
        <f t="shared" si="389"/>
        <v>-</v>
      </c>
      <c r="CT234" s="23" t="e">
        <f t="shared" si="390"/>
        <v>#VALUE!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si="363"/>
        <v>q9wtk1_cavpo__wt</v>
      </c>
      <c r="B235" s="3" t="s">
        <v>1463</v>
      </c>
      <c r="C235" s="3" t="s">
        <v>100</v>
      </c>
      <c r="D235" s="3" t="str">
        <f>IFERROR(MID(VLOOKUP($B235,Seqs!$A:$B,2,0),E235,1),"")</f>
        <v>T</v>
      </c>
      <c r="E235" s="3">
        <v>17</v>
      </c>
      <c r="F235" s="3" t="str">
        <f>IFERROR(MID(VLOOKUP($B235,Seqs!$A:$B,2,0),G235,1),"")</f>
        <v>R</v>
      </c>
      <c r="G235" s="3">
        <v>48</v>
      </c>
      <c r="H235" s="3" t="str">
        <f>IFERROR(MID(VLOOKUP($B235,Seqs!$A:$B,2,0),I235,1),"")</f>
        <v>M</v>
      </c>
      <c r="I235" s="23">
        <v>49</v>
      </c>
      <c r="J235" s="3" t="str">
        <f>IFERROR(MID(VLOOKUP($B235,Seqs!$A:$B,2,0),K235,1),"")</f>
        <v>R</v>
      </c>
      <c r="K235" s="23">
        <v>52</v>
      </c>
      <c r="L235" s="3" t="str">
        <f>IFERROR(MID(VLOOKUP($B235,Seqs!$A:$B,2,0),M235,1),"")</f>
        <v>S</v>
      </c>
      <c r="M235" s="3">
        <v>53</v>
      </c>
      <c r="N235" s="3" t="str">
        <f>IFERROR(MID(VLOOKUP($B235,Seqs!$A:$B,2,0),O235,1),"")</f>
        <v>H</v>
      </c>
      <c r="O235" s="3">
        <v>83</v>
      </c>
      <c r="P235" s="3" t="str">
        <f>IFERROR(MID(VLOOKUP($B235,Seqs!$A:$B,2,0),Q235,1),"")</f>
        <v>T</v>
      </c>
      <c r="Q235" s="3">
        <v>84</v>
      </c>
      <c r="R235" s="3" t="str">
        <f>IFERROR(MID(VLOOKUP($B235,Seqs!$A:$B,2,0),S235,1),"")</f>
        <v>F</v>
      </c>
      <c r="S235" s="3">
        <v>87</v>
      </c>
      <c r="T235" s="3" t="str">
        <f>IFERROR(MID(VLOOKUP($B235,Seqs!$A:$B,2,0),U235,1),"")</f>
        <v>K</v>
      </c>
      <c r="U235" s="3">
        <v>88</v>
      </c>
      <c r="V235" s="3" t="str">
        <f>IFERROR(MID(VLOOKUP($B235,Seqs!$A:$B,2,0),W235,1),"")</f>
        <v>S</v>
      </c>
      <c r="W235" s="3">
        <v>123</v>
      </c>
      <c r="X235" s="3" t="str">
        <f>IFERROR(MID(VLOOKUP($B235,Seqs!$A:$B,2,0),Y235,1),"")</f>
        <v>P</v>
      </c>
      <c r="Y235" s="3">
        <v>124</v>
      </c>
      <c r="Z235" s="3" t="str">
        <f>IFERROR(MID(VLOOKUP($B235,Seqs!$A:$B,2,0),AA235,1),"")</f>
        <v>R</v>
      </c>
      <c r="AA235" s="3">
        <v>131</v>
      </c>
      <c r="AB235" s="3" t="str">
        <f>IFERROR(MID(VLOOKUP($B235,Seqs!$A:$B,2,0),AC235,1),"")</f>
        <v>T</v>
      </c>
      <c r="AC235" s="3">
        <v>132</v>
      </c>
      <c r="AD235" s="3" t="str">
        <f>IFERROR(MID(VLOOKUP($B235,Seqs!$A:$B,2,0),AE235,1),"")</f>
        <v>R</v>
      </c>
      <c r="AE235" s="3">
        <v>158</v>
      </c>
      <c r="AF235" s="3" t="str">
        <f>IFERROR(MID(VLOOKUP($B235,Seqs!$A:$B,2,0),AG235,1),"")</f>
        <v>C</v>
      </c>
      <c r="AG235" s="3">
        <v>170</v>
      </c>
      <c r="AH235" s="3" t="str">
        <f>IFERROR(MID(VLOOKUP($B235,Seqs!$A:$B,2,0),AI235,1),"")</f>
        <v>A</v>
      </c>
      <c r="AI235" s="3">
        <v>172</v>
      </c>
      <c r="AJ235" s="3" t="str">
        <f>IFERROR(MID(VLOOKUP($B235,Seqs!$A:$B,2,0),AK235,1),"")</f>
        <v>S</v>
      </c>
      <c r="AK235" s="3">
        <v>176</v>
      </c>
      <c r="AL235" s="3" t="str">
        <f>IFERROR(MID(VLOOKUP($B235,Seqs!$A:$B,2,0),AM235,1),"")</f>
        <v>R</v>
      </c>
      <c r="AM235" s="3">
        <v>213</v>
      </c>
      <c r="AN235" s="3" t="str">
        <f>IFERROR(MID(VLOOKUP($B235,Seqs!$A:$B,2,0),AO235,1),"")</f>
        <v>R</v>
      </c>
      <c r="AO235" s="3">
        <v>218</v>
      </c>
      <c r="AP235" s="3" t="str">
        <f>IFERROR(MID(VLOOKUP($B235,Seqs!$A:$B,2,0),AQ235,1),"")</f>
        <v>A</v>
      </c>
      <c r="AQ235" s="3">
        <v>252</v>
      </c>
      <c r="AR235" s="3" t="str">
        <f>IFERROR(MID(VLOOKUP($B235,Seqs!$A:$B,2,0),AS235,1),"")</f>
        <v>L</v>
      </c>
      <c r="AS235" s="3">
        <v>255</v>
      </c>
      <c r="AT235" s="3" t="str">
        <f>IFERROR(MID(VLOOKUP($B235,Seqs!$A:$B,2,0),AU235,1),"")</f>
        <v>A</v>
      </c>
      <c r="AU235" s="3">
        <v>287</v>
      </c>
      <c r="AV235" s="3" t="str">
        <f>IFERROR(MID(VLOOKUP($B235,Seqs!$A:$B,2,0),AW235,1),"")</f>
        <v>G</v>
      </c>
      <c r="AW235" s="3">
        <v>288</v>
      </c>
      <c r="AX235" s="3" t="str">
        <f>IFERROR(MID(VLOOKUP($B235,Seqs!$A:$B,2,0),AY235,1),"")</f>
        <v>K</v>
      </c>
      <c r="AY235" s="3">
        <v>302</v>
      </c>
      <c r="AZ235" s="77" t="str">
        <f>VLOOKUP(B235,Classification!A:D,2,0)</f>
        <v>A</v>
      </c>
      <c r="BA235" s="94" t="str">
        <f>VLOOKUP(B235,Classification!A:D,4,0)</f>
        <v>Leukotriene</v>
      </c>
      <c r="BB235" s="27" t="b">
        <f t="shared" si="364"/>
        <v>1</v>
      </c>
      <c r="BC235" s="23">
        <f t="shared" si="365"/>
        <v>266</v>
      </c>
      <c r="BD235" s="2" t="s">
        <v>23</v>
      </c>
      <c r="BE235" s="3" t="s">
        <v>23</v>
      </c>
      <c r="BF235" s="119" t="s">
        <v>23</v>
      </c>
      <c r="BG235" s="49" t="s">
        <v>1</v>
      </c>
      <c r="BH235" s="49" t="s">
        <v>1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366"/>
        <v>17</v>
      </c>
      <c r="BW235" s="71">
        <f t="shared" si="367"/>
        <v>49</v>
      </c>
      <c r="BX235" s="72">
        <f t="shared" si="368"/>
        <v>53</v>
      </c>
      <c r="BY235" s="71">
        <f t="shared" si="369"/>
        <v>84</v>
      </c>
      <c r="BZ235" s="72">
        <f t="shared" si="370"/>
        <v>88</v>
      </c>
      <c r="CA235" s="71">
        <f t="shared" si="371"/>
        <v>124</v>
      </c>
      <c r="CB235" s="72">
        <f t="shared" si="372"/>
        <v>132</v>
      </c>
      <c r="CC235" s="71">
        <f t="shared" si="373"/>
        <v>170</v>
      </c>
      <c r="CD235" s="72">
        <f t="shared" si="374"/>
        <v>176</v>
      </c>
      <c r="CE235" s="71">
        <f t="shared" si="375"/>
        <v>218</v>
      </c>
      <c r="CF235" s="72">
        <f t="shared" si="376"/>
        <v>255</v>
      </c>
      <c r="CG235" s="71">
        <f t="shared" si="377"/>
        <v>288</v>
      </c>
      <c r="CH235" s="70">
        <f t="shared" si="378"/>
        <v>48</v>
      </c>
      <c r="CI235" s="71">
        <f t="shared" si="379"/>
        <v>52</v>
      </c>
      <c r="CJ235" s="72">
        <f t="shared" si="380"/>
        <v>83</v>
      </c>
      <c r="CK235" s="72">
        <f t="shared" si="381"/>
        <v>87</v>
      </c>
      <c r="CL235" s="72">
        <f t="shared" si="382"/>
        <v>123</v>
      </c>
      <c r="CM235" s="72">
        <f t="shared" si="383"/>
        <v>131</v>
      </c>
      <c r="CN235" s="72">
        <f t="shared" si="384"/>
        <v>158</v>
      </c>
      <c r="CO235" s="72">
        <f t="shared" si="385"/>
        <v>172</v>
      </c>
      <c r="CP235" s="72">
        <f t="shared" si="386"/>
        <v>213</v>
      </c>
      <c r="CQ235" s="72">
        <f t="shared" si="387"/>
        <v>252</v>
      </c>
      <c r="CR235" s="72">
        <f t="shared" si="388"/>
        <v>287</v>
      </c>
      <c r="CS235" s="72">
        <f t="shared" si="389"/>
        <v>302</v>
      </c>
      <c r="CT235" s="23">
        <f t="shared" si="390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si="363"/>
        <v>q9wtk1_cavpo_5X33</v>
      </c>
      <c r="B236" s="3" t="s">
        <v>1463</v>
      </c>
      <c r="C236" s="3" t="s">
        <v>1464</v>
      </c>
      <c r="D236" s="3" t="str">
        <f>IFERROR(MID(VLOOKUP($B236,Seqs!$A:$B,2,0),E236,1),"")</f>
        <v>T</v>
      </c>
      <c r="E236" s="3">
        <v>17</v>
      </c>
      <c r="F236" s="3" t="str">
        <f>IFERROR(MID(VLOOKUP($B236,Seqs!$A:$B,2,0),G236,1),"")</f>
        <v>R</v>
      </c>
      <c r="G236" s="3">
        <v>48</v>
      </c>
      <c r="H236" s="3" t="str">
        <f>IFERROR(MID(VLOOKUP($B236,Seqs!$A:$B,2,0),I236,1),"")</f>
        <v/>
      </c>
      <c r="I236" s="23" t="s">
        <v>23</v>
      </c>
      <c r="J236" s="3" t="str">
        <f>IFERROR(MID(VLOOKUP($B236,Seqs!$A:$B,2,0),K236,1),"")</f>
        <v/>
      </c>
      <c r="K236" s="23" t="s">
        <v>23</v>
      </c>
      <c r="L236" s="3" t="str">
        <f>IFERROR(MID(VLOOKUP($B236,Seqs!$A:$B,2,0),M236,1),"")</f>
        <v>S</v>
      </c>
      <c r="M236" s="3">
        <v>53</v>
      </c>
      <c r="N236" s="3" t="str">
        <f>IFERROR(MID(VLOOKUP($B236,Seqs!$A:$B,2,0),O236,1),"")</f>
        <v>H</v>
      </c>
      <c r="O236" s="3">
        <v>83</v>
      </c>
      <c r="P236" s="3" t="str">
        <f>IFERROR(MID(VLOOKUP($B236,Seqs!$A:$B,2,0),Q236,1),"")</f>
        <v>T</v>
      </c>
      <c r="Q236" s="3">
        <v>84</v>
      </c>
      <c r="R236" s="3" t="str">
        <f>IFERROR(MID(VLOOKUP($B236,Seqs!$A:$B,2,0),S236,1),"")</f>
        <v>F</v>
      </c>
      <c r="S236" s="3">
        <v>87</v>
      </c>
      <c r="T236" s="3" t="str">
        <f>IFERROR(MID(VLOOKUP($B236,Seqs!$A:$B,2,0),U236,1),"")</f>
        <v>K</v>
      </c>
      <c r="U236" s="3">
        <v>88</v>
      </c>
      <c r="V236" s="3" t="str">
        <f>IFERROR(MID(VLOOKUP($B236,Seqs!$A:$B,2,0),W236,1),"")</f>
        <v>S</v>
      </c>
      <c r="W236" s="3">
        <v>123</v>
      </c>
      <c r="X236" s="3" t="str">
        <f>IFERROR(MID(VLOOKUP($B236,Seqs!$A:$B,2,0),Y236,1),"")</f>
        <v>P</v>
      </c>
      <c r="Y236" s="3">
        <v>124</v>
      </c>
      <c r="Z236" s="3" t="str">
        <f>IFERROR(MID(VLOOKUP($B236,Seqs!$A:$B,2,0),AA236,1),"")</f>
        <v>R</v>
      </c>
      <c r="AA236" s="3">
        <v>131</v>
      </c>
      <c r="AB236" s="3" t="str">
        <f>IFERROR(MID(VLOOKUP($B236,Seqs!$A:$B,2,0),AC236,1),"")</f>
        <v>T</v>
      </c>
      <c r="AC236" s="3">
        <v>132</v>
      </c>
      <c r="AD236" s="3" t="str">
        <f>IFERROR(MID(VLOOKUP($B236,Seqs!$A:$B,2,0),AE236,1),"")</f>
        <v>R</v>
      </c>
      <c r="AE236" s="3">
        <v>158</v>
      </c>
      <c r="AF236" s="3" t="str">
        <f>IFERROR(MID(VLOOKUP($B236,Seqs!$A:$B,2,0),AG236,1),"")</f>
        <v>C</v>
      </c>
      <c r="AG236" s="3">
        <v>170</v>
      </c>
      <c r="AH236" s="3" t="str">
        <f>IFERROR(MID(VLOOKUP($B236,Seqs!$A:$B,2,0),AI236,1),"")</f>
        <v>A</v>
      </c>
      <c r="AI236" s="3">
        <v>172</v>
      </c>
      <c r="AJ236" s="3" t="str">
        <f>IFERROR(MID(VLOOKUP($B236,Seqs!$A:$B,2,0),AK236,1),"")</f>
        <v>S</v>
      </c>
      <c r="AK236" s="3">
        <v>176</v>
      </c>
      <c r="AL236" s="3" t="str">
        <f>IFERROR(MID(VLOOKUP($B236,Seqs!$A:$B,2,0),AM236,1),"")</f>
        <v>R</v>
      </c>
      <c r="AM236" s="3">
        <v>213</v>
      </c>
      <c r="AN236" s="3" t="str">
        <f>IFERROR(MID(VLOOKUP($B236,Seqs!$A:$B,2,0),AO236,1),"")</f>
        <v>I</v>
      </c>
      <c r="AO236" s="3">
        <v>227</v>
      </c>
      <c r="AP236" s="3" t="str">
        <f>IFERROR(MID(VLOOKUP($B236,Seqs!$A:$B,2,0),AQ236,1),"")</f>
        <v>R</v>
      </c>
      <c r="AQ236" s="3">
        <v>249</v>
      </c>
      <c r="AR236" s="3" t="str">
        <f>IFERROR(MID(VLOOKUP($B236,Seqs!$A:$B,2,0),AS236,1),"")</f>
        <v>Q</v>
      </c>
      <c r="AS236" s="3">
        <v>261</v>
      </c>
      <c r="AT236" s="3" t="str">
        <f>IFERROR(MID(VLOOKUP($B236,Seqs!$A:$B,2,0),AU236,1),"")</f>
        <v>S</v>
      </c>
      <c r="AU236" s="3">
        <v>278</v>
      </c>
      <c r="AV236" s="3" t="str">
        <f>IFERROR(MID(VLOOKUP($B236,Seqs!$A:$B,2,0),AW236,1),"")</f>
        <v/>
      </c>
      <c r="AW236" s="3" t="s">
        <v>23</v>
      </c>
      <c r="AX236" s="3" t="str">
        <f>IFERROR(MID(VLOOKUP($B236,Seqs!$A:$B,2,0),AY236,1),"")</f>
        <v/>
      </c>
      <c r="AY236" s="3" t="s">
        <v>23</v>
      </c>
      <c r="AZ236" s="77" t="str">
        <f>VLOOKUP(B236,Classification!A:D,2,0)</f>
        <v>A</v>
      </c>
      <c r="BA236" s="94" t="str">
        <f>VLOOKUP(B236,Classification!A:D,4,0)</f>
        <v>Leukotriene</v>
      </c>
      <c r="BB236" s="27" t="b">
        <f t="shared" si="364"/>
        <v>1</v>
      </c>
      <c r="BC236" s="23">
        <f t="shared" si="365"/>
        <v>222</v>
      </c>
      <c r="BD236" s="2" t="s">
        <v>1383</v>
      </c>
      <c r="BE236" s="3" t="s">
        <v>1381</v>
      </c>
      <c r="BF236" s="119">
        <v>3.7</v>
      </c>
      <c r="BG236" s="49" t="s">
        <v>1</v>
      </c>
      <c r="BH236" s="49" t="s">
        <v>1384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366"/>
        <v>17</v>
      </c>
      <c r="BW236" s="71" t="str">
        <f t="shared" si="367"/>
        <v>-</v>
      </c>
      <c r="BX236" s="72">
        <f t="shared" si="368"/>
        <v>53</v>
      </c>
      <c r="BY236" s="71">
        <f t="shared" si="369"/>
        <v>84</v>
      </c>
      <c r="BZ236" s="72">
        <f t="shared" si="370"/>
        <v>88</v>
      </c>
      <c r="CA236" s="71">
        <f t="shared" si="371"/>
        <v>124</v>
      </c>
      <c r="CB236" s="72">
        <f t="shared" si="372"/>
        <v>132</v>
      </c>
      <c r="CC236" s="71">
        <f t="shared" si="373"/>
        <v>170</v>
      </c>
      <c r="CD236" s="72">
        <f t="shared" si="374"/>
        <v>176</v>
      </c>
      <c r="CE236" s="71">
        <f t="shared" si="375"/>
        <v>227</v>
      </c>
      <c r="CF236" s="72">
        <f t="shared" si="376"/>
        <v>261</v>
      </c>
      <c r="CG236" s="71" t="str">
        <f t="shared" si="377"/>
        <v>-</v>
      </c>
      <c r="CH236" s="70">
        <f t="shared" si="378"/>
        <v>48</v>
      </c>
      <c r="CI236" s="71" t="str">
        <f t="shared" si="379"/>
        <v>-</v>
      </c>
      <c r="CJ236" s="72">
        <f t="shared" si="380"/>
        <v>83</v>
      </c>
      <c r="CK236" s="72">
        <f t="shared" si="381"/>
        <v>87</v>
      </c>
      <c r="CL236" s="72">
        <f t="shared" si="382"/>
        <v>123</v>
      </c>
      <c r="CM236" s="72">
        <f t="shared" si="383"/>
        <v>131</v>
      </c>
      <c r="CN236" s="72">
        <f t="shared" si="384"/>
        <v>158</v>
      </c>
      <c r="CO236" s="72">
        <f t="shared" si="385"/>
        <v>172</v>
      </c>
      <c r="CP236" s="72">
        <f t="shared" si="386"/>
        <v>213</v>
      </c>
      <c r="CQ236" s="72">
        <f t="shared" si="387"/>
        <v>249</v>
      </c>
      <c r="CR236" s="72">
        <f t="shared" si="388"/>
        <v>278</v>
      </c>
      <c r="CS236" s="72" t="str">
        <f t="shared" si="389"/>
        <v>-</v>
      </c>
      <c r="CT236" s="23" t="e">
        <f t="shared" si="390"/>
        <v>#VALUE!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333"/>
        <v>s1pr1_human__wt</v>
      </c>
      <c r="B237" s="3" t="s">
        <v>104</v>
      </c>
      <c r="C237" s="3" t="s">
        <v>100</v>
      </c>
      <c r="D237" s="3" t="str">
        <f>IFERROR(MID(VLOOKUP($B237,Seqs!$A:$B,2,0),E237,1),"")</f>
        <v>E</v>
      </c>
      <c r="E237" s="3">
        <v>42</v>
      </c>
      <c r="F237" s="3" t="str">
        <f>IFERROR(MID(VLOOKUP($B237,Seqs!$A:$B,2,0),G237,1),"")</f>
        <v>T</v>
      </c>
      <c r="G237" s="3">
        <v>73</v>
      </c>
      <c r="H237" s="3" t="str">
        <f>IFERROR(MID(VLOOKUP($B237,Seqs!$A:$B,2,0),I237,1),"")</f>
        <v>K</v>
      </c>
      <c r="I237" s="23">
        <v>74</v>
      </c>
      <c r="J237" s="3" t="str">
        <f>IFERROR(MID(VLOOKUP($B237,Seqs!$A:$B,2,0),K237,1),"")</f>
        <v>H</v>
      </c>
      <c r="K237" s="23">
        <v>77</v>
      </c>
      <c r="L237" s="3" t="str">
        <f>IFERROR(MID(VLOOKUP($B237,Seqs!$A:$B,2,0),M237,1),"")</f>
        <v>R</v>
      </c>
      <c r="M237" s="3">
        <v>78</v>
      </c>
      <c r="N237" s="3" t="str">
        <f>IFERROR(MID(VLOOKUP($B237,Seqs!$A:$B,2,0),O237,1),"")</f>
        <v>L</v>
      </c>
      <c r="O237" s="3">
        <v>104</v>
      </c>
      <c r="P237" s="3" t="str">
        <f>IFERROR(MID(VLOOKUP($B237,Seqs!$A:$B,2,0),Q237,1),"")</f>
        <v>G</v>
      </c>
      <c r="Q237" s="3">
        <v>106</v>
      </c>
      <c r="R237" s="3" t="str">
        <f>IFERROR(MID(VLOOKUP($B237,Seqs!$A:$B,2,0),S237,1),"")</f>
        <v>L</v>
      </c>
      <c r="S237" s="3">
        <v>112</v>
      </c>
      <c r="T237" s="3" t="str">
        <f>IFERROR(MID(VLOOKUP($B237,Seqs!$A:$B,2,0),U237,1),"")</f>
        <v>T</v>
      </c>
      <c r="U237" s="3">
        <v>113</v>
      </c>
      <c r="V237" s="3" t="str">
        <f>IFERROR(MID(VLOOKUP($B237,Seqs!$A:$B,2,0),W237,1),"")</f>
        <v>K</v>
      </c>
      <c r="W237" s="105">
        <v>148</v>
      </c>
      <c r="X237" s="3" t="str">
        <f>IFERROR(MID(VLOOKUP($B237,Seqs!$A:$B,2,0),Y237,1),"")</f>
        <v>M</v>
      </c>
      <c r="Y237" s="105">
        <v>149</v>
      </c>
      <c r="Z237" s="3" t="str">
        <f>IFERROR(MID(VLOOKUP($B237,Seqs!$A:$B,2,0),AA237,1),"")</f>
        <v>S</v>
      </c>
      <c r="AA237" s="105">
        <v>155</v>
      </c>
      <c r="AB237" s="3" t="str">
        <f>IFERROR(MID(VLOOKUP($B237,Seqs!$A:$B,2,0),AC237,1),"")</f>
        <v>N</v>
      </c>
      <c r="AC237" s="105">
        <v>156</v>
      </c>
      <c r="AD237" s="3" t="str">
        <f>IFERROR(MID(VLOOKUP($B237,Seqs!$A:$B,2,0),AE237,1),"")</f>
        <v>G</v>
      </c>
      <c r="AE237" s="3">
        <v>181</v>
      </c>
      <c r="AF237" s="3" t="str">
        <f>IFERROR(MID(VLOOKUP($B237,Seqs!$A:$B,2,0),AG237,1),"")</f>
        <v/>
      </c>
      <c r="AG237" s="3" t="s">
        <v>23</v>
      </c>
      <c r="AH237" s="3" t="str">
        <f>IFERROR(MID(VLOOKUP($B237,Seqs!$A:$B,2,0),AI237,1),"")</f>
        <v/>
      </c>
      <c r="AI237" s="3" t="s">
        <v>23</v>
      </c>
      <c r="AJ237" s="3" t="str">
        <f>IFERROR(MID(VLOOKUP($B237,Seqs!$A:$B,2,0),AK237,1),"")</f>
        <v>H</v>
      </c>
      <c r="AK237" s="3">
        <v>199</v>
      </c>
      <c r="AL237" s="3" t="str">
        <f>IFERROR(MID(VLOOKUP($B237,Seqs!$A:$B,2,0),AM237,1),"")</f>
        <v>T</v>
      </c>
      <c r="AM237" s="3">
        <v>236</v>
      </c>
      <c r="AN237" s="3" t="str">
        <f>IFERROR(MID(VLOOKUP($B237,Seqs!$A:$B,2,0),AO237,1),"")</f>
        <v>S</v>
      </c>
      <c r="AO237" s="3">
        <v>245</v>
      </c>
      <c r="AP237" s="3" t="str">
        <f>IFERROR(MID(VLOOKUP($B237,Seqs!$A:$B,2,0),AQ237,1),"")</f>
        <v>C</v>
      </c>
      <c r="AQ237" s="3">
        <v>282</v>
      </c>
      <c r="AR237" s="3" t="str">
        <f>IFERROR(MID(VLOOKUP($B237,Seqs!$A:$B,2,0),AS237,1),"")</f>
        <v>D</v>
      </c>
      <c r="AS237" s="3">
        <v>288</v>
      </c>
      <c r="AT237" s="3" t="str">
        <f>IFERROR(MID(VLOOKUP($B237,Seqs!$A:$B,2,0),AU237,1),"")</f>
        <v>T</v>
      </c>
      <c r="AU237" s="3">
        <v>314</v>
      </c>
      <c r="AV237" s="3" t="str">
        <f>IFERROR(MID(VLOOKUP($B237,Seqs!$A:$B,2,0),AW237,1),"")</f>
        <v>N</v>
      </c>
      <c r="AW237" s="3">
        <v>315</v>
      </c>
      <c r="AX237" s="3" t="str">
        <f>IFERROR(MID(VLOOKUP($B237,Seqs!$A:$B,2,0),AY237,1),"")</f>
        <v>S</v>
      </c>
      <c r="AY237" s="3">
        <v>327</v>
      </c>
      <c r="AZ237" s="77" t="str">
        <f>VLOOKUP(B237,Classification!A:D,2,0)</f>
        <v>A</v>
      </c>
      <c r="BA237" s="94" t="str">
        <f>VLOOKUP(B237,Classification!A:D,4,0)</f>
        <v>Lysophospholipid(S1P)</v>
      </c>
      <c r="BB237" s="27" t="b">
        <f t="shared" si="334"/>
        <v>1</v>
      </c>
      <c r="BC237" s="23">
        <f t="shared" si="307"/>
        <v>256</v>
      </c>
      <c r="BD237" s="56" t="s">
        <v>1379</v>
      </c>
      <c r="BE237" s="3" t="s">
        <v>23</v>
      </c>
      <c r="BF237" s="119" t="s">
        <v>23</v>
      </c>
      <c r="BG237" s="49" t="s">
        <v>1379</v>
      </c>
      <c r="BH237" s="49" t="s">
        <v>1384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308"/>
        <v>42</v>
      </c>
      <c r="BW237" s="71">
        <f t="shared" si="309"/>
        <v>74</v>
      </c>
      <c r="BX237" s="72">
        <f t="shared" si="310"/>
        <v>78</v>
      </c>
      <c r="BY237" s="71">
        <f t="shared" si="311"/>
        <v>106</v>
      </c>
      <c r="BZ237" s="72">
        <f t="shared" si="312"/>
        <v>113</v>
      </c>
      <c r="CA237" s="71">
        <f t="shared" si="313"/>
        <v>149</v>
      </c>
      <c r="CB237" s="72">
        <f t="shared" si="314"/>
        <v>156</v>
      </c>
      <c r="CC237" s="71" t="str">
        <f t="shared" si="315"/>
        <v>-</v>
      </c>
      <c r="CD237" s="72">
        <f t="shared" si="316"/>
        <v>199</v>
      </c>
      <c r="CE237" s="71">
        <f t="shared" si="317"/>
        <v>245</v>
      </c>
      <c r="CF237" s="72">
        <f t="shared" si="318"/>
        <v>288</v>
      </c>
      <c r="CG237" s="71">
        <f t="shared" si="319"/>
        <v>315</v>
      </c>
      <c r="CH237" s="70">
        <f t="shared" si="320"/>
        <v>73</v>
      </c>
      <c r="CI237" s="71">
        <f t="shared" si="321"/>
        <v>77</v>
      </c>
      <c r="CJ237" s="72">
        <f t="shared" si="322"/>
        <v>104</v>
      </c>
      <c r="CK237" s="72">
        <f t="shared" si="323"/>
        <v>112</v>
      </c>
      <c r="CL237" s="72">
        <f t="shared" si="324"/>
        <v>148</v>
      </c>
      <c r="CM237" s="72">
        <f t="shared" si="325"/>
        <v>155</v>
      </c>
      <c r="CN237" s="72">
        <f t="shared" si="326"/>
        <v>181</v>
      </c>
      <c r="CO237" s="72" t="str">
        <f t="shared" si="327"/>
        <v>-</v>
      </c>
      <c r="CP237" s="72">
        <f t="shared" si="328"/>
        <v>236</v>
      </c>
      <c r="CQ237" s="72">
        <f t="shared" si="329"/>
        <v>282</v>
      </c>
      <c r="CR237" s="72">
        <f t="shared" si="330"/>
        <v>314</v>
      </c>
      <c r="CS237" s="72">
        <f t="shared" si="331"/>
        <v>327</v>
      </c>
      <c r="CT237" s="23">
        <f t="shared" si="332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333"/>
        <v>s1pr1_human_3V2Y</v>
      </c>
      <c r="B238" s="3" t="s">
        <v>104</v>
      </c>
      <c r="C238" s="3" t="s">
        <v>94</v>
      </c>
      <c r="D238" s="3" t="str">
        <f>IFERROR(MID(VLOOKUP($B238,Seqs!$A:$B,2,0),E238,1),"")</f>
        <v>E</v>
      </c>
      <c r="E238" s="3">
        <v>42</v>
      </c>
      <c r="F238" s="3" t="str">
        <f>IFERROR(MID(VLOOKUP($B238,Seqs!$A:$B,2,0),G238,1),"")</f>
        <v>T</v>
      </c>
      <c r="G238" s="3">
        <v>73</v>
      </c>
      <c r="H238" s="3" t="str">
        <f>IFERROR(MID(VLOOKUP($B238,Seqs!$A:$B,2,0),I238,1),"")</f>
        <v>K</v>
      </c>
      <c r="I238" s="23">
        <v>74</v>
      </c>
      <c r="J238" s="3" t="str">
        <f>IFERROR(MID(VLOOKUP($B238,Seqs!$A:$B,2,0),K238,1),"")</f>
        <v>H</v>
      </c>
      <c r="K238" s="23">
        <v>77</v>
      </c>
      <c r="L238" s="3" t="str">
        <f>IFERROR(MID(VLOOKUP($B238,Seqs!$A:$B,2,0),M238,1),"")</f>
        <v>R</v>
      </c>
      <c r="M238" s="3">
        <v>78</v>
      </c>
      <c r="N238" s="3" t="str">
        <f>IFERROR(MID(VLOOKUP($B238,Seqs!$A:$B,2,0),O238,1),"")</f>
        <v>L</v>
      </c>
      <c r="O238" s="3">
        <v>104</v>
      </c>
      <c r="P238" s="3" t="str">
        <f>IFERROR(MID(VLOOKUP($B238,Seqs!$A:$B,2,0),Q238,1),"")</f>
        <v>G</v>
      </c>
      <c r="Q238" s="3">
        <v>106</v>
      </c>
      <c r="R238" s="3" t="str">
        <f>IFERROR(MID(VLOOKUP($B238,Seqs!$A:$B,2,0),S238,1),"")</f>
        <v>L</v>
      </c>
      <c r="S238" s="3">
        <v>112</v>
      </c>
      <c r="T238" s="3" t="str">
        <f>IFERROR(MID(VLOOKUP($B238,Seqs!$A:$B,2,0),U238,1),"")</f>
        <v>T</v>
      </c>
      <c r="U238" s="3">
        <v>113</v>
      </c>
      <c r="V238" s="3" t="str">
        <f>IFERROR(MID(VLOOKUP($B238,Seqs!$A:$B,2,0),W238,1),"")</f>
        <v>T</v>
      </c>
      <c r="W238" s="105">
        <v>145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N</v>
      </c>
      <c r="AC238" s="105">
        <v>156</v>
      </c>
      <c r="AD238" s="3" t="str">
        <f>IFERROR(MID(VLOOKUP($B238,Seqs!$A:$B,2,0),AE238,1),"")</f>
        <v>G</v>
      </c>
      <c r="AE238" s="3">
        <v>181</v>
      </c>
      <c r="AF238" s="3" t="str">
        <f>IFERROR(MID(VLOOKUP($B238,Seqs!$A:$B,2,0),AG238,1),"")</f>
        <v/>
      </c>
      <c r="AG238" s="3" t="s">
        <v>23</v>
      </c>
      <c r="AH238" s="3" t="str">
        <f>IFERROR(MID(VLOOKUP($B238,Seqs!$A:$B,2,0),AI238,1),"")</f>
        <v/>
      </c>
      <c r="AI238" s="3" t="s">
        <v>23</v>
      </c>
      <c r="AJ238" s="3" t="str">
        <f>IFERROR(MID(VLOOKUP($B238,Seqs!$A:$B,2,0),AK238,1),"")</f>
        <v>H</v>
      </c>
      <c r="AK238" s="3">
        <v>199</v>
      </c>
      <c r="AL238" s="3" t="str">
        <f>IFERROR(MID(VLOOKUP($B238,Seqs!$A:$B,2,0),AM238,1),"")</f>
        <v>R</v>
      </c>
      <c r="AM238" s="3">
        <v>231</v>
      </c>
      <c r="AN238" s="3" t="str">
        <f>IFERROR(MID(VLOOKUP($B238,Seqs!$A:$B,2,0),AO238,1),"")</f>
        <v>S</v>
      </c>
      <c r="AO238" s="3">
        <v>251</v>
      </c>
      <c r="AP238" s="3" t="str">
        <f>IFERROR(MID(VLOOKUP($B238,Seqs!$A:$B,2,0),AQ238,1),"")</f>
        <v>C</v>
      </c>
      <c r="AQ238" s="3">
        <v>282</v>
      </c>
      <c r="AR238" s="3" t="str">
        <f>IFERROR(MID(VLOOKUP($B238,Seqs!$A:$B,2,0),AS238,1),"")</f>
        <v>D</v>
      </c>
      <c r="AS238" s="3">
        <v>288</v>
      </c>
      <c r="AT238" s="3" t="str">
        <f>IFERROR(MID(VLOOKUP($B238,Seqs!$A:$B,2,0),AU238,1),"")</f>
        <v>T</v>
      </c>
      <c r="AU238" s="3">
        <v>314</v>
      </c>
      <c r="AV238" s="3" t="str">
        <f>IFERROR(MID(VLOOKUP($B238,Seqs!$A:$B,2,0),AW238,1),"")</f>
        <v>N</v>
      </c>
      <c r="AW238" s="3">
        <v>315</v>
      </c>
      <c r="AX238" s="3" t="str">
        <f>IFERROR(MID(VLOOKUP($B238,Seqs!$A:$B,2,0),AY238,1),"")</f>
        <v>I</v>
      </c>
      <c r="AY238" s="3">
        <v>323</v>
      </c>
      <c r="AZ238" s="77" t="str">
        <f>VLOOKUP(B238,Classification!A:D,2,0)</f>
        <v>A</v>
      </c>
      <c r="BA238" s="94" t="str">
        <f>VLOOKUP(B238,Classification!A:D,4,0)</f>
        <v>Lysophospholipid(S1P)</v>
      </c>
      <c r="BB238" s="27" t="b">
        <f t="shared" si="334"/>
        <v>1</v>
      </c>
      <c r="BC238" s="23">
        <f t="shared" si="307"/>
        <v>232</v>
      </c>
      <c r="BD238" s="2" t="s">
        <v>1383</v>
      </c>
      <c r="BE238" s="3" t="s">
        <v>1381</v>
      </c>
      <c r="BF238" s="119">
        <v>2.8</v>
      </c>
      <c r="BG238" s="49" t="s">
        <v>1384</v>
      </c>
      <c r="BH238" s="49" t="s">
        <v>1384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308"/>
        <v>42</v>
      </c>
      <c r="BW238" s="71">
        <f t="shared" si="309"/>
        <v>74</v>
      </c>
      <c r="BX238" s="72">
        <f t="shared" si="310"/>
        <v>78</v>
      </c>
      <c r="BY238" s="71">
        <f t="shared" si="311"/>
        <v>106</v>
      </c>
      <c r="BZ238" s="72">
        <f t="shared" si="312"/>
        <v>113</v>
      </c>
      <c r="CA238" s="71" t="str">
        <f t="shared" si="313"/>
        <v>-</v>
      </c>
      <c r="CB238" s="72">
        <f t="shared" si="314"/>
        <v>156</v>
      </c>
      <c r="CC238" s="71" t="str">
        <f t="shared" si="315"/>
        <v>-</v>
      </c>
      <c r="CD238" s="72">
        <f t="shared" si="316"/>
        <v>199</v>
      </c>
      <c r="CE238" s="71">
        <f t="shared" si="317"/>
        <v>251</v>
      </c>
      <c r="CF238" s="72">
        <f t="shared" si="318"/>
        <v>288</v>
      </c>
      <c r="CG238" s="71">
        <f t="shared" si="319"/>
        <v>315</v>
      </c>
      <c r="CH238" s="70">
        <f t="shared" si="320"/>
        <v>73</v>
      </c>
      <c r="CI238" s="71">
        <f t="shared" si="321"/>
        <v>77</v>
      </c>
      <c r="CJ238" s="72">
        <f t="shared" si="322"/>
        <v>104</v>
      </c>
      <c r="CK238" s="72">
        <f t="shared" si="323"/>
        <v>112</v>
      </c>
      <c r="CL238" s="72">
        <f t="shared" si="324"/>
        <v>145</v>
      </c>
      <c r="CM238" s="72" t="str">
        <f t="shared" si="325"/>
        <v>-</v>
      </c>
      <c r="CN238" s="72">
        <f t="shared" si="326"/>
        <v>181</v>
      </c>
      <c r="CO238" s="72" t="str">
        <f t="shared" si="327"/>
        <v>-</v>
      </c>
      <c r="CP238" s="72">
        <f t="shared" si="328"/>
        <v>231</v>
      </c>
      <c r="CQ238" s="72">
        <f t="shared" si="329"/>
        <v>282</v>
      </c>
      <c r="CR238" s="72">
        <f t="shared" si="330"/>
        <v>314</v>
      </c>
      <c r="CS238" s="72">
        <f t="shared" si="331"/>
        <v>323</v>
      </c>
      <c r="CT238" s="23">
        <f t="shared" si="332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si="333"/>
        <v>us28_hcmva__wt</v>
      </c>
      <c r="B239" s="3" t="s">
        <v>924</v>
      </c>
      <c r="C239" s="3" t="s">
        <v>100</v>
      </c>
      <c r="D239" s="3" t="str">
        <f>IFERROR(MID(VLOOKUP($B239,Seqs!$A:$B,2,0),E239,1),"")</f>
        <v>F</v>
      </c>
      <c r="E239" s="105">
        <v>25</v>
      </c>
      <c r="F239" s="3" t="str">
        <f>IFERROR(MID(VLOOKUP($B239,Seqs!$A:$B,2,0),G239,1),"")</f>
        <v>R</v>
      </c>
      <c r="G239" s="3">
        <v>61</v>
      </c>
      <c r="H239" s="3" t="str">
        <f>IFERROR(MID(VLOOKUP($B239,Seqs!$A:$B,2,0),I239,1),"")</f>
        <v>R</v>
      </c>
      <c r="I239" s="23">
        <v>62</v>
      </c>
      <c r="J239" s="3" t="str">
        <f>IFERROR(MID(VLOOKUP($B239,Seqs!$A:$B,2,0),K239,1),"")</f>
        <v>Q</v>
      </c>
      <c r="K239" s="23">
        <v>65</v>
      </c>
      <c r="L239" s="3" t="str">
        <f>IFERROR(MID(VLOOKUP($B239,Seqs!$A:$B,2,0),M239,1),"")</f>
        <v>C</v>
      </c>
      <c r="M239" s="3">
        <v>66</v>
      </c>
      <c r="N239" s="3" t="str">
        <f>IFERROR(MID(VLOOKUP($B239,Seqs!$A:$B,2,0),O239,1),"")</f>
        <v>D</v>
      </c>
      <c r="O239" s="3">
        <v>95</v>
      </c>
      <c r="P239" s="3" t="str">
        <f>IFERROR(MID(VLOOKUP($B239,Seqs!$A:$B,2,0),Q239,1),"")</f>
        <v/>
      </c>
      <c r="Q239" s="3" t="s">
        <v>23</v>
      </c>
      <c r="R239" s="3" t="str">
        <f>IFERROR(MID(VLOOKUP($B239,Seqs!$A:$B,2,0),S239,1),"")</f>
        <v/>
      </c>
      <c r="S239" s="3" t="s">
        <v>23</v>
      </c>
      <c r="T239" s="3" t="str">
        <f>IFERROR(MID(VLOOKUP($B239,Seqs!$A:$B,2,0),U239,1),"")</f>
        <v>A</v>
      </c>
      <c r="U239" s="105">
        <v>100</v>
      </c>
      <c r="V239" s="3" t="str">
        <f>IFERROR(MID(VLOOKUP($B239,Seqs!$A:$B,2,0),W239,1),"")</f>
        <v>V</v>
      </c>
      <c r="W239" s="105">
        <v>134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P</v>
      </c>
      <c r="AC239" s="9">
        <v>140</v>
      </c>
      <c r="AD239" s="3" t="str">
        <f>IFERROR(MID(VLOOKUP($B239,Seqs!$A:$B,2,0),AE239,1),"")</f>
        <v>M</v>
      </c>
      <c r="AE239" s="105">
        <v>164</v>
      </c>
      <c r="AF239" s="3" t="str">
        <f>IFERROR(MID(VLOOKUP($B239,Seqs!$A:$B,2,0),AG239,1),"")</f>
        <v>C</v>
      </c>
      <c r="AG239" s="3">
        <v>173</v>
      </c>
      <c r="AH239" s="3" t="str">
        <f>IFERROR(MID(VLOOKUP($B239,Seqs!$A:$B,2,0),AI239,1),"")</f>
        <v>T</v>
      </c>
      <c r="AI239" s="3">
        <v>175</v>
      </c>
      <c r="AJ239" s="3" t="str">
        <f>IFERROR(MID(VLOOKUP($B239,Seqs!$A:$B,2,0),AK239,1),"")</f>
        <v>S</v>
      </c>
      <c r="AK239" s="105">
        <v>183</v>
      </c>
      <c r="AL239" s="3" t="str">
        <f>IFERROR(MID(VLOOKUP($B239,Seqs!$A:$B,2,0),AM239,1),"")</f>
        <v>S</v>
      </c>
      <c r="AM239" s="3">
        <v>218</v>
      </c>
      <c r="AN239" s="3" t="str">
        <f>IFERROR(MID(VLOOKUP($B239,Seqs!$A:$B,2,0),AO239,1),"")</f>
        <v>H</v>
      </c>
      <c r="AO239" s="3">
        <v>222</v>
      </c>
      <c r="AP239" s="3" t="str">
        <f>IFERROR(MID(VLOOKUP($B239,Seqs!$A:$B,2,0),AQ239,1),"")</f>
        <v>K</v>
      </c>
      <c r="AQ239" s="3">
        <v>257</v>
      </c>
      <c r="AR239" s="3" t="str">
        <f>IFERROR(MID(VLOOKUP($B239,Seqs!$A:$B,2,0),AS239,1),"")</f>
        <v>S</v>
      </c>
      <c r="AS239" s="3">
        <v>262</v>
      </c>
      <c r="AT239" s="3" t="str">
        <f>IFERROR(MID(VLOOKUP($B239,Seqs!$A:$B,2,0),AU239,1),"")</f>
        <v>V</v>
      </c>
      <c r="AU239" s="3">
        <v>294</v>
      </c>
      <c r="AV239" s="3" t="str">
        <f>IFERROR(MID(VLOOKUP($B239,Seqs!$A:$B,2,0),AW239,1),"")</f>
        <v>G</v>
      </c>
      <c r="AW239" s="3">
        <v>295</v>
      </c>
      <c r="AX239" s="3" t="str">
        <f>IFERROR(MID(VLOOKUP($B239,Seqs!$A:$B,2,0),AY239,1),"")</f>
        <v>R</v>
      </c>
      <c r="AY239" s="3">
        <v>310</v>
      </c>
      <c r="AZ239" s="77" t="str">
        <f>VLOOKUP(B239,Classification!A:D,2,0)</f>
        <v>A</v>
      </c>
      <c r="BA239" s="94" t="str">
        <f>VLOOKUP(B239,Classification!A:D,4,0)</f>
        <v>Chemokine</v>
      </c>
      <c r="BB239" s="27" t="b">
        <f t="shared" si="334"/>
        <v>1</v>
      </c>
      <c r="BC239" s="23">
        <f t="shared" si="307"/>
        <v>257</v>
      </c>
      <c r="BD239" s="56" t="s">
        <v>1379</v>
      </c>
      <c r="BE239" s="3" t="s">
        <v>23</v>
      </c>
      <c r="BF239" s="119" t="s">
        <v>23</v>
      </c>
      <c r="BG239" s="49" t="s">
        <v>1379</v>
      </c>
      <c r="BH239" s="49" t="s">
        <v>1384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308"/>
        <v>25</v>
      </c>
      <c r="BW239" s="71">
        <f t="shared" si="309"/>
        <v>62</v>
      </c>
      <c r="BX239" s="72">
        <f t="shared" si="310"/>
        <v>66</v>
      </c>
      <c r="BY239" s="71" t="str">
        <f t="shared" si="311"/>
        <v>-</v>
      </c>
      <c r="BZ239" s="72">
        <f t="shared" si="312"/>
        <v>100</v>
      </c>
      <c r="CA239" s="71" t="str">
        <f t="shared" si="313"/>
        <v>-</v>
      </c>
      <c r="CB239" s="72">
        <f t="shared" si="314"/>
        <v>140</v>
      </c>
      <c r="CC239" s="71">
        <f t="shared" si="315"/>
        <v>173</v>
      </c>
      <c r="CD239" s="72">
        <f t="shared" si="316"/>
        <v>183</v>
      </c>
      <c r="CE239" s="71">
        <f t="shared" si="317"/>
        <v>222</v>
      </c>
      <c r="CF239" s="72">
        <f t="shared" si="318"/>
        <v>262</v>
      </c>
      <c r="CG239" s="71">
        <f t="shared" si="319"/>
        <v>295</v>
      </c>
      <c r="CH239" s="70">
        <f t="shared" si="320"/>
        <v>61</v>
      </c>
      <c r="CI239" s="71">
        <f t="shared" si="321"/>
        <v>65</v>
      </c>
      <c r="CJ239" s="72">
        <f t="shared" si="322"/>
        <v>95</v>
      </c>
      <c r="CK239" s="72" t="str">
        <f t="shared" si="323"/>
        <v>-</v>
      </c>
      <c r="CL239" s="72">
        <f t="shared" si="324"/>
        <v>134</v>
      </c>
      <c r="CM239" s="72" t="str">
        <f t="shared" si="325"/>
        <v>-</v>
      </c>
      <c r="CN239" s="72">
        <f t="shared" si="326"/>
        <v>164</v>
      </c>
      <c r="CO239" s="72">
        <f t="shared" si="327"/>
        <v>175</v>
      </c>
      <c r="CP239" s="72">
        <f t="shared" si="328"/>
        <v>218</v>
      </c>
      <c r="CQ239" s="72">
        <f t="shared" si="329"/>
        <v>257</v>
      </c>
      <c r="CR239" s="72">
        <f t="shared" si="330"/>
        <v>294</v>
      </c>
      <c r="CS239" s="72">
        <f t="shared" si="331"/>
        <v>310</v>
      </c>
      <c r="CT239" s="23">
        <f t="shared" si="332"/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333"/>
        <v>us28_hcmva_4XT1</v>
      </c>
      <c r="B240" s="3" t="s">
        <v>924</v>
      </c>
      <c r="C240" s="3" t="s">
        <v>1124</v>
      </c>
      <c r="D240" s="3" t="str">
        <f>IFERROR(MID(VLOOKUP($B240,Seqs!$A:$B,2,0),E240,1),"")</f>
        <v>F</v>
      </c>
      <c r="E240" s="105">
        <v>25</v>
      </c>
      <c r="F240" s="3" t="str">
        <f>IFERROR(MID(VLOOKUP($B240,Seqs!$A:$B,2,0),G240,1),"")</f>
        <v>R</v>
      </c>
      <c r="G240" s="3">
        <v>61</v>
      </c>
      <c r="H240" s="3" t="str">
        <f>IFERROR(MID(VLOOKUP($B240,Seqs!$A:$B,2,0),I240,1),"")</f>
        <v/>
      </c>
      <c r="I240" s="23" t="s">
        <v>23</v>
      </c>
      <c r="J240" s="3" t="str">
        <f>IFERROR(MID(VLOOKUP($B240,Seqs!$A:$B,2,0),K240,1),"")</f>
        <v/>
      </c>
      <c r="K240" s="23" t="s">
        <v>23</v>
      </c>
      <c r="L240" s="3" t="str">
        <f>IFERROR(MID(VLOOKUP($B240,Seqs!$A:$B,2,0),M240,1),"")</f>
        <v>C</v>
      </c>
      <c r="M240" s="3">
        <v>66</v>
      </c>
      <c r="N240" s="3" t="str">
        <f>IFERROR(MID(VLOOKUP($B240,Seqs!$A:$B,2,0),O240,1),"")</f>
        <v>D</v>
      </c>
      <c r="O240" s="3">
        <v>95</v>
      </c>
      <c r="P240" s="3" t="str">
        <f>IFERROR(MID(VLOOKUP($B240,Seqs!$A:$B,2,0),Q240,1),"")</f>
        <v/>
      </c>
      <c r="Q240" s="3" t="s">
        <v>23</v>
      </c>
      <c r="R240" s="3" t="str">
        <f>IFERROR(MID(VLOOKUP($B240,Seqs!$A:$B,2,0),S240,1),"")</f>
        <v/>
      </c>
      <c r="S240" s="3" t="s">
        <v>23</v>
      </c>
      <c r="T240" s="3" t="str">
        <f>IFERROR(MID(VLOOKUP($B240,Seqs!$A:$B,2,0),U240,1),"")</f>
        <v>P</v>
      </c>
      <c r="U240" s="3">
        <v>103</v>
      </c>
      <c r="V240" s="3" t="str">
        <f>IFERROR(MID(VLOOKUP($B240,Seqs!$A:$B,2,0),W240,1),"")</f>
        <v>V</v>
      </c>
      <c r="W240" s="105">
        <v>134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P</v>
      </c>
      <c r="AC240" s="9">
        <v>140</v>
      </c>
      <c r="AD240" s="3" t="str">
        <f>IFERROR(MID(VLOOKUP($B240,Seqs!$A:$B,2,0),AE240,1),"")</f>
        <v>M</v>
      </c>
      <c r="AE240" s="105">
        <v>164</v>
      </c>
      <c r="AF240" s="3" t="str">
        <f>IFERROR(MID(VLOOKUP($B240,Seqs!$A:$B,2,0),AG240,1),"")</f>
        <v>C</v>
      </c>
      <c r="AG240" s="3">
        <v>173</v>
      </c>
      <c r="AH240" s="3" t="str">
        <f>IFERROR(MID(VLOOKUP($B240,Seqs!$A:$B,2,0),AI240,1),"")</f>
        <v>T</v>
      </c>
      <c r="AI240" s="3">
        <v>175</v>
      </c>
      <c r="AJ240" s="3" t="str">
        <f>IFERROR(MID(VLOOKUP($B240,Seqs!$A:$B,2,0),AK240,1),"")</f>
        <v>S</v>
      </c>
      <c r="AK240" s="105">
        <v>183</v>
      </c>
      <c r="AL240" s="3" t="str">
        <f>IFERROR(MID(VLOOKUP($B240,Seqs!$A:$B,2,0),AM240,1),"")</f>
        <v>S</v>
      </c>
      <c r="AM240" s="3">
        <v>218</v>
      </c>
      <c r="AN240" s="3" t="str">
        <f>IFERROR(MID(VLOOKUP($B240,Seqs!$A:$B,2,0),AO240,1),"")</f>
        <v>H</v>
      </c>
      <c r="AO240" s="3">
        <v>222</v>
      </c>
      <c r="AP240" s="3" t="str">
        <f>IFERROR(MID(VLOOKUP($B240,Seqs!$A:$B,2,0),AQ240,1),"")</f>
        <v>K</v>
      </c>
      <c r="AQ240" s="3">
        <v>257</v>
      </c>
      <c r="AR240" s="3" t="str">
        <f>IFERROR(MID(VLOOKUP($B240,Seqs!$A:$B,2,0),AS240,1),"")</f>
        <v>C</v>
      </c>
      <c r="AS240" s="3">
        <v>263</v>
      </c>
      <c r="AT240" s="3" t="str">
        <f>IFERROR(MID(VLOOKUP($B240,Seqs!$A:$B,2,0),AU240,1),"")</f>
        <v>V</v>
      </c>
      <c r="AU240" s="3">
        <v>294</v>
      </c>
      <c r="AV240" s="3" t="str">
        <f>IFERROR(MID(VLOOKUP($B240,Seqs!$A:$B,2,0),AW240,1),"")</f>
        <v>G</v>
      </c>
      <c r="AW240" s="3">
        <v>295</v>
      </c>
      <c r="AX240" s="3" t="str">
        <f>IFERROR(MID(VLOOKUP($B240,Seqs!$A:$B,2,0),AY240,1),"")</f>
        <v>R</v>
      </c>
      <c r="AY240" s="3">
        <v>310</v>
      </c>
      <c r="AZ240" s="77" t="str">
        <f>VLOOKUP(B240,Classification!A:D,2,0)</f>
        <v>A</v>
      </c>
      <c r="BA240" s="94" t="str">
        <f>VLOOKUP(B240,Classification!A:D,4,0)</f>
        <v>Chemokine</v>
      </c>
      <c r="BB240" s="27" t="b">
        <f t="shared" si="334"/>
        <v>1</v>
      </c>
      <c r="BC240" s="23">
        <f t="shared" si="307"/>
        <v>250</v>
      </c>
      <c r="BD240" s="4" t="s">
        <v>1382</v>
      </c>
      <c r="BE240" s="3" t="s">
        <v>1297</v>
      </c>
      <c r="BF240" s="119">
        <v>2.89</v>
      </c>
      <c r="BG240" s="49" t="s">
        <v>1384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308"/>
        <v>25</v>
      </c>
      <c r="BW240" s="71" t="str">
        <f t="shared" si="309"/>
        <v>-</v>
      </c>
      <c r="BX240" s="72">
        <f t="shared" si="310"/>
        <v>66</v>
      </c>
      <c r="BY240" s="71" t="str">
        <f t="shared" si="311"/>
        <v>-</v>
      </c>
      <c r="BZ240" s="72">
        <f t="shared" si="312"/>
        <v>103</v>
      </c>
      <c r="CA240" s="71" t="str">
        <f t="shared" si="313"/>
        <v>-</v>
      </c>
      <c r="CB240" s="72">
        <f t="shared" si="314"/>
        <v>140</v>
      </c>
      <c r="CC240" s="71">
        <f t="shared" si="315"/>
        <v>173</v>
      </c>
      <c r="CD240" s="72">
        <f t="shared" si="316"/>
        <v>183</v>
      </c>
      <c r="CE240" s="71">
        <f t="shared" si="317"/>
        <v>222</v>
      </c>
      <c r="CF240" s="72">
        <f t="shared" si="318"/>
        <v>263</v>
      </c>
      <c r="CG240" s="71">
        <f t="shared" si="319"/>
        <v>295</v>
      </c>
      <c r="CH240" s="70">
        <f t="shared" si="320"/>
        <v>61</v>
      </c>
      <c r="CI240" s="71" t="str">
        <f t="shared" si="321"/>
        <v>-</v>
      </c>
      <c r="CJ240" s="72">
        <f t="shared" si="322"/>
        <v>95</v>
      </c>
      <c r="CK240" s="72" t="str">
        <f t="shared" si="323"/>
        <v>-</v>
      </c>
      <c r="CL240" s="72">
        <f t="shared" si="324"/>
        <v>134</v>
      </c>
      <c r="CM240" s="72" t="str">
        <f t="shared" si="325"/>
        <v>-</v>
      </c>
      <c r="CN240" s="72">
        <f t="shared" si="326"/>
        <v>164</v>
      </c>
      <c r="CO240" s="72">
        <f t="shared" si="327"/>
        <v>175</v>
      </c>
      <c r="CP240" s="72">
        <f t="shared" si="328"/>
        <v>218</v>
      </c>
      <c r="CQ240" s="72">
        <f t="shared" si="329"/>
        <v>257</v>
      </c>
      <c r="CR240" s="72">
        <f t="shared" si="330"/>
        <v>294</v>
      </c>
      <c r="CS240" s="72">
        <f t="shared" si="331"/>
        <v>310</v>
      </c>
      <c r="CT240" s="23" t="e">
        <f t="shared" si="332"/>
        <v>#VALUE!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333"/>
        <v>us28_hcmva_4XT3</v>
      </c>
      <c r="B241" s="2" t="s">
        <v>924</v>
      </c>
      <c r="C241" s="3" t="s">
        <v>1378</v>
      </c>
      <c r="D241" s="3" t="str">
        <f>IFERROR(MID(VLOOKUP($B241,Seqs!$A:$B,2,0),E241,1),"")</f>
        <v>F</v>
      </c>
      <c r="E241" s="105">
        <v>25</v>
      </c>
      <c r="F241" s="3" t="str">
        <f>IFERROR(MID(VLOOKUP($B241,Seqs!$A:$B,2,0),G241,1),"")</f>
        <v>R</v>
      </c>
      <c r="G241" s="105">
        <v>62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C</v>
      </c>
      <c r="M241" s="3">
        <v>66</v>
      </c>
      <c r="N241" s="3" t="str">
        <f>IFERROR(MID(VLOOKUP($B241,Seqs!$A:$B,2,0),O241,1),"")</f>
        <v>D</v>
      </c>
      <c r="O241" s="3">
        <v>95</v>
      </c>
      <c r="P241" s="3" t="str">
        <f>IFERROR(MID(VLOOKUP($B241,Seqs!$A:$B,2,0),Q241,1),"")</f>
        <v/>
      </c>
      <c r="Q241" s="3" t="s">
        <v>23</v>
      </c>
      <c r="R241" s="3" t="str">
        <f>IFERROR(MID(VLOOKUP($B241,Seqs!$A:$B,2,0),S241,1),"")</f>
        <v/>
      </c>
      <c r="S241" s="3" t="s">
        <v>23</v>
      </c>
      <c r="T241" s="3" t="str">
        <f>IFERROR(MID(VLOOKUP($B241,Seqs!$A:$B,2,0),U241,1),"")</f>
        <v>P</v>
      </c>
      <c r="U241" s="3">
        <v>103</v>
      </c>
      <c r="V241" s="3" t="str">
        <f>IFERROR(MID(VLOOKUP($B241,Seqs!$A:$B,2,0),W241,1),"")</f>
        <v>V</v>
      </c>
      <c r="W241" s="105">
        <v>134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P</v>
      </c>
      <c r="AC241" s="9">
        <v>140</v>
      </c>
      <c r="AD241" s="3" t="str">
        <f>IFERROR(MID(VLOOKUP($B241,Seqs!$A:$B,2,0),AE241,1),"")</f>
        <v>M</v>
      </c>
      <c r="AE241" s="105">
        <v>164</v>
      </c>
      <c r="AF241" s="3" t="str">
        <f>IFERROR(MID(VLOOKUP($B241,Seqs!$A:$B,2,0),AG241,1),"")</f>
        <v>C</v>
      </c>
      <c r="AG241" s="3">
        <v>173</v>
      </c>
      <c r="AH241" s="3" t="str">
        <f>IFERROR(MID(VLOOKUP($B241,Seqs!$A:$B,2,0),AI241,1),"")</f>
        <v>T</v>
      </c>
      <c r="AI241" s="3">
        <v>175</v>
      </c>
      <c r="AJ241" s="3" t="str">
        <f>IFERROR(MID(VLOOKUP($B241,Seqs!$A:$B,2,0),AK241,1),"")</f>
        <v>S</v>
      </c>
      <c r="AK241" s="105">
        <v>183</v>
      </c>
      <c r="AL241" s="3" t="str">
        <f>IFERROR(MID(VLOOKUP($B241,Seqs!$A:$B,2,0),AM241,1),"")</f>
        <v>S</v>
      </c>
      <c r="AM241" s="3">
        <v>218</v>
      </c>
      <c r="AN241" s="3" t="str">
        <f>IFERROR(MID(VLOOKUP($B241,Seqs!$A:$B,2,0),AO241,1),"")</f>
        <v>H</v>
      </c>
      <c r="AO241" s="3">
        <v>222</v>
      </c>
      <c r="AP241" s="3" t="str">
        <f>IFERROR(MID(VLOOKUP($B241,Seqs!$A:$B,2,0),AQ241,1),"")</f>
        <v>K</v>
      </c>
      <c r="AQ241" s="3">
        <v>257</v>
      </c>
      <c r="AR241" s="3" t="str">
        <f>IFERROR(MID(VLOOKUP($B241,Seqs!$A:$B,2,0),AS241,1),"")</f>
        <v>C</v>
      </c>
      <c r="AS241" s="3">
        <v>263</v>
      </c>
      <c r="AT241" s="3" t="str">
        <f>IFERROR(MID(VLOOKUP($B241,Seqs!$A:$B,2,0),AU241,1),"")</f>
        <v>V</v>
      </c>
      <c r="AU241" s="3">
        <v>294</v>
      </c>
      <c r="AV241" s="3" t="str">
        <f>IFERROR(MID(VLOOKUP($B241,Seqs!$A:$B,2,0),AW241,1),"")</f>
        <v/>
      </c>
      <c r="AW241" s="3" t="s">
        <v>23</v>
      </c>
      <c r="AX241" s="3" t="str">
        <f>IFERROR(MID(VLOOKUP($B241,Seqs!$A:$B,2,0),AY241,1),"")</f>
        <v/>
      </c>
      <c r="AY241" s="3" t="s">
        <v>23</v>
      </c>
      <c r="AZ241" s="77" t="str">
        <f>VLOOKUP(B241,Classification!A:D,2,0)</f>
        <v>A</v>
      </c>
      <c r="BA241" s="94" t="str">
        <f>VLOOKUP(B241,Classification!A:D,4,0)</f>
        <v>Chemokine</v>
      </c>
      <c r="BB241" s="27" t="b">
        <f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>_xlfn.AGGREGATE(9,6,CH241:CS241)-_xlfn.AGGREGATE(9,6,BV241:CG241)+12</f>
        <v>236</v>
      </c>
      <c r="BD241" s="4" t="s">
        <v>23</v>
      </c>
      <c r="BE241" s="3" t="s">
        <v>1297</v>
      </c>
      <c r="BF241" s="119">
        <v>3.8</v>
      </c>
      <c r="BG241" s="49" t="s">
        <v>1384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>E241</f>
        <v>25</v>
      </c>
      <c r="BW241" s="71" t="str">
        <f>I241</f>
        <v>-</v>
      </c>
      <c r="BX241" s="72">
        <f>M241</f>
        <v>66</v>
      </c>
      <c r="BY241" s="71" t="str">
        <f>Q241</f>
        <v>-</v>
      </c>
      <c r="BZ241" s="72">
        <f>U241</f>
        <v>103</v>
      </c>
      <c r="CA241" s="71" t="str">
        <f>Y241</f>
        <v>-</v>
      </c>
      <c r="CB241" s="72">
        <f>AC241</f>
        <v>140</v>
      </c>
      <c r="CC241" s="71">
        <f>AG241</f>
        <v>173</v>
      </c>
      <c r="CD241" s="72">
        <f>AK241</f>
        <v>183</v>
      </c>
      <c r="CE241" s="71">
        <f>AO241</f>
        <v>222</v>
      </c>
      <c r="CF241" s="72">
        <f>AS241</f>
        <v>263</v>
      </c>
      <c r="CG241" s="71" t="str">
        <f>AW241</f>
        <v>-</v>
      </c>
      <c r="CH241" s="70">
        <f>G241</f>
        <v>62</v>
      </c>
      <c r="CI241" s="71" t="str">
        <f>K241</f>
        <v>-</v>
      </c>
      <c r="CJ241" s="72">
        <f>O241</f>
        <v>95</v>
      </c>
      <c r="CK241" s="72" t="str">
        <f>S241</f>
        <v>-</v>
      </c>
      <c r="CL241" s="72">
        <f>W241</f>
        <v>134</v>
      </c>
      <c r="CM241" s="72" t="str">
        <f>AA241</f>
        <v>-</v>
      </c>
      <c r="CN241" s="72">
        <f>AE241</f>
        <v>164</v>
      </c>
      <c r="CO241" s="72">
        <f>AI241</f>
        <v>175</v>
      </c>
      <c r="CP241" s="72">
        <f>AM241</f>
        <v>218</v>
      </c>
      <c r="CQ241" s="72">
        <f>AQ241</f>
        <v>257</v>
      </c>
      <c r="CR241" s="72">
        <f>AU241</f>
        <v>294</v>
      </c>
      <c r="CS241" s="72" t="str">
        <f>AY241</f>
        <v>-</v>
      </c>
      <c r="CT241" s="23" t="e">
        <f>M241-K241</f>
        <v>#VALUE!</v>
      </c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6"/>
      <c r="ACQ241" s="6"/>
      <c r="ACR241" s="6"/>
      <c r="ACS241" s="6"/>
      <c r="ACT241" s="6"/>
      <c r="ACU241" s="6"/>
      <c r="ACV241" s="6"/>
      <c r="ACW241" s="6"/>
      <c r="ACX241" s="6"/>
      <c r="ACY241" s="6"/>
      <c r="ACZ241" s="6"/>
      <c r="ADA241" s="6"/>
      <c r="ADB241" s="6"/>
      <c r="ADC241" s="6"/>
      <c r="ADD241" s="6"/>
      <c r="ADE241" s="6"/>
      <c r="ADF241" s="6"/>
      <c r="ADG241" s="6"/>
      <c r="ADH241" s="6"/>
      <c r="ADI241" s="6"/>
      <c r="ADJ241" s="6"/>
      <c r="ADK241" s="6"/>
      <c r="ADL241" s="6"/>
      <c r="ADM241" s="6"/>
      <c r="ADN241" s="6"/>
      <c r="ADO241" s="6"/>
      <c r="ADP241" s="6"/>
      <c r="ADQ241" s="6"/>
      <c r="ADR241" s="6"/>
      <c r="ADS241" s="6"/>
      <c r="ADT241" s="6"/>
      <c r="ADU241" s="6"/>
      <c r="ADV241" s="6"/>
      <c r="ADW241" s="6"/>
      <c r="ADX241" s="6"/>
      <c r="ADY241" s="6"/>
      <c r="ADZ241" s="6"/>
      <c r="AEA241" s="6"/>
      <c r="AEB241" s="6"/>
      <c r="AEC241" s="6"/>
      <c r="AED241" s="6"/>
      <c r="AEE241" s="6"/>
      <c r="AEF241" s="6"/>
      <c r="AEG241" s="6"/>
      <c r="AEH241" s="6"/>
      <c r="AEI241" s="6"/>
      <c r="AEJ241" s="6"/>
      <c r="AEK241" s="6"/>
      <c r="AEL241" s="6"/>
      <c r="AEM241" s="6"/>
      <c r="AEN241" s="6"/>
      <c r="AEO241" s="6"/>
      <c r="AEP241" s="6"/>
      <c r="AEQ241" s="6"/>
      <c r="AER241" s="6"/>
      <c r="AES241" s="6"/>
      <c r="AET241" s="6"/>
      <c r="AEU241" s="6"/>
      <c r="AEV241" s="6"/>
      <c r="AEW241" s="6"/>
      <c r="AEX241" s="6"/>
      <c r="AEY241" s="6"/>
      <c r="AEZ241" s="6"/>
      <c r="AFA241" s="6"/>
      <c r="AFB241" s="6"/>
      <c r="AFC241" s="6"/>
      <c r="AFD241" s="6"/>
      <c r="AFE241" s="6"/>
      <c r="AFF241" s="6"/>
      <c r="AFG241" s="6"/>
      <c r="AFH241" s="6"/>
      <c r="AFI241" s="6"/>
      <c r="AFJ241" s="6"/>
      <c r="AFK241" s="6"/>
      <c r="AFL241" s="6"/>
      <c r="AFM241" s="6"/>
      <c r="AFN241" s="6"/>
      <c r="AFO241" s="6"/>
      <c r="AFP241" s="6"/>
      <c r="AFQ241" s="6"/>
      <c r="AFR241" s="6"/>
      <c r="AFS241" s="6"/>
      <c r="AFT241" s="6"/>
      <c r="AFU241" s="6"/>
      <c r="AFV241" s="6"/>
      <c r="AFW241" s="6"/>
      <c r="AFX241" s="6"/>
      <c r="AFY241" s="6"/>
      <c r="AFZ241" s="6"/>
      <c r="AGA241" s="6"/>
      <c r="AGB241" s="6"/>
      <c r="AGC241" s="6"/>
      <c r="AGD241" s="6"/>
      <c r="AGE241" s="6"/>
      <c r="AGF241" s="6"/>
      <c r="AGG241" s="6"/>
      <c r="AGH241" s="6"/>
      <c r="AGI241" s="6"/>
      <c r="AGJ241" s="6"/>
      <c r="AGK241" s="6"/>
      <c r="AGL241" s="6"/>
      <c r="AGM241" s="6"/>
      <c r="AGN241" s="6"/>
      <c r="AGO241" s="6"/>
      <c r="AGP241" s="6"/>
      <c r="AGQ241" s="6"/>
      <c r="AGR241" s="6"/>
      <c r="AGS241" s="6"/>
      <c r="AGT241" s="6"/>
      <c r="AGU241" s="6"/>
      <c r="AGV241" s="6"/>
      <c r="AGW241" s="6"/>
      <c r="AGX241" s="6"/>
      <c r="AGY241" s="6"/>
      <c r="AGZ241" s="6"/>
      <c r="AHA241" s="6"/>
      <c r="AHB241" s="6"/>
      <c r="AHC241" s="6"/>
      <c r="AHD241" s="6"/>
      <c r="AHE241" s="6"/>
      <c r="AHF241" s="6"/>
      <c r="AHG241" s="6"/>
      <c r="AHH241" s="6"/>
      <c r="AHI241" s="6"/>
      <c r="AHJ241" s="6"/>
      <c r="AHK241" s="6"/>
      <c r="AHL241" s="6"/>
      <c r="AHM241" s="6"/>
      <c r="AHN241" s="6"/>
      <c r="AHO241" s="6"/>
      <c r="AHP241" s="6"/>
      <c r="AHQ241" s="6"/>
      <c r="AHR241" s="6"/>
      <c r="AHS241" s="6"/>
      <c r="AHT241" s="6"/>
      <c r="AHU241" s="6"/>
      <c r="AHV241" s="6"/>
      <c r="AHW241" s="6"/>
      <c r="AHX241" s="6"/>
      <c r="AHY241" s="6"/>
      <c r="AHZ241" s="6"/>
      <c r="AIA241" s="6"/>
      <c r="AIB241" s="6"/>
      <c r="AIC241" s="6"/>
      <c r="AID241" s="6"/>
      <c r="AIE241" s="6"/>
      <c r="AIF241" s="6"/>
      <c r="AIG241" s="6"/>
      <c r="AIH241" s="6"/>
      <c r="AII241" s="6"/>
      <c r="AIJ241" s="6"/>
      <c r="AIK241" s="6"/>
      <c r="AIL241" s="6"/>
      <c r="AIM241" s="6"/>
      <c r="AIN241" s="6"/>
      <c r="AIO241" s="6"/>
      <c r="AIP241" s="6"/>
      <c r="AIQ241" s="6"/>
      <c r="AIR241" s="6"/>
      <c r="AIS241" s="6"/>
      <c r="AIT241" s="6"/>
      <c r="AIU241" s="6"/>
      <c r="AIV241" s="6"/>
      <c r="AIW241" s="6"/>
      <c r="AIX241" s="6"/>
      <c r="AIY241" s="6"/>
      <c r="AIZ241" s="6"/>
      <c r="AJA241" s="6"/>
      <c r="AJB241" s="6"/>
      <c r="AJC241" s="6"/>
      <c r="AJD241" s="6"/>
      <c r="AJE241" s="6"/>
      <c r="AJF241" s="6"/>
      <c r="AJG241" s="6"/>
      <c r="AJH241" s="6"/>
      <c r="AJI241" s="6"/>
      <c r="AJJ241" s="6"/>
      <c r="AJK241" s="6"/>
      <c r="AJL241" s="6"/>
      <c r="AJM241" s="6"/>
      <c r="AJN241" s="6"/>
      <c r="AJO241" s="6"/>
      <c r="AJP241" s="6"/>
      <c r="AJQ241" s="6"/>
      <c r="AJR241" s="6"/>
      <c r="AJS241" s="6"/>
      <c r="AJT241" s="6"/>
      <c r="AJU241" s="6"/>
      <c r="AJV241" s="6"/>
      <c r="AJW241" s="6"/>
      <c r="AJX241" s="6"/>
      <c r="AJY241" s="6"/>
      <c r="AJZ241" s="6"/>
      <c r="AKA241" s="6"/>
      <c r="AKB241" s="6"/>
      <c r="AKC241" s="6"/>
      <c r="AKD241" s="6"/>
      <c r="AKE241" s="6"/>
      <c r="AKF241" s="6"/>
      <c r="AKG241" s="6"/>
      <c r="AKH241" s="6"/>
      <c r="AKI241" s="6"/>
      <c r="AKJ241" s="6"/>
      <c r="AKK241" s="6"/>
      <c r="AKL241" s="6"/>
      <c r="AKM241" s="6"/>
      <c r="AKN241" s="6"/>
      <c r="AKO241" s="6"/>
      <c r="AKP241" s="6"/>
      <c r="AKQ241" s="6"/>
      <c r="AKR241" s="6"/>
      <c r="AKS241" s="6"/>
      <c r="AKT241" s="6"/>
      <c r="AKU241" s="6"/>
      <c r="AKV241" s="6"/>
      <c r="AKW241" s="6"/>
      <c r="AKX241" s="6"/>
      <c r="AKY241" s="6"/>
      <c r="AKZ241" s="6"/>
      <c r="ALA241" s="6"/>
      <c r="ALB241" s="6"/>
      <c r="ALC241" s="6"/>
      <c r="ALD241" s="6"/>
      <c r="ALE241" s="6"/>
      <c r="ALF241" s="6"/>
      <c r="ALG241" s="6"/>
      <c r="ALH241" s="6"/>
      <c r="ALI241" s="6"/>
      <c r="ALJ241" s="6"/>
      <c r="ALK241" s="6"/>
      <c r="ALL241" s="6"/>
      <c r="ALM241" s="6"/>
      <c r="ALN241" s="6"/>
      <c r="ALO241" s="6"/>
      <c r="ALP241" s="6"/>
      <c r="ALQ241" s="6"/>
      <c r="ALR241" s="6"/>
      <c r="ALS241" s="6"/>
      <c r="ALT241" s="6"/>
      <c r="ALU241" s="6"/>
      <c r="ALV241" s="6"/>
      <c r="ALW241" s="6"/>
      <c r="ALX241" s="6"/>
      <c r="ALY241" s="6"/>
      <c r="ALZ241" s="6"/>
      <c r="AMA241" s="6"/>
      <c r="AMB241" s="6"/>
      <c r="AMC241" s="6"/>
      <c r="AMD241" s="6"/>
      <c r="AME241" s="6"/>
      <c r="AMF241" s="6"/>
      <c r="AMG241" s="6"/>
      <c r="AMH241" s="6"/>
      <c r="AMI241" s="6"/>
      <c r="AMJ241" s="6"/>
      <c r="AMK241" s="6"/>
      <c r="AML241" s="6"/>
      <c r="AMM241" s="6"/>
      <c r="AMN241" s="6"/>
      <c r="AMO241" s="6"/>
      <c r="AMP241" s="6"/>
    </row>
    <row r="242" spans="1:1030" x14ac:dyDescent="0.2">
      <c r="A242" s="9" t="str">
        <f t="shared" ref="A242" si="475">CONCATENATE(B242,"_",C242)</f>
        <v>q80km9_hcmv__wt</v>
      </c>
      <c r="B242" s="40" t="s">
        <v>1524</v>
      </c>
      <c r="C242" s="9" t="s">
        <v>100</v>
      </c>
      <c r="D242" s="9" t="str">
        <f>IFERROR(MID(VLOOKUP($B242,Seqs!$A:$B,2,0),E242,1),"")</f>
        <v>F</v>
      </c>
      <c r="E242" s="9">
        <v>25</v>
      </c>
      <c r="F242" s="9" t="str">
        <f>IFERROR(MID(VLOOKUP($B242,Seqs!$A:$B,2,0),G242,1),"")</f>
        <v>R</v>
      </c>
      <c r="G242" s="9">
        <v>61</v>
      </c>
      <c r="H242" s="9" t="str">
        <f>IFERROR(MID(VLOOKUP($B242,Seqs!$A:$B,2,0),I242,1),"")</f>
        <v>R</v>
      </c>
      <c r="I242" s="109">
        <v>62</v>
      </c>
      <c r="J242" s="9" t="str">
        <f>IFERROR(MID(VLOOKUP($B242,Seqs!$A:$B,2,0),K242,1),"")</f>
        <v>Q</v>
      </c>
      <c r="K242" s="109">
        <v>65</v>
      </c>
      <c r="L242" s="9" t="str">
        <f>IFERROR(MID(VLOOKUP($B242,Seqs!$A:$B,2,0),M242,1),"")</f>
        <v>C</v>
      </c>
      <c r="M242" s="9">
        <v>66</v>
      </c>
      <c r="N242" s="9" t="str">
        <f>IFERROR(MID(VLOOKUP($B242,Seqs!$A:$B,2,0),O242,1),"")</f>
        <v>D</v>
      </c>
      <c r="O242" s="9">
        <v>95</v>
      </c>
      <c r="P242" s="9" t="str">
        <f>IFERROR(MID(VLOOKUP($B242,Seqs!$A:$B,2,0),Q242,1),"")</f>
        <v/>
      </c>
      <c r="Q242" s="9" t="s">
        <v>23</v>
      </c>
      <c r="R242" s="9" t="str">
        <f>IFERROR(MID(VLOOKUP($B242,Seqs!$A:$B,2,0),S242,1),"")</f>
        <v/>
      </c>
      <c r="S242" s="9" t="s">
        <v>23</v>
      </c>
      <c r="T242" s="9" t="str">
        <f>IFERROR(MID(VLOOKUP($B242,Seqs!$A:$B,2,0),U242,1),"")</f>
        <v>A</v>
      </c>
      <c r="U242" s="9">
        <v>100</v>
      </c>
      <c r="V242" s="9" t="str">
        <f>IFERROR(MID(VLOOKUP($B242,Seqs!$A:$B,2,0),W242,1),"")</f>
        <v>V</v>
      </c>
      <c r="W242" s="9">
        <v>134</v>
      </c>
      <c r="X242" s="9" t="str">
        <f>IFERROR(MID(VLOOKUP($B242,Seqs!$A:$B,2,0),Y242,1),"")</f>
        <v/>
      </c>
      <c r="Y242" s="9" t="s">
        <v>23</v>
      </c>
      <c r="Z242" s="9" t="str">
        <f>IFERROR(MID(VLOOKUP($B242,Seqs!$A:$B,2,0),AA242,1),"")</f>
        <v/>
      </c>
      <c r="AA242" s="9" t="s">
        <v>23</v>
      </c>
      <c r="AB242" s="9" t="str">
        <f>IFERROR(MID(VLOOKUP($B242,Seqs!$A:$B,2,0),AC242,1),"")</f>
        <v>P</v>
      </c>
      <c r="AC242" s="9">
        <v>140</v>
      </c>
      <c r="AD242" s="9" t="str">
        <f>IFERROR(MID(VLOOKUP($B242,Seqs!$A:$B,2,0),AE242,1),"")</f>
        <v>M</v>
      </c>
      <c r="AE242" s="9">
        <v>164</v>
      </c>
      <c r="AF242" s="9" t="str">
        <f>IFERROR(MID(VLOOKUP($B242,Seqs!$A:$B,2,0),AG242,1),"")</f>
        <v>C</v>
      </c>
      <c r="AG242" s="9">
        <v>173</v>
      </c>
      <c r="AH242" s="9" t="str">
        <f>IFERROR(MID(VLOOKUP($B242,Seqs!$A:$B,2,0),AI242,1),"")</f>
        <v>T</v>
      </c>
      <c r="AI242" s="9">
        <v>175</v>
      </c>
      <c r="AJ242" s="9" t="str">
        <f>IFERROR(MID(VLOOKUP($B242,Seqs!$A:$B,2,0),AK242,1),"")</f>
        <v>S</v>
      </c>
      <c r="AK242" s="9">
        <v>183</v>
      </c>
      <c r="AL242" s="9" t="str">
        <f>IFERROR(MID(VLOOKUP($B242,Seqs!$A:$B,2,0),AM242,1),"")</f>
        <v>S</v>
      </c>
      <c r="AM242" s="9">
        <v>218</v>
      </c>
      <c r="AN242" s="9" t="str">
        <f>IFERROR(MID(VLOOKUP($B242,Seqs!$A:$B,2,0),AO242,1),"")</f>
        <v>H</v>
      </c>
      <c r="AO242" s="9">
        <v>222</v>
      </c>
      <c r="AP242" s="9" t="str">
        <f>IFERROR(MID(VLOOKUP($B242,Seqs!$A:$B,2,0),AQ242,1),"")</f>
        <v>K</v>
      </c>
      <c r="AQ242" s="9">
        <v>257</v>
      </c>
      <c r="AR242" s="9" t="str">
        <f>IFERROR(MID(VLOOKUP($B242,Seqs!$A:$B,2,0),AS242,1),"")</f>
        <v>S</v>
      </c>
      <c r="AS242" s="9">
        <v>262</v>
      </c>
      <c r="AT242" s="9" t="str">
        <f>IFERROR(MID(VLOOKUP($B242,Seqs!$A:$B,2,0),AU242,1),"")</f>
        <v>V</v>
      </c>
      <c r="AU242" s="9">
        <v>294</v>
      </c>
      <c r="AV242" s="9" t="str">
        <f>IFERROR(MID(VLOOKUP($B242,Seqs!$A:$B,2,0),AW242,1),"")</f>
        <v>G</v>
      </c>
      <c r="AW242" s="9">
        <v>295</v>
      </c>
      <c r="AX242" s="9" t="str">
        <f>IFERROR(MID(VLOOKUP($B242,Seqs!$A:$B,2,0),AY242,1),"")</f>
        <v>R</v>
      </c>
      <c r="AY242" s="9">
        <v>310</v>
      </c>
      <c r="AZ242" s="110" t="str">
        <f>VLOOKUP(B242,Classification!A:D,2,0)</f>
        <v>A</v>
      </c>
      <c r="BA242" s="98" t="str">
        <f>VLOOKUP(B242,Classification!A:D,4,0)</f>
        <v>Chemokine</v>
      </c>
      <c r="BB242" s="36" t="b">
        <f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109">
        <f>_xlfn.AGGREGATE(9,6,CH242:CS242)-_xlfn.AGGREGATE(9,6,BV242:CG242)+12</f>
        <v>257</v>
      </c>
      <c r="BD242" s="11" t="s">
        <v>23</v>
      </c>
      <c r="BE242" s="9" t="s">
        <v>23</v>
      </c>
      <c r="BF242" s="120" t="s">
        <v>23</v>
      </c>
      <c r="BG242" s="51" t="s">
        <v>1384</v>
      </c>
      <c r="BH242" s="51" t="s">
        <v>1384</v>
      </c>
      <c r="BI242" s="12"/>
      <c r="BJ242" s="111" t="s">
        <v>1293</v>
      </c>
      <c r="BK242" s="112" t="s">
        <v>1293</v>
      </c>
      <c r="BL242" s="112" t="s">
        <v>1293</v>
      </c>
      <c r="BM242" s="112" t="s">
        <v>1293</v>
      </c>
      <c r="BN242" s="112" t="s">
        <v>1293</v>
      </c>
      <c r="BO242" s="112" t="s">
        <v>1293</v>
      </c>
      <c r="BP242" s="112" t="s">
        <v>1293</v>
      </c>
      <c r="BQ242" s="112" t="s">
        <v>1293</v>
      </c>
      <c r="BR242" s="112" t="s">
        <v>1293</v>
      </c>
      <c r="BS242" s="112" t="s">
        <v>1293</v>
      </c>
      <c r="BT242" s="112" t="s">
        <v>1293</v>
      </c>
      <c r="BU242" s="112" t="s">
        <v>1293</v>
      </c>
      <c r="BV242" s="111">
        <f>E242</f>
        <v>25</v>
      </c>
      <c r="BW242" s="113">
        <f>I242</f>
        <v>62</v>
      </c>
      <c r="BX242" s="114">
        <f>M242</f>
        <v>66</v>
      </c>
      <c r="BY242" s="113" t="str">
        <f>Q242</f>
        <v>-</v>
      </c>
      <c r="BZ242" s="114">
        <f>U242</f>
        <v>100</v>
      </c>
      <c r="CA242" s="113" t="str">
        <f>Y242</f>
        <v>-</v>
      </c>
      <c r="CB242" s="114">
        <f>AC242</f>
        <v>140</v>
      </c>
      <c r="CC242" s="113">
        <f>AG242</f>
        <v>173</v>
      </c>
      <c r="CD242" s="114">
        <f>AK242</f>
        <v>183</v>
      </c>
      <c r="CE242" s="113">
        <f>AO242</f>
        <v>222</v>
      </c>
      <c r="CF242" s="114">
        <f>AS242</f>
        <v>262</v>
      </c>
      <c r="CG242" s="113">
        <f>AW242</f>
        <v>295</v>
      </c>
      <c r="CH242" s="111">
        <f>G242</f>
        <v>61</v>
      </c>
      <c r="CI242" s="113">
        <f>K242</f>
        <v>65</v>
      </c>
      <c r="CJ242" s="114">
        <f>O242</f>
        <v>95</v>
      </c>
      <c r="CK242" s="114" t="str">
        <f>S242</f>
        <v>-</v>
      </c>
      <c r="CL242" s="114">
        <f>W242</f>
        <v>134</v>
      </c>
      <c r="CM242" s="114" t="str">
        <f>AA242</f>
        <v>-</v>
      </c>
      <c r="CN242" s="114">
        <f>AE242</f>
        <v>164</v>
      </c>
      <c r="CO242" s="114">
        <f>AI242</f>
        <v>175</v>
      </c>
      <c r="CP242" s="114">
        <f>AM242</f>
        <v>218</v>
      </c>
      <c r="CQ242" s="114">
        <f>AQ242</f>
        <v>257</v>
      </c>
      <c r="CR242" s="114">
        <f>AU242</f>
        <v>294</v>
      </c>
      <c r="CS242" s="114">
        <f>AY242</f>
        <v>310</v>
      </c>
      <c r="CT242" s="109">
        <f>M242-K242</f>
        <v>1</v>
      </c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  <c r="ALU242" s="6"/>
      <c r="ALV242" s="6"/>
      <c r="ALW242" s="6"/>
      <c r="ALX242" s="6"/>
      <c r="ALY242" s="6"/>
      <c r="ALZ242" s="6"/>
      <c r="AMA242" s="6"/>
      <c r="AMB242" s="6"/>
      <c r="AMC242" s="6"/>
      <c r="AMD242" s="6"/>
      <c r="AME242" s="6"/>
      <c r="AMF242" s="6"/>
      <c r="AMG242" s="6"/>
      <c r="AMH242" s="6"/>
      <c r="AMI242" s="6"/>
      <c r="AMJ242" s="6"/>
      <c r="AMK242" s="6"/>
      <c r="AML242" s="6"/>
      <c r="AMM242" s="6"/>
      <c r="AMN242" s="6"/>
      <c r="AMO242" s="6"/>
      <c r="AMP242" s="6"/>
    </row>
    <row r="243" spans="1:1030" x14ac:dyDescent="0.2">
      <c r="A243" s="9" t="str">
        <f t="shared" ref="A243" si="476">CONCATENATE(B243,"_",C243)</f>
        <v>q80km9_hcmv_5WB1</v>
      </c>
      <c r="B243" s="40" t="s">
        <v>1524</v>
      </c>
      <c r="C243" s="9" t="s">
        <v>1526</v>
      </c>
      <c r="D243" s="9" t="str">
        <f>IFERROR(MID(VLOOKUP($B243,Seqs!$A:$B,2,0),E243,1),"")</f>
        <v>F</v>
      </c>
      <c r="E243" s="9">
        <v>25</v>
      </c>
      <c r="F243" s="9" t="str">
        <f>IFERROR(MID(VLOOKUP($B243,Seqs!$A:$B,2,0),G243,1),"")</f>
        <v>W</v>
      </c>
      <c r="G243" s="9">
        <v>60</v>
      </c>
      <c r="H243" s="9" t="str">
        <f>IFERROR(MID(VLOOKUP($B243,Seqs!$A:$B,2,0),I243,1),"")</f>
        <v/>
      </c>
      <c r="I243" s="109" t="s">
        <v>23</v>
      </c>
      <c r="J243" s="9" t="str">
        <f>IFERROR(MID(VLOOKUP($B243,Seqs!$A:$B,2,0),K243,1),"")</f>
        <v/>
      </c>
      <c r="K243" s="109" t="s">
        <v>23</v>
      </c>
      <c r="L243" s="9" t="str">
        <f>IFERROR(MID(VLOOKUP($B243,Seqs!$A:$B,2,0),M243,1),"")</f>
        <v>C</v>
      </c>
      <c r="M243" s="9">
        <v>66</v>
      </c>
      <c r="N243" s="9" t="str">
        <f>IFERROR(MID(VLOOKUP($B243,Seqs!$A:$B,2,0),O243,1),"")</f>
        <v>D</v>
      </c>
      <c r="O243" s="9">
        <v>95</v>
      </c>
      <c r="P243" s="9" t="str">
        <f>IFERROR(MID(VLOOKUP($B243,Seqs!$A:$B,2,0),Q243,1),"")</f>
        <v/>
      </c>
      <c r="Q243" s="9" t="s">
        <v>23</v>
      </c>
      <c r="R243" s="9" t="str">
        <f>IFERROR(MID(VLOOKUP($B243,Seqs!$A:$B,2,0),S243,1),"")</f>
        <v/>
      </c>
      <c r="S243" s="9" t="s">
        <v>23</v>
      </c>
      <c r="T243" s="9" t="str">
        <f>IFERROR(MID(VLOOKUP($B243,Seqs!$A:$B,2,0),U243,1),"")</f>
        <v>A</v>
      </c>
      <c r="U243" s="9">
        <v>100</v>
      </c>
      <c r="V243" s="9" t="str">
        <f>IFERROR(MID(VLOOKUP($B243,Seqs!$A:$B,2,0),W243,1),"")</f>
        <v>V</v>
      </c>
      <c r="W243" s="9">
        <v>134</v>
      </c>
      <c r="X243" s="9" t="str">
        <f>IFERROR(MID(VLOOKUP($B243,Seqs!$A:$B,2,0),Y243,1),"")</f>
        <v/>
      </c>
      <c r="Y243" s="9" t="s">
        <v>23</v>
      </c>
      <c r="Z243" s="9" t="str">
        <f>IFERROR(MID(VLOOKUP($B243,Seqs!$A:$B,2,0),AA243,1),"")</f>
        <v/>
      </c>
      <c r="AA243" s="9" t="s">
        <v>23</v>
      </c>
      <c r="AB243" s="9" t="str">
        <f>IFERROR(MID(VLOOKUP($B243,Seqs!$A:$B,2,0),AC243,1),"")</f>
        <v>P</v>
      </c>
      <c r="AC243" s="9">
        <v>140</v>
      </c>
      <c r="AD243" s="9" t="str">
        <f>IFERROR(MID(VLOOKUP($B243,Seqs!$A:$B,2,0),AE243,1),"")</f>
        <v>M</v>
      </c>
      <c r="AE243" s="9">
        <v>164</v>
      </c>
      <c r="AF243" s="9" t="str">
        <f>IFERROR(MID(VLOOKUP($B243,Seqs!$A:$B,2,0),AG243,1),"")</f>
        <v>C</v>
      </c>
      <c r="AG243" s="9">
        <v>173</v>
      </c>
      <c r="AH243" s="9" t="str">
        <f>IFERROR(MID(VLOOKUP($B243,Seqs!$A:$B,2,0),AI243,1),"")</f>
        <v>T</v>
      </c>
      <c r="AI243" s="9">
        <v>175</v>
      </c>
      <c r="AJ243" s="9" t="str">
        <f>IFERROR(MID(VLOOKUP($B243,Seqs!$A:$B,2,0),AK243,1),"")</f>
        <v>S</v>
      </c>
      <c r="AK243" s="9">
        <v>183</v>
      </c>
      <c r="AL243" s="9" t="str">
        <f>IFERROR(MID(VLOOKUP($B243,Seqs!$A:$B,2,0),AM243,1),"")</f>
        <v>S</v>
      </c>
      <c r="AM243" s="9">
        <v>218</v>
      </c>
      <c r="AN243" s="9" t="str">
        <f>IFERROR(MID(VLOOKUP($B243,Seqs!$A:$B,2,0),AO243,1),"")</f>
        <v>H</v>
      </c>
      <c r="AO243" s="9">
        <v>222</v>
      </c>
      <c r="AP243" s="9" t="str">
        <f>IFERROR(MID(VLOOKUP($B243,Seqs!$A:$B,2,0),AQ243,1),"")</f>
        <v>K</v>
      </c>
      <c r="AQ243" s="9">
        <v>257</v>
      </c>
      <c r="AR243" s="9" t="str">
        <f>IFERROR(MID(VLOOKUP($B243,Seqs!$A:$B,2,0),AS243,1),"")</f>
        <v>S</v>
      </c>
      <c r="AS243" s="9">
        <v>262</v>
      </c>
      <c r="AT243" s="9" t="str">
        <f>IFERROR(MID(VLOOKUP($B243,Seqs!$A:$B,2,0),AU243,1),"")</f>
        <v>V</v>
      </c>
      <c r="AU243" s="9">
        <v>294</v>
      </c>
      <c r="AV243" s="9" t="str">
        <f>IFERROR(MID(VLOOKUP($B243,Seqs!$A:$B,2,0),AW243,1),"")</f>
        <v>G</v>
      </c>
      <c r="AW243" s="9">
        <v>295</v>
      </c>
      <c r="AX243" s="9" t="str">
        <f>IFERROR(MID(VLOOKUP($B243,Seqs!$A:$B,2,0),AY243,1),"")</f>
        <v>R</v>
      </c>
      <c r="AY243" s="9">
        <v>310</v>
      </c>
      <c r="AZ243" s="110" t="str">
        <f>VLOOKUP(B243,Classification!A:D,2,0)</f>
        <v>A</v>
      </c>
      <c r="BA243" s="98" t="str">
        <f>VLOOKUP(B243,Classification!A:D,4,0)</f>
        <v>Chemokine</v>
      </c>
      <c r="BB243" s="36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109">
        <f>_xlfn.AGGREGATE(9,6,CH243:CS243)-_xlfn.AGGREGATE(9,6,BV243:CG243)+12</f>
        <v>253</v>
      </c>
      <c r="BD243" s="11" t="s">
        <v>1382</v>
      </c>
      <c r="BE243" s="9" t="s">
        <v>1297</v>
      </c>
      <c r="BF243" s="120">
        <v>3.51</v>
      </c>
      <c r="BG243" s="51" t="s">
        <v>1</v>
      </c>
      <c r="BH243" s="51" t="s">
        <v>1</v>
      </c>
      <c r="BI243" s="12"/>
      <c r="BJ243" s="111" t="s">
        <v>1293</v>
      </c>
      <c r="BK243" s="112" t="s">
        <v>1293</v>
      </c>
      <c r="BL243" s="112" t="s">
        <v>1293</v>
      </c>
      <c r="BM243" s="112" t="s">
        <v>1293</v>
      </c>
      <c r="BN243" s="112" t="s">
        <v>1293</v>
      </c>
      <c r="BO243" s="112" t="s">
        <v>1293</v>
      </c>
      <c r="BP243" s="112" t="s">
        <v>1293</v>
      </c>
      <c r="BQ243" s="112" t="s">
        <v>1293</v>
      </c>
      <c r="BR243" s="112" t="s">
        <v>1293</v>
      </c>
      <c r="BS243" s="112" t="s">
        <v>1293</v>
      </c>
      <c r="BT243" s="112" t="s">
        <v>1293</v>
      </c>
      <c r="BU243" s="112" t="s">
        <v>1293</v>
      </c>
      <c r="BV243" s="111">
        <f>E243</f>
        <v>25</v>
      </c>
      <c r="BW243" s="113" t="str">
        <f>I243</f>
        <v>-</v>
      </c>
      <c r="BX243" s="114">
        <f>M243</f>
        <v>66</v>
      </c>
      <c r="BY243" s="113" t="str">
        <f>Q243</f>
        <v>-</v>
      </c>
      <c r="BZ243" s="114">
        <f>U243</f>
        <v>100</v>
      </c>
      <c r="CA243" s="113" t="str">
        <f>Y243</f>
        <v>-</v>
      </c>
      <c r="CB243" s="114">
        <f>AC243</f>
        <v>140</v>
      </c>
      <c r="CC243" s="113">
        <f>AG243</f>
        <v>173</v>
      </c>
      <c r="CD243" s="114">
        <f>AK243</f>
        <v>183</v>
      </c>
      <c r="CE243" s="113">
        <f>AO243</f>
        <v>222</v>
      </c>
      <c r="CF243" s="114">
        <f>AS243</f>
        <v>262</v>
      </c>
      <c r="CG243" s="113">
        <f>AW243</f>
        <v>295</v>
      </c>
      <c r="CH243" s="111">
        <f>G243</f>
        <v>60</v>
      </c>
      <c r="CI243" s="113" t="str">
        <f>K243</f>
        <v>-</v>
      </c>
      <c r="CJ243" s="114">
        <f>O243</f>
        <v>95</v>
      </c>
      <c r="CK243" s="114" t="str">
        <f>S243</f>
        <v>-</v>
      </c>
      <c r="CL243" s="114">
        <f>W243</f>
        <v>134</v>
      </c>
      <c r="CM243" s="114" t="str">
        <f>AA243</f>
        <v>-</v>
      </c>
      <c r="CN243" s="114">
        <f>AE243</f>
        <v>164</v>
      </c>
      <c r="CO243" s="114">
        <f>AI243</f>
        <v>175</v>
      </c>
      <c r="CP243" s="114">
        <f>AM243</f>
        <v>218</v>
      </c>
      <c r="CQ243" s="114">
        <f>AQ243</f>
        <v>257</v>
      </c>
      <c r="CR243" s="114">
        <f>AU243</f>
        <v>294</v>
      </c>
      <c r="CS243" s="114">
        <f>AY243</f>
        <v>310</v>
      </c>
      <c r="CT243" s="109" t="e">
        <f>M243-K243</f>
        <v>#VALUE!</v>
      </c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6"/>
      <c r="ACQ243" s="6"/>
      <c r="ACR243" s="6"/>
      <c r="ACS243" s="6"/>
      <c r="ACT243" s="6"/>
      <c r="ACU243" s="6"/>
      <c r="ACV243" s="6"/>
      <c r="ACW243" s="6"/>
      <c r="ACX243" s="6"/>
      <c r="ACY243" s="6"/>
      <c r="ACZ243" s="6"/>
      <c r="ADA243" s="6"/>
      <c r="ADB243" s="6"/>
      <c r="ADC243" s="6"/>
      <c r="ADD243" s="6"/>
      <c r="ADE243" s="6"/>
      <c r="ADF243" s="6"/>
      <c r="ADG243" s="6"/>
      <c r="ADH243" s="6"/>
      <c r="ADI243" s="6"/>
      <c r="ADJ243" s="6"/>
      <c r="ADK243" s="6"/>
      <c r="ADL243" s="6"/>
      <c r="ADM243" s="6"/>
      <c r="ADN243" s="6"/>
      <c r="ADO243" s="6"/>
      <c r="ADP243" s="6"/>
      <c r="ADQ243" s="6"/>
      <c r="ADR243" s="6"/>
      <c r="ADS243" s="6"/>
      <c r="ADT243" s="6"/>
      <c r="ADU243" s="6"/>
      <c r="ADV243" s="6"/>
      <c r="ADW243" s="6"/>
      <c r="ADX243" s="6"/>
      <c r="ADY243" s="6"/>
      <c r="ADZ243" s="6"/>
      <c r="AEA243" s="6"/>
      <c r="AEB243" s="6"/>
      <c r="AEC243" s="6"/>
      <c r="AED243" s="6"/>
      <c r="AEE243" s="6"/>
      <c r="AEF243" s="6"/>
      <c r="AEG243" s="6"/>
      <c r="AEH243" s="6"/>
      <c r="AEI243" s="6"/>
      <c r="AEJ243" s="6"/>
      <c r="AEK243" s="6"/>
      <c r="AEL243" s="6"/>
      <c r="AEM243" s="6"/>
      <c r="AEN243" s="6"/>
      <c r="AEO243" s="6"/>
      <c r="AEP243" s="6"/>
      <c r="AEQ243" s="6"/>
      <c r="AER243" s="6"/>
      <c r="AES243" s="6"/>
      <c r="AET243" s="6"/>
      <c r="AEU243" s="6"/>
      <c r="AEV243" s="6"/>
      <c r="AEW243" s="6"/>
      <c r="AEX243" s="6"/>
      <c r="AEY243" s="6"/>
      <c r="AEZ243" s="6"/>
      <c r="AFA243" s="6"/>
      <c r="AFB243" s="6"/>
      <c r="AFC243" s="6"/>
      <c r="AFD243" s="6"/>
      <c r="AFE243" s="6"/>
      <c r="AFF243" s="6"/>
      <c r="AFG243" s="6"/>
      <c r="AFH243" s="6"/>
      <c r="AFI243" s="6"/>
      <c r="AFJ243" s="6"/>
      <c r="AFK243" s="6"/>
      <c r="AFL243" s="6"/>
      <c r="AFM243" s="6"/>
      <c r="AFN243" s="6"/>
      <c r="AFO243" s="6"/>
      <c r="AFP243" s="6"/>
      <c r="AFQ243" s="6"/>
      <c r="AFR243" s="6"/>
      <c r="AFS243" s="6"/>
      <c r="AFT243" s="6"/>
      <c r="AFU243" s="6"/>
      <c r="AFV243" s="6"/>
      <c r="AFW243" s="6"/>
      <c r="AFX243" s="6"/>
      <c r="AFY243" s="6"/>
      <c r="AFZ243" s="6"/>
      <c r="AGA243" s="6"/>
      <c r="AGB243" s="6"/>
      <c r="AGC243" s="6"/>
      <c r="AGD243" s="6"/>
      <c r="AGE243" s="6"/>
      <c r="AGF243" s="6"/>
      <c r="AGG243" s="6"/>
      <c r="AGH243" s="6"/>
      <c r="AGI243" s="6"/>
      <c r="AGJ243" s="6"/>
      <c r="AGK243" s="6"/>
      <c r="AGL243" s="6"/>
      <c r="AGM243" s="6"/>
      <c r="AGN243" s="6"/>
      <c r="AGO243" s="6"/>
      <c r="AGP243" s="6"/>
      <c r="AGQ243" s="6"/>
      <c r="AGR243" s="6"/>
      <c r="AGS243" s="6"/>
      <c r="AGT243" s="6"/>
      <c r="AGU243" s="6"/>
      <c r="AGV243" s="6"/>
      <c r="AGW243" s="6"/>
      <c r="AGX243" s="6"/>
      <c r="AGY243" s="6"/>
      <c r="AGZ243" s="6"/>
      <c r="AHA243" s="6"/>
      <c r="AHB243" s="6"/>
      <c r="AHC243" s="6"/>
      <c r="AHD243" s="6"/>
      <c r="AHE243" s="6"/>
      <c r="AHF243" s="6"/>
      <c r="AHG243" s="6"/>
      <c r="AHH243" s="6"/>
      <c r="AHI243" s="6"/>
      <c r="AHJ243" s="6"/>
      <c r="AHK243" s="6"/>
      <c r="AHL243" s="6"/>
      <c r="AHM243" s="6"/>
      <c r="AHN243" s="6"/>
      <c r="AHO243" s="6"/>
      <c r="AHP243" s="6"/>
      <c r="AHQ243" s="6"/>
      <c r="AHR243" s="6"/>
      <c r="AHS243" s="6"/>
      <c r="AHT243" s="6"/>
      <c r="AHU243" s="6"/>
      <c r="AHV243" s="6"/>
      <c r="AHW243" s="6"/>
      <c r="AHX243" s="6"/>
      <c r="AHY243" s="6"/>
      <c r="AHZ243" s="6"/>
      <c r="AIA243" s="6"/>
      <c r="AIB243" s="6"/>
      <c r="AIC243" s="6"/>
      <c r="AID243" s="6"/>
      <c r="AIE243" s="6"/>
      <c r="AIF243" s="6"/>
      <c r="AIG243" s="6"/>
      <c r="AIH243" s="6"/>
      <c r="AII243" s="6"/>
      <c r="AIJ243" s="6"/>
      <c r="AIK243" s="6"/>
      <c r="AIL243" s="6"/>
      <c r="AIM243" s="6"/>
      <c r="AIN243" s="6"/>
      <c r="AIO243" s="6"/>
      <c r="AIP243" s="6"/>
      <c r="AIQ243" s="6"/>
      <c r="AIR243" s="6"/>
      <c r="AIS243" s="6"/>
      <c r="AIT243" s="6"/>
      <c r="AIU243" s="6"/>
      <c r="AIV243" s="6"/>
      <c r="AIW243" s="6"/>
      <c r="AIX243" s="6"/>
      <c r="AIY243" s="6"/>
      <c r="AIZ243" s="6"/>
      <c r="AJA243" s="6"/>
      <c r="AJB243" s="6"/>
      <c r="AJC243" s="6"/>
      <c r="AJD243" s="6"/>
      <c r="AJE243" s="6"/>
      <c r="AJF243" s="6"/>
      <c r="AJG243" s="6"/>
      <c r="AJH243" s="6"/>
      <c r="AJI243" s="6"/>
      <c r="AJJ243" s="6"/>
      <c r="AJK243" s="6"/>
      <c r="AJL243" s="6"/>
      <c r="AJM243" s="6"/>
      <c r="AJN243" s="6"/>
      <c r="AJO243" s="6"/>
      <c r="AJP243" s="6"/>
      <c r="AJQ243" s="6"/>
      <c r="AJR243" s="6"/>
      <c r="AJS243" s="6"/>
      <c r="AJT243" s="6"/>
      <c r="AJU243" s="6"/>
      <c r="AJV243" s="6"/>
      <c r="AJW243" s="6"/>
      <c r="AJX243" s="6"/>
      <c r="AJY243" s="6"/>
      <c r="AJZ243" s="6"/>
      <c r="AKA243" s="6"/>
      <c r="AKB243" s="6"/>
      <c r="AKC243" s="6"/>
      <c r="AKD243" s="6"/>
      <c r="AKE243" s="6"/>
      <c r="AKF243" s="6"/>
      <c r="AKG243" s="6"/>
      <c r="AKH243" s="6"/>
      <c r="AKI243" s="6"/>
      <c r="AKJ243" s="6"/>
      <c r="AKK243" s="6"/>
      <c r="AKL243" s="6"/>
      <c r="AKM243" s="6"/>
      <c r="AKN243" s="6"/>
      <c r="AKO243" s="6"/>
      <c r="AKP243" s="6"/>
      <c r="AKQ243" s="6"/>
      <c r="AKR243" s="6"/>
      <c r="AKS243" s="6"/>
      <c r="AKT243" s="6"/>
      <c r="AKU243" s="6"/>
      <c r="AKV243" s="6"/>
      <c r="AKW243" s="6"/>
      <c r="AKX243" s="6"/>
      <c r="AKY243" s="6"/>
      <c r="AKZ243" s="6"/>
      <c r="ALA243" s="6"/>
      <c r="ALB243" s="6"/>
      <c r="ALC243" s="6"/>
      <c r="ALD243" s="6"/>
      <c r="ALE243" s="6"/>
      <c r="ALF243" s="6"/>
      <c r="ALG243" s="6"/>
      <c r="ALH243" s="6"/>
      <c r="ALI243" s="6"/>
      <c r="ALJ243" s="6"/>
      <c r="ALK243" s="6"/>
      <c r="ALL243" s="6"/>
      <c r="ALM243" s="6"/>
      <c r="ALN243" s="6"/>
      <c r="ALO243" s="6"/>
      <c r="ALP243" s="6"/>
      <c r="ALQ243" s="6"/>
      <c r="ALR243" s="6"/>
      <c r="ALS243" s="6"/>
      <c r="ALT243" s="6"/>
      <c r="ALU243" s="6"/>
      <c r="ALV243" s="6"/>
      <c r="ALW243" s="6"/>
      <c r="ALX243" s="6"/>
      <c r="ALY243" s="6"/>
      <c r="ALZ243" s="6"/>
      <c r="AMA243" s="6"/>
      <c r="AMB243" s="6"/>
      <c r="AMC243" s="6"/>
      <c r="AMD243" s="6"/>
      <c r="AME243" s="6"/>
      <c r="AMF243" s="6"/>
      <c r="AMG243" s="6"/>
      <c r="AMH243" s="6"/>
      <c r="AMI243" s="6"/>
      <c r="AMJ243" s="6"/>
      <c r="AMK243" s="6"/>
      <c r="AML243" s="6"/>
      <c r="AMM243" s="6"/>
      <c r="AMN243" s="6"/>
      <c r="AMO243" s="6"/>
      <c r="AMP243" s="6"/>
    </row>
    <row r="244" spans="1:1030" x14ac:dyDescent="0.2">
      <c r="A244" s="9" t="str">
        <f t="shared" ref="A244" si="477">CONCATENATE(B244,"_",C244)</f>
        <v>q80km9_hcmv_5WB2</v>
      </c>
      <c r="B244" s="40" t="s">
        <v>1524</v>
      </c>
      <c r="C244" s="9" t="s">
        <v>1527</v>
      </c>
      <c r="D244" s="9" t="str">
        <f>IFERROR(MID(VLOOKUP($B244,Seqs!$A:$B,2,0),E244,1),"")</f>
        <v>F</v>
      </c>
      <c r="E244" s="9">
        <v>25</v>
      </c>
      <c r="F244" s="9" t="str">
        <f>IFERROR(MID(VLOOKUP($B244,Seqs!$A:$B,2,0),G244,1),"")</f>
        <v>W</v>
      </c>
      <c r="G244" s="9">
        <v>60</v>
      </c>
      <c r="H244" s="9" t="str">
        <f>IFERROR(MID(VLOOKUP($B244,Seqs!$A:$B,2,0),I244,1),"")</f>
        <v/>
      </c>
      <c r="I244" s="109" t="s">
        <v>23</v>
      </c>
      <c r="J244" s="9" t="str">
        <f>IFERROR(MID(VLOOKUP($B244,Seqs!$A:$B,2,0),K244,1),"")</f>
        <v/>
      </c>
      <c r="K244" s="109" t="s">
        <v>23</v>
      </c>
      <c r="L244" s="9" t="str">
        <f>IFERROR(MID(VLOOKUP($B244,Seqs!$A:$B,2,0),M244,1),"")</f>
        <v>C</v>
      </c>
      <c r="M244" s="9">
        <v>66</v>
      </c>
      <c r="N244" s="9" t="str">
        <f>IFERROR(MID(VLOOKUP($B244,Seqs!$A:$B,2,0),O244,1),"")</f>
        <v>D</v>
      </c>
      <c r="O244" s="9">
        <v>95</v>
      </c>
      <c r="P244" s="9" t="str">
        <f>IFERROR(MID(VLOOKUP($B244,Seqs!$A:$B,2,0),Q244,1),"")</f>
        <v/>
      </c>
      <c r="Q244" s="9" t="s">
        <v>23</v>
      </c>
      <c r="R244" s="9" t="str">
        <f>IFERROR(MID(VLOOKUP($B244,Seqs!$A:$B,2,0),S244,1),"")</f>
        <v/>
      </c>
      <c r="S244" s="9" t="s">
        <v>23</v>
      </c>
      <c r="T244" s="9" t="str">
        <f>IFERROR(MID(VLOOKUP($B244,Seqs!$A:$B,2,0),U244,1),"")</f>
        <v>A</v>
      </c>
      <c r="U244" s="9">
        <v>100</v>
      </c>
      <c r="V244" s="9" t="str">
        <f>IFERROR(MID(VLOOKUP($B244,Seqs!$A:$B,2,0),W244,1),"")</f>
        <v>V</v>
      </c>
      <c r="W244" s="9">
        <v>134</v>
      </c>
      <c r="X244" s="9" t="str">
        <f>IFERROR(MID(VLOOKUP($B244,Seqs!$A:$B,2,0),Y244,1),"")</f>
        <v/>
      </c>
      <c r="Y244" s="9" t="s">
        <v>23</v>
      </c>
      <c r="Z244" s="9" t="str">
        <f>IFERROR(MID(VLOOKUP($B244,Seqs!$A:$B,2,0),AA244,1),"")</f>
        <v/>
      </c>
      <c r="AA244" s="9" t="s">
        <v>23</v>
      </c>
      <c r="AB244" s="9" t="str">
        <f>IFERROR(MID(VLOOKUP($B244,Seqs!$A:$B,2,0),AC244,1),"")</f>
        <v>P</v>
      </c>
      <c r="AC244" s="9">
        <v>140</v>
      </c>
      <c r="AD244" s="9" t="str">
        <f>IFERROR(MID(VLOOKUP($B244,Seqs!$A:$B,2,0),AE244,1),"")</f>
        <v>M</v>
      </c>
      <c r="AE244" s="9">
        <v>164</v>
      </c>
      <c r="AF244" s="9" t="str">
        <f>IFERROR(MID(VLOOKUP($B244,Seqs!$A:$B,2,0),AG244,1),"")</f>
        <v>C</v>
      </c>
      <c r="AG244" s="9">
        <v>173</v>
      </c>
      <c r="AH244" s="9" t="str">
        <f>IFERROR(MID(VLOOKUP($B244,Seqs!$A:$B,2,0),AI244,1),"")</f>
        <v>T</v>
      </c>
      <c r="AI244" s="9">
        <v>175</v>
      </c>
      <c r="AJ244" s="9" t="str">
        <f>IFERROR(MID(VLOOKUP($B244,Seqs!$A:$B,2,0),AK244,1),"")</f>
        <v>S</v>
      </c>
      <c r="AK244" s="9">
        <v>183</v>
      </c>
      <c r="AL244" s="9" t="str">
        <f>IFERROR(MID(VLOOKUP($B244,Seqs!$A:$B,2,0),AM244,1),"")</f>
        <v>S</v>
      </c>
      <c r="AM244" s="9">
        <v>218</v>
      </c>
      <c r="AN244" s="9" t="str">
        <f>IFERROR(MID(VLOOKUP($B244,Seqs!$A:$B,2,0),AO244,1),"")</f>
        <v>H</v>
      </c>
      <c r="AO244" s="9">
        <v>222</v>
      </c>
      <c r="AP244" s="9" t="str">
        <f>IFERROR(MID(VLOOKUP($B244,Seqs!$A:$B,2,0),AQ244,1),"")</f>
        <v>K</v>
      </c>
      <c r="AQ244" s="9">
        <v>257</v>
      </c>
      <c r="AR244" s="9" t="str">
        <f>IFERROR(MID(VLOOKUP($B244,Seqs!$A:$B,2,0),AS244,1),"")</f>
        <v>S</v>
      </c>
      <c r="AS244" s="9">
        <v>262</v>
      </c>
      <c r="AT244" s="9" t="str">
        <f>IFERROR(MID(VLOOKUP($B244,Seqs!$A:$B,2,0),AU244,1),"")</f>
        <v>V</v>
      </c>
      <c r="AU244" s="9">
        <v>294</v>
      </c>
      <c r="AV244" s="9" t="str">
        <f>IFERROR(MID(VLOOKUP($B244,Seqs!$A:$B,2,0),AW244,1),"")</f>
        <v>G</v>
      </c>
      <c r="AW244" s="9">
        <v>295</v>
      </c>
      <c r="AX244" s="9" t="str">
        <f>IFERROR(MID(VLOOKUP($B244,Seqs!$A:$B,2,0),AY244,1),"")</f>
        <v>A</v>
      </c>
      <c r="AY244" s="9">
        <v>307</v>
      </c>
      <c r="AZ244" s="110" t="str">
        <f>VLOOKUP(B244,Classification!A:D,2,0)</f>
        <v>A</v>
      </c>
      <c r="BA244" s="98" t="str">
        <f>VLOOKUP(B244,Classification!A:D,4,0)</f>
        <v>Chemokine</v>
      </c>
      <c r="BB244" s="36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109">
        <f>_xlfn.AGGREGATE(9,6,CH244:CS244)-_xlfn.AGGREGATE(9,6,BV244:CG244)+12</f>
        <v>250</v>
      </c>
      <c r="BD244" s="11" t="s">
        <v>23</v>
      </c>
      <c r="BE244" s="9" t="s">
        <v>1297</v>
      </c>
      <c r="BF244" s="120">
        <v>3.5</v>
      </c>
      <c r="BG244" s="51" t="s">
        <v>1</v>
      </c>
      <c r="BH244" s="51" t="s">
        <v>1</v>
      </c>
      <c r="BI244" s="12"/>
      <c r="BJ244" s="111" t="s">
        <v>1293</v>
      </c>
      <c r="BK244" s="112" t="s">
        <v>1293</v>
      </c>
      <c r="BL244" s="112" t="s">
        <v>1293</v>
      </c>
      <c r="BM244" s="112" t="s">
        <v>1293</v>
      </c>
      <c r="BN244" s="112" t="s">
        <v>1293</v>
      </c>
      <c r="BO244" s="112" t="s">
        <v>1293</v>
      </c>
      <c r="BP244" s="112" t="s">
        <v>1293</v>
      </c>
      <c r="BQ244" s="112" t="s">
        <v>1293</v>
      </c>
      <c r="BR244" s="112" t="s">
        <v>1293</v>
      </c>
      <c r="BS244" s="112" t="s">
        <v>1293</v>
      </c>
      <c r="BT244" s="112" t="s">
        <v>1293</v>
      </c>
      <c r="BU244" s="112" t="s">
        <v>1293</v>
      </c>
      <c r="BV244" s="111">
        <f>E244</f>
        <v>25</v>
      </c>
      <c r="BW244" s="113" t="str">
        <f>I244</f>
        <v>-</v>
      </c>
      <c r="BX244" s="114">
        <f>M244</f>
        <v>66</v>
      </c>
      <c r="BY244" s="113" t="str">
        <f>Q244</f>
        <v>-</v>
      </c>
      <c r="BZ244" s="114">
        <f>U244</f>
        <v>100</v>
      </c>
      <c r="CA244" s="113" t="str">
        <f>Y244</f>
        <v>-</v>
      </c>
      <c r="CB244" s="114">
        <f>AC244</f>
        <v>140</v>
      </c>
      <c r="CC244" s="113">
        <f>AG244</f>
        <v>173</v>
      </c>
      <c r="CD244" s="114">
        <f>AK244</f>
        <v>183</v>
      </c>
      <c r="CE244" s="113">
        <f>AO244</f>
        <v>222</v>
      </c>
      <c r="CF244" s="114">
        <f>AS244</f>
        <v>262</v>
      </c>
      <c r="CG244" s="113">
        <f>AW244</f>
        <v>295</v>
      </c>
      <c r="CH244" s="111">
        <f>G244</f>
        <v>60</v>
      </c>
      <c r="CI244" s="113" t="str">
        <f>K244</f>
        <v>-</v>
      </c>
      <c r="CJ244" s="114">
        <f>O244</f>
        <v>95</v>
      </c>
      <c r="CK244" s="114" t="str">
        <f>S244</f>
        <v>-</v>
      </c>
      <c r="CL244" s="114">
        <f>W244</f>
        <v>134</v>
      </c>
      <c r="CM244" s="114" t="str">
        <f>AA244</f>
        <v>-</v>
      </c>
      <c r="CN244" s="114">
        <f>AE244</f>
        <v>164</v>
      </c>
      <c r="CO244" s="114">
        <f>AI244</f>
        <v>175</v>
      </c>
      <c r="CP244" s="114">
        <f>AM244</f>
        <v>218</v>
      </c>
      <c r="CQ244" s="114">
        <f>AQ244</f>
        <v>257</v>
      </c>
      <c r="CR244" s="114">
        <f>AU244</f>
        <v>294</v>
      </c>
      <c r="CS244" s="114">
        <f>AY244</f>
        <v>307</v>
      </c>
      <c r="CT244" s="109" t="e">
        <f>M244-K244</f>
        <v>#VALUE!</v>
      </c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  <c r="ALU244" s="6"/>
      <c r="ALV244" s="6"/>
      <c r="ALW244" s="6"/>
      <c r="ALX244" s="6"/>
      <c r="ALY244" s="6"/>
      <c r="ALZ244" s="6"/>
      <c r="AMA244" s="6"/>
      <c r="AMB244" s="6"/>
      <c r="AMC244" s="6"/>
      <c r="AMD244" s="6"/>
      <c r="AME244" s="6"/>
      <c r="AMF244" s="6"/>
      <c r="AMG244" s="6"/>
      <c r="AMH244" s="6"/>
      <c r="AMI244" s="6"/>
      <c r="AMJ244" s="6"/>
      <c r="AMK244" s="6"/>
      <c r="AML244" s="6"/>
      <c r="AMM244" s="6"/>
      <c r="AMN244" s="6"/>
      <c r="AMO244" s="6"/>
      <c r="AMP244" s="6"/>
    </row>
    <row r="245" spans="1:1030" x14ac:dyDescent="0.2">
      <c r="A245" s="3" t="str">
        <f>CONCATENATE(B245,"_",C245)</f>
        <v>calcr_human__wt</v>
      </c>
      <c r="B245" s="2" t="s">
        <v>401</v>
      </c>
      <c r="C245" s="3" t="s">
        <v>100</v>
      </c>
      <c r="D245" s="3" t="str">
        <f>IFERROR(MID(VLOOKUP($B245,Seqs!$A:$B,2,0),E245,1),"")</f>
        <v>T</v>
      </c>
      <c r="E245" s="3">
        <v>132</v>
      </c>
      <c r="F245" s="3" t="str">
        <f>IFERROR(MID(VLOOKUP($B245,Seqs!$A:$B,2,0),G245,1),"")</f>
        <v>F</v>
      </c>
      <c r="G245" s="3">
        <v>173</v>
      </c>
      <c r="H245" s="3" t="str">
        <f>IFERROR(MID(VLOOKUP($B245,Seqs!$A:$B,2,0),I245,1),"")</f>
        <v>R</v>
      </c>
      <c r="I245" s="23">
        <v>174</v>
      </c>
      <c r="J245" s="3" t="str">
        <f>IFERROR(MID(VLOOKUP($B245,Seqs!$A:$B,2,0),K245,1),"")</f>
        <v>G</v>
      </c>
      <c r="K245" s="23">
        <v>177</v>
      </c>
      <c r="L245" s="3" t="str">
        <f>IFERROR(MID(VLOOKUP($B245,Seqs!$A:$B,2,0),M245,1),"")</f>
        <v>C</v>
      </c>
      <c r="M245" s="3">
        <v>178</v>
      </c>
      <c r="N245" s="3" t="str">
        <f>IFERROR(MID(VLOOKUP($B245,Seqs!$A:$B,2,0),O245,1),"")</f>
        <v>V</v>
      </c>
      <c r="O245" s="3">
        <v>205</v>
      </c>
      <c r="P245" s="3" t="str">
        <f>IFERROR(MID(VLOOKUP($B245,Seqs!$A:$B,2,0),Q245,1),"")</f>
        <v/>
      </c>
      <c r="Q245" s="3" t="s">
        <v>23</v>
      </c>
      <c r="R245" s="3" t="str">
        <f>IFERROR(MID(VLOOKUP($B245,Seqs!$A:$B,2,0),S245,1),"")</f>
        <v/>
      </c>
      <c r="S245" s="3" t="s">
        <v>23</v>
      </c>
      <c r="T245" s="3" t="str">
        <f>IFERROR(MID(VLOOKUP($B245,Seqs!$A:$B,2,0),U245,1),"")</f>
        <v>D</v>
      </c>
      <c r="U245" s="3">
        <v>215</v>
      </c>
      <c r="V245" s="3" t="str">
        <f>IFERROR(MID(VLOOKUP($B245,Seqs!$A:$B,2,0),W245,1),"")</f>
        <v>V</v>
      </c>
      <c r="W245" s="3">
        <v>250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R</v>
      </c>
      <c r="AC245" s="3">
        <v>258</v>
      </c>
      <c r="AD245" s="3" t="str">
        <f>IFERROR(MID(VLOOKUP($B245,Seqs!$A:$B,2,0),AE245,1),"")</f>
        <v>F</v>
      </c>
      <c r="AE245" s="3">
        <v>285</v>
      </c>
      <c r="AF245" s="3" t="str">
        <f>IFERROR(MID(VLOOKUP($B245,Seqs!$A:$B,2,0),AG245,1),"")</f>
        <v>C</v>
      </c>
      <c r="AG245" s="3">
        <v>289</v>
      </c>
      <c r="AH245" s="3" t="str">
        <f>IFERROR(MID(VLOOKUP($B245,Seqs!$A:$B,2,0),AI245,1),"")</f>
        <v>L</v>
      </c>
      <c r="AI245" s="3">
        <v>291</v>
      </c>
      <c r="AJ245" s="3" t="str">
        <f>IFERROR(MID(VLOOKUP($B245,Seqs!$A:$B,2,0),AK245,1),"")</f>
        <v>L</v>
      </c>
      <c r="AK245" s="3">
        <v>298</v>
      </c>
      <c r="AL245" s="3" t="str">
        <f>IFERROR(MID(VLOOKUP($B245,Seqs!$A:$B,2,0),AM245,1),"")</f>
        <v>R</v>
      </c>
      <c r="AM245" s="3">
        <v>328</v>
      </c>
      <c r="AN245" s="3" t="str">
        <f>IFERROR(MID(VLOOKUP($B245,Seqs!$A:$B,2,0),AO245,1),"")</f>
        <v>Y</v>
      </c>
      <c r="AO245" s="3">
        <v>338</v>
      </c>
      <c r="AP245" s="3" t="str">
        <f>IFERROR(MID(VLOOKUP($B245,Seqs!$A:$B,2,0),AQ245,1),"")</f>
        <v>W</v>
      </c>
      <c r="AQ245" s="3">
        <v>361</v>
      </c>
      <c r="AR245" s="3" t="str">
        <f>IFERROR(MID(VLOOKUP($B245,Seqs!$A:$B,2,0),AS245,1),"")</f>
        <v>K</v>
      </c>
      <c r="AS245" s="3">
        <v>366</v>
      </c>
      <c r="AT245" s="3" t="str">
        <f>IFERROR(MID(VLOOKUP($B245,Seqs!$A:$B,2,0),AU245,1),"")</f>
        <v>C</v>
      </c>
      <c r="AU245" s="3">
        <v>394</v>
      </c>
      <c r="AV245" s="3" t="str">
        <f>IFERROR(MID(VLOOKUP($B245,Seqs!$A:$B,2,0),AW245,1),"")</f>
        <v>N</v>
      </c>
      <c r="AW245" s="3">
        <v>395</v>
      </c>
      <c r="AX245" s="3" t="str">
        <f>IFERROR(MID(VLOOKUP($B245,Seqs!$A:$B,2,0),AY245,1),"")</f>
        <v>R</v>
      </c>
      <c r="AY245" s="3">
        <v>420</v>
      </c>
      <c r="AZ245" s="77" t="str">
        <f>VLOOKUP(B245,Classification!A:D,2,0)</f>
        <v>B1</v>
      </c>
      <c r="BA245" s="94" t="str">
        <f>VLOOKUP(B245,Classification!A:D,4,0)</f>
        <v>Calcitonin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253</v>
      </c>
      <c r="BD245" s="4" t="s">
        <v>23</v>
      </c>
      <c r="BE245" s="3" t="s">
        <v>23</v>
      </c>
      <c r="BF245" s="119" t="s">
        <v>23</v>
      </c>
      <c r="BG245" s="49" t="s">
        <v>1384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>E245</f>
        <v>132</v>
      </c>
      <c r="BW245" s="71">
        <f>I245</f>
        <v>174</v>
      </c>
      <c r="BX245" s="72">
        <f>M245</f>
        <v>178</v>
      </c>
      <c r="BY245" s="71" t="str">
        <f>Q245</f>
        <v>-</v>
      </c>
      <c r="BZ245" s="72">
        <f>U245</f>
        <v>215</v>
      </c>
      <c r="CA245" s="71" t="str">
        <f>Y245</f>
        <v>-</v>
      </c>
      <c r="CB245" s="72">
        <f>AC245</f>
        <v>258</v>
      </c>
      <c r="CC245" s="71">
        <f>AG245</f>
        <v>289</v>
      </c>
      <c r="CD245" s="72">
        <f>AK245</f>
        <v>298</v>
      </c>
      <c r="CE245" s="71">
        <f>AO245</f>
        <v>338</v>
      </c>
      <c r="CF245" s="72">
        <f>AS245</f>
        <v>366</v>
      </c>
      <c r="CG245" s="71">
        <f>AW245</f>
        <v>395</v>
      </c>
      <c r="CH245" s="70">
        <f>G245</f>
        <v>173</v>
      </c>
      <c r="CI245" s="71">
        <f>K245</f>
        <v>177</v>
      </c>
      <c r="CJ245" s="72">
        <f>O245</f>
        <v>205</v>
      </c>
      <c r="CK245" s="72" t="str">
        <f>S245</f>
        <v>-</v>
      </c>
      <c r="CL245" s="72">
        <f>W245</f>
        <v>250</v>
      </c>
      <c r="CM245" s="72" t="str">
        <f>AA245</f>
        <v>-</v>
      </c>
      <c r="CN245" s="72">
        <f>AE245</f>
        <v>285</v>
      </c>
      <c r="CO245" s="72">
        <f>AI245</f>
        <v>291</v>
      </c>
      <c r="CP245" s="72">
        <f>AM245</f>
        <v>328</v>
      </c>
      <c r="CQ245" s="72">
        <f>AQ245</f>
        <v>361</v>
      </c>
      <c r="CR245" s="72">
        <f>AU245</f>
        <v>394</v>
      </c>
      <c r="CS245" s="72">
        <f>AY245</f>
        <v>420</v>
      </c>
      <c r="CT245" s="23">
        <f>M245-K245</f>
        <v>1</v>
      </c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  <c r="ALU245" s="6"/>
      <c r="ALV245" s="6"/>
      <c r="ALW245" s="6"/>
      <c r="ALX245" s="6"/>
      <c r="ALY245" s="6"/>
      <c r="ALZ245" s="6"/>
      <c r="AMA245" s="6"/>
      <c r="AMB245" s="6"/>
      <c r="AMC245" s="6"/>
      <c r="AMD245" s="6"/>
      <c r="AME245" s="6"/>
      <c r="AMF245" s="6"/>
      <c r="AMG245" s="6"/>
      <c r="AMH245" s="6"/>
      <c r="AMI245" s="6"/>
      <c r="AMJ245" s="6"/>
      <c r="AMK245" s="6"/>
      <c r="AML245" s="6"/>
      <c r="AMM245" s="6"/>
      <c r="AMN245" s="6"/>
      <c r="AMO245" s="6"/>
      <c r="AMP245" s="6"/>
    </row>
    <row r="246" spans="1:1030" x14ac:dyDescent="0.2">
      <c r="A246" s="3" t="str">
        <f>CONCATENATE(B246,"_",C246)</f>
        <v>calcr_human_5UZ7</v>
      </c>
      <c r="B246" s="2" t="s">
        <v>401</v>
      </c>
      <c r="C246" s="3" t="s">
        <v>1409</v>
      </c>
      <c r="D246" s="3" t="str">
        <f>IFERROR(MID(VLOOKUP($B246,Seqs!$A:$B,2,0),E246,1),"")</f>
        <v>A</v>
      </c>
      <c r="E246" s="3">
        <v>136</v>
      </c>
      <c r="F246" s="3" t="str">
        <f>IFERROR(MID(VLOOKUP($B246,Seqs!$A:$B,2,0),G246,1),"")</f>
        <v>F</v>
      </c>
      <c r="G246" s="3">
        <v>173</v>
      </c>
      <c r="H246" s="3" t="str">
        <f>IFERROR(MID(VLOOKUP($B246,Seqs!$A:$B,2,0),I246,1),"")</f>
        <v>R</v>
      </c>
      <c r="I246" s="23">
        <v>174</v>
      </c>
      <c r="J246" s="3" t="str">
        <f>IFERROR(MID(VLOOKUP($B246,Seqs!$A:$B,2,0),K246,1),"")</f>
        <v>G</v>
      </c>
      <c r="K246" s="23">
        <v>177</v>
      </c>
      <c r="L246" s="3" t="str">
        <f>IFERROR(MID(VLOOKUP($B246,Seqs!$A:$B,2,0),M246,1),"")</f>
        <v>C</v>
      </c>
      <c r="M246" s="3">
        <v>178</v>
      </c>
      <c r="N246" s="3" t="str">
        <f>IFERROR(MID(VLOOKUP($B246,Seqs!$A:$B,2,0),O246,1),"")</f>
        <v>V</v>
      </c>
      <c r="O246" s="3">
        <v>205</v>
      </c>
      <c r="P246" s="3" t="str">
        <f>IFERROR(MID(VLOOKUP($B246,Seqs!$A:$B,2,0),Q246,1),"")</f>
        <v/>
      </c>
      <c r="Q246" s="3" t="s">
        <v>23</v>
      </c>
      <c r="R246" s="3" t="str">
        <f>IFERROR(MID(VLOOKUP($B246,Seqs!$A:$B,2,0),S246,1),"")</f>
        <v/>
      </c>
      <c r="S246" s="3" t="s">
        <v>23</v>
      </c>
      <c r="T246" s="3" t="str">
        <f>IFERROR(MID(VLOOKUP($B246,Seqs!$A:$B,2,0),U246,1),"")</f>
        <v>D</v>
      </c>
      <c r="U246" s="3">
        <v>215</v>
      </c>
      <c r="V246" s="3" t="str">
        <f>IFERROR(MID(VLOOKUP($B246,Seqs!$A:$B,2,0),W246,1),"")</f>
        <v>V</v>
      </c>
      <c r="W246" s="3">
        <v>250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R</v>
      </c>
      <c r="AC246" s="3">
        <v>258</v>
      </c>
      <c r="AD246" s="3" t="str">
        <f>IFERROR(MID(VLOOKUP($B246,Seqs!$A:$B,2,0),AE246,1),"")</f>
        <v>F</v>
      </c>
      <c r="AE246" s="3">
        <v>285</v>
      </c>
      <c r="AF246" s="3" t="str">
        <f>IFERROR(MID(VLOOKUP($B246,Seqs!$A:$B,2,0),AG246,1),"")</f>
        <v>C</v>
      </c>
      <c r="AG246" s="3">
        <v>289</v>
      </c>
      <c r="AH246" s="3" t="str">
        <f>IFERROR(MID(VLOOKUP($B246,Seqs!$A:$B,2,0),AI246,1),"")</f>
        <v>L</v>
      </c>
      <c r="AI246" s="3">
        <v>291</v>
      </c>
      <c r="AJ246" s="3" t="str">
        <f>IFERROR(MID(VLOOKUP($B246,Seqs!$A:$B,2,0),AK246,1),"")</f>
        <v>L</v>
      </c>
      <c r="AK246" s="3">
        <v>298</v>
      </c>
      <c r="AL246" s="3" t="str">
        <f>IFERROR(MID(VLOOKUP($B246,Seqs!$A:$B,2,0),AM246,1),"")</f>
        <v>R</v>
      </c>
      <c r="AM246" s="3">
        <v>328</v>
      </c>
      <c r="AN246" s="3" t="str">
        <f>IFERROR(MID(VLOOKUP($B246,Seqs!$A:$B,2,0),AO246,1),"")</f>
        <v>Y</v>
      </c>
      <c r="AO246" s="3">
        <v>338</v>
      </c>
      <c r="AP246" s="3" t="str">
        <f>IFERROR(MID(VLOOKUP($B246,Seqs!$A:$B,2,0),AQ246,1),"")</f>
        <v>P</v>
      </c>
      <c r="AQ246" s="3">
        <v>360</v>
      </c>
      <c r="AR246" s="3" t="str">
        <f>IFERROR(MID(VLOOKUP($B246,Seqs!$A:$B,2,0),AS246,1),"")</f>
        <v>K</v>
      </c>
      <c r="AS246" s="3">
        <v>366</v>
      </c>
      <c r="AT246" s="3" t="str">
        <f>IFERROR(MID(VLOOKUP($B246,Seqs!$A:$B,2,0),AU246,1),"")</f>
        <v>C</v>
      </c>
      <c r="AU246" s="3">
        <v>394</v>
      </c>
      <c r="AV246" s="3" t="str">
        <f>IFERROR(MID(VLOOKUP($B246,Seqs!$A:$B,2,0),AW246,1),"")</f>
        <v>N</v>
      </c>
      <c r="AW246" s="3">
        <v>395</v>
      </c>
      <c r="AX246" s="3" t="str">
        <f>IFERROR(MID(VLOOKUP($B246,Seqs!$A:$B,2,0),AY246,1),"")</f>
        <v>G</v>
      </c>
      <c r="AY246" s="3">
        <v>418</v>
      </c>
      <c r="AZ246" s="77" t="str">
        <f>VLOOKUP(B246,Classification!A:D,2,0)</f>
        <v>B1</v>
      </c>
      <c r="BA246" s="94" t="str">
        <f>VLOOKUP(B246,Classification!A:D,4,0)</f>
        <v>Calcitonin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246</v>
      </c>
      <c r="BD246" s="4" t="s">
        <v>1382</v>
      </c>
      <c r="BE246" s="3" t="s">
        <v>1297</v>
      </c>
      <c r="BF246" s="119">
        <v>4.0999999999999996</v>
      </c>
      <c r="BG246" s="49" t="s">
        <v>1384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>E246</f>
        <v>136</v>
      </c>
      <c r="BW246" s="71">
        <f>I246</f>
        <v>174</v>
      </c>
      <c r="BX246" s="72">
        <f>M246</f>
        <v>178</v>
      </c>
      <c r="BY246" s="71" t="str">
        <f>Q246</f>
        <v>-</v>
      </c>
      <c r="BZ246" s="72">
        <f>U246</f>
        <v>215</v>
      </c>
      <c r="CA246" s="71" t="str">
        <f>Y246</f>
        <v>-</v>
      </c>
      <c r="CB246" s="72">
        <f>AC246</f>
        <v>258</v>
      </c>
      <c r="CC246" s="71">
        <f>AG246</f>
        <v>289</v>
      </c>
      <c r="CD246" s="72">
        <f>AK246</f>
        <v>298</v>
      </c>
      <c r="CE246" s="71">
        <f>AO246</f>
        <v>338</v>
      </c>
      <c r="CF246" s="72">
        <f>AS246</f>
        <v>366</v>
      </c>
      <c r="CG246" s="71">
        <f>AW246</f>
        <v>395</v>
      </c>
      <c r="CH246" s="70">
        <f>G246</f>
        <v>173</v>
      </c>
      <c r="CI246" s="71">
        <f>K246</f>
        <v>177</v>
      </c>
      <c r="CJ246" s="72">
        <f>O246</f>
        <v>205</v>
      </c>
      <c r="CK246" s="72" t="str">
        <f>S246</f>
        <v>-</v>
      </c>
      <c r="CL246" s="72">
        <f>W246</f>
        <v>250</v>
      </c>
      <c r="CM246" s="72" t="str">
        <f>AA246</f>
        <v>-</v>
      </c>
      <c r="CN246" s="72">
        <f>AE246</f>
        <v>285</v>
      </c>
      <c r="CO246" s="72">
        <f>AI246</f>
        <v>291</v>
      </c>
      <c r="CP246" s="72">
        <f>AM246</f>
        <v>328</v>
      </c>
      <c r="CQ246" s="72">
        <f>AQ246</f>
        <v>360</v>
      </c>
      <c r="CR246" s="72">
        <f>AU246</f>
        <v>394</v>
      </c>
      <c r="CS246" s="72">
        <f>AY246</f>
        <v>418</v>
      </c>
      <c r="CT246" s="23">
        <f>M246-K246</f>
        <v>1</v>
      </c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  <c r="ALU246" s="6"/>
      <c r="ALV246" s="6"/>
      <c r="ALW246" s="6"/>
      <c r="ALX246" s="6"/>
      <c r="ALY246" s="6"/>
      <c r="ALZ246" s="6"/>
      <c r="AMA246" s="6"/>
      <c r="AMB246" s="6"/>
      <c r="AMC246" s="6"/>
      <c r="AMD246" s="6"/>
      <c r="AME246" s="6"/>
      <c r="AMF246" s="6"/>
      <c r="AMG246" s="6"/>
      <c r="AMH246" s="6"/>
      <c r="AMI246" s="6"/>
      <c r="AMJ246" s="6"/>
      <c r="AMK246" s="6"/>
      <c r="AML246" s="6"/>
      <c r="AMM246" s="6"/>
      <c r="AMN246" s="6"/>
      <c r="AMO246" s="6"/>
      <c r="AMP246" s="6"/>
    </row>
    <row r="247" spans="1:1030" x14ac:dyDescent="0.2">
      <c r="A247" s="3" t="str">
        <f t="shared" si="333"/>
        <v>crfr1_human__wt</v>
      </c>
      <c r="B247" s="3" t="s">
        <v>38</v>
      </c>
      <c r="C247" s="3" t="s">
        <v>100</v>
      </c>
      <c r="D247" s="3" t="str">
        <f>IFERROR(MID(VLOOKUP($B247,Seqs!$A:$B,2,0),E247,1),"")</f>
        <v>Q</v>
      </c>
      <c r="E247" s="3">
        <v>103</v>
      </c>
      <c r="F247" s="3" t="str">
        <f>IFERROR(MID(VLOOKUP($B247,Seqs!$A:$B,2,0),G247,1),"")</f>
        <v>L</v>
      </c>
      <c r="G247" s="3">
        <v>144</v>
      </c>
      <c r="H247" s="3" t="str">
        <f>IFERROR(MID(VLOOKUP($B247,Seqs!$A:$B,2,0),I247,1),"")</f>
        <v>R</v>
      </c>
      <c r="I247" s="23">
        <v>145</v>
      </c>
      <c r="J247" s="3" t="str">
        <f>IFERROR(MID(VLOOKUP($B247,Seqs!$A:$B,2,0),K247,1),"")</f>
        <v>R</v>
      </c>
      <c r="K247" s="23">
        <v>148</v>
      </c>
      <c r="L247" s="3" t="str">
        <f>IFERROR(MID(VLOOKUP($B247,Seqs!$A:$B,2,0),M247,1),"")</f>
        <v>C</v>
      </c>
      <c r="M247" s="23">
        <v>149</v>
      </c>
      <c r="N247" s="3" t="str">
        <f>IFERROR(MID(VLOOKUP($B247,Seqs!$A:$B,2,0),O247,1),"")</f>
        <v>T</v>
      </c>
      <c r="O247" s="3">
        <v>175</v>
      </c>
      <c r="P247" s="3" t="str">
        <f>IFERROR(MID(VLOOKUP($B247,Seqs!$A:$B,2,0),Q247,1),"")</f>
        <v/>
      </c>
      <c r="Q247" s="3" t="s">
        <v>23</v>
      </c>
      <c r="R247" s="3" t="str">
        <f>IFERROR(MID(VLOOKUP($B247,Seqs!$A:$B,2,0),S247,1),"")</f>
        <v/>
      </c>
      <c r="S247" s="3" t="s">
        <v>23</v>
      </c>
      <c r="T247" s="3" t="str">
        <f>IFERROR(MID(VLOOKUP($B247,Seqs!$A:$B,2,0),U247,1),"")</f>
        <v>V</v>
      </c>
      <c r="U247" s="3">
        <v>185</v>
      </c>
      <c r="V247" s="3" t="str">
        <f>IFERROR(MID(VLOOKUP($B247,Seqs!$A:$B,2,0),W247,1),"")</f>
        <v>L</v>
      </c>
      <c r="W247" s="3">
        <v>219</v>
      </c>
      <c r="X247" s="3" t="str">
        <f>IFERROR(MID(VLOOKUP($B247,Seqs!$A:$B,2,0),Y247,1),"")</f>
        <v/>
      </c>
      <c r="Y247" s="3" t="s">
        <v>23</v>
      </c>
      <c r="Z247" s="3" t="str">
        <f>IFERROR(MID(VLOOKUP($B247,Seqs!$A:$B,2,0),AA247,1),"")</f>
        <v/>
      </c>
      <c r="AA247" s="3" t="s">
        <v>23</v>
      </c>
      <c r="AB247" s="3" t="str">
        <f>IFERROR(MID(VLOOKUP($B247,Seqs!$A:$B,2,0),AC247,1),"")</f>
        <v>L</v>
      </c>
      <c r="AC247" s="9">
        <v>226</v>
      </c>
      <c r="AD247" s="3" t="str">
        <f>IFERROR(MID(VLOOKUP($B247,Seqs!$A:$B,2,0),AE247,1),"")</f>
        <v>D</v>
      </c>
      <c r="AE247" s="3">
        <v>254</v>
      </c>
      <c r="AF247" s="3" t="str">
        <f>IFERROR(MID(VLOOKUP($B247,Seqs!$A:$B,2,0),AG247,1),"")</f>
        <v>C</v>
      </c>
      <c r="AG247" s="3">
        <v>258</v>
      </c>
      <c r="AH247" s="3" t="str">
        <f>IFERROR(MID(VLOOKUP($B247,Seqs!$A:$B,2,0),AI247,1),"")</f>
        <v>F</v>
      </c>
      <c r="AI247" s="3">
        <v>260</v>
      </c>
      <c r="AJ247" s="3" t="str">
        <f>IFERROR(MID(VLOOKUP($B247,Seqs!$A:$B,2,0),AK247,1),"")</f>
        <v>T</v>
      </c>
      <c r="AK247" s="3">
        <v>268</v>
      </c>
      <c r="AL247" s="3" t="str">
        <f>IFERROR(MID(VLOOKUP($B247,Seqs!$A:$B,2,0),AM247,1),"")</f>
        <v>L</v>
      </c>
      <c r="AM247" s="3">
        <v>298</v>
      </c>
      <c r="AN247" s="3" t="str">
        <f>IFERROR(MID(VLOOKUP($B247,Seqs!$A:$B,2,0),AO247,1),"")</f>
        <v>S</v>
      </c>
      <c r="AO247" s="3">
        <v>304</v>
      </c>
      <c r="AP247" s="3" t="str">
        <f>IFERROR(MID(VLOOKUP($B247,Seqs!$A:$B,2,0),AQ247,1),"")</f>
        <v>V</v>
      </c>
      <c r="AQ247" s="3">
        <v>332</v>
      </c>
      <c r="AR247" s="3" t="str">
        <f>IFERROR(MID(VLOOKUP($B247,Seqs!$A:$B,2,0),AS247,1),"")</f>
        <v>V</v>
      </c>
      <c r="AS247" s="3">
        <v>339</v>
      </c>
      <c r="AT247" s="3" t="str">
        <f>IFERROR(MID(VLOOKUP($B247,Seqs!$A:$B,2,0),AU247,1),"")</f>
        <v>L</v>
      </c>
      <c r="AU247" s="3">
        <v>366</v>
      </c>
      <c r="AV247" s="3" t="str">
        <f>IFERROR(MID(VLOOKUP($B247,Seqs!$A:$B,2,0),AW247,1),"")</f>
        <v>N</v>
      </c>
      <c r="AW247" s="3">
        <v>367</v>
      </c>
      <c r="AX247" s="3" t="str">
        <f>IFERROR(MID(VLOOKUP($B247,Seqs!$A:$B,2,0),AY247,1),"")</f>
        <v>A</v>
      </c>
      <c r="AY247" s="3">
        <v>392</v>
      </c>
      <c r="AZ247" s="77" t="str">
        <f>VLOOKUP(B247,Classification!A:D,2,0)</f>
        <v>B1</v>
      </c>
      <c r="BA247" s="94" t="str">
        <f>VLOOKUP(B247,Classification!A:D,4,0)</f>
        <v>Corticotropin-releasingfact</v>
      </c>
      <c r="BB247" s="27" t="b">
        <f t="shared" si="334"/>
        <v>1</v>
      </c>
      <c r="BC247" s="23">
        <f t="shared" ref="BC247:BC281" si="478">_xlfn.AGGREGATE(9,6,CH247:CS247)-_xlfn.AGGREGATE(9,6,BV247:CG247)+12</f>
        <v>256</v>
      </c>
      <c r="BD247" s="56" t="s">
        <v>1379</v>
      </c>
      <c r="BE247" s="3" t="s">
        <v>23</v>
      </c>
      <c r="BF247" s="119" t="s">
        <v>23</v>
      </c>
      <c r="BG247" s="49" t="s">
        <v>1379</v>
      </c>
      <c r="BH247" s="49" t="s">
        <v>1384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ref="BV247:BV281" si="479">E247</f>
        <v>103</v>
      </c>
      <c r="BW247" s="71">
        <f t="shared" ref="BW247:BW281" si="480">I247</f>
        <v>145</v>
      </c>
      <c r="BX247" s="72">
        <f t="shared" ref="BX247:BX281" si="481">M247</f>
        <v>149</v>
      </c>
      <c r="BY247" s="71" t="str">
        <f t="shared" ref="BY247:BY281" si="482">Q247</f>
        <v>-</v>
      </c>
      <c r="BZ247" s="72">
        <f t="shared" ref="BZ247:BZ281" si="483">U247</f>
        <v>185</v>
      </c>
      <c r="CA247" s="71" t="str">
        <f t="shared" ref="CA247:CA281" si="484">Y247</f>
        <v>-</v>
      </c>
      <c r="CB247" s="72">
        <f t="shared" ref="CB247:CB281" si="485">AC247</f>
        <v>226</v>
      </c>
      <c r="CC247" s="71">
        <f t="shared" ref="CC247:CC281" si="486">AG247</f>
        <v>258</v>
      </c>
      <c r="CD247" s="72">
        <f t="shared" ref="CD247:CD281" si="487">AK247</f>
        <v>268</v>
      </c>
      <c r="CE247" s="71">
        <f t="shared" ref="CE247:CE281" si="488">AO247</f>
        <v>304</v>
      </c>
      <c r="CF247" s="72">
        <f t="shared" ref="CF247:CF281" si="489">AS247</f>
        <v>339</v>
      </c>
      <c r="CG247" s="71">
        <f t="shared" ref="CG247:CG281" si="490">AW247</f>
        <v>367</v>
      </c>
      <c r="CH247" s="70">
        <f t="shared" ref="CH247:CH281" si="491">G247</f>
        <v>144</v>
      </c>
      <c r="CI247" s="71">
        <f t="shared" ref="CI247:CI281" si="492">K247</f>
        <v>148</v>
      </c>
      <c r="CJ247" s="72">
        <f t="shared" ref="CJ247:CJ281" si="493">O247</f>
        <v>175</v>
      </c>
      <c r="CK247" s="72" t="str">
        <f t="shared" ref="CK247:CK281" si="494">S247</f>
        <v>-</v>
      </c>
      <c r="CL247" s="72">
        <f t="shared" ref="CL247:CL281" si="495">W247</f>
        <v>219</v>
      </c>
      <c r="CM247" s="72" t="str">
        <f t="shared" ref="CM247:CM281" si="496">AA247</f>
        <v>-</v>
      </c>
      <c r="CN247" s="72">
        <f t="shared" ref="CN247:CN281" si="497">AE247</f>
        <v>254</v>
      </c>
      <c r="CO247" s="72">
        <f t="shared" ref="CO247:CO281" si="498">AI247</f>
        <v>260</v>
      </c>
      <c r="CP247" s="72">
        <f t="shared" ref="CP247:CP281" si="499">AM247</f>
        <v>298</v>
      </c>
      <c r="CQ247" s="72">
        <f t="shared" ref="CQ247:CQ281" si="500">AQ247</f>
        <v>332</v>
      </c>
      <c r="CR247" s="72">
        <f t="shared" ref="CR247:CR281" si="501">AU247</f>
        <v>366</v>
      </c>
      <c r="CS247" s="72">
        <f t="shared" ref="CS247:CS281" si="502">AY247</f>
        <v>392</v>
      </c>
      <c r="CT247" s="23">
        <f t="shared" ref="CT247:CT281" si="503">M247-K247</f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333"/>
        <v>crfr1_human_4K5Y</v>
      </c>
      <c r="B248" s="3" t="s">
        <v>38</v>
      </c>
      <c r="C248" s="3" t="s">
        <v>95</v>
      </c>
      <c r="D248" s="3" t="str">
        <f>IFERROR(MID(VLOOKUP($B248,Seqs!$A:$B,2,0),E248,1),"")</f>
        <v>H</v>
      </c>
      <c r="E248" s="3">
        <v>117</v>
      </c>
      <c r="F248" s="3" t="str">
        <f>IFERROR(MID(VLOOKUP($B248,Seqs!$A:$B,2,0),G248,1),"")</f>
        <v>L</v>
      </c>
      <c r="G248" s="3">
        <v>144</v>
      </c>
      <c r="H248" s="3" t="str">
        <f>IFERROR(MID(VLOOKUP($B248,Seqs!$A:$B,2,0),I248,1),"")</f>
        <v>R</v>
      </c>
      <c r="I248" s="23">
        <v>145</v>
      </c>
      <c r="J248" s="3" t="str">
        <f>IFERROR(MID(VLOOKUP($B248,Seqs!$A:$B,2,0),K248,1),"")</f>
        <v>R</v>
      </c>
      <c r="K248" s="23">
        <v>148</v>
      </c>
      <c r="L248" s="3" t="str">
        <f>IFERROR(MID(VLOOKUP($B248,Seqs!$A:$B,2,0),M248,1),"")</f>
        <v>C</v>
      </c>
      <c r="M248" s="23">
        <v>149</v>
      </c>
      <c r="N248" s="3" t="str">
        <f>IFERROR(MID(VLOOKUP($B248,Seqs!$A:$B,2,0),O248,1),"")</f>
        <v>T</v>
      </c>
      <c r="O248" s="3">
        <v>175</v>
      </c>
      <c r="P248" s="3" t="str">
        <f>IFERROR(MID(VLOOKUP($B248,Seqs!$A:$B,2,0),Q248,1),"")</f>
        <v/>
      </c>
      <c r="Q248" s="3" t="s">
        <v>23</v>
      </c>
      <c r="R248" s="3" t="str">
        <f>IFERROR(MID(VLOOKUP($B248,Seqs!$A:$B,2,0),S248,1),"")</f>
        <v/>
      </c>
      <c r="S248" s="3" t="s">
        <v>23</v>
      </c>
      <c r="T248" s="3" t="str">
        <f>IFERROR(MID(VLOOKUP($B248,Seqs!$A:$B,2,0),U248,1),"")</f>
        <v>V</v>
      </c>
      <c r="U248" s="3">
        <v>185</v>
      </c>
      <c r="V248" s="3" t="str">
        <f>IFERROR(MID(VLOOKUP($B248,Seqs!$A:$B,2,0),W248,1),"")</f>
        <v>L</v>
      </c>
      <c r="W248" s="3">
        <v>219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L</v>
      </c>
      <c r="AC248" s="9">
        <v>226</v>
      </c>
      <c r="AD248" s="3" t="str">
        <f>IFERROR(MID(VLOOKUP($B248,Seqs!$A:$B,2,0),AE248,1),"")</f>
        <v>D</v>
      </c>
      <c r="AE248" s="3">
        <v>254</v>
      </c>
      <c r="AF248" s="3" t="str">
        <f>IFERROR(MID(VLOOKUP($B248,Seqs!$A:$B,2,0),AG248,1),"")</f>
        <v>C</v>
      </c>
      <c r="AG248" s="3">
        <v>258</v>
      </c>
      <c r="AH248" s="3" t="str">
        <f>IFERROR(MID(VLOOKUP($B248,Seqs!$A:$B,2,0),AI248,1),"")</f>
        <v>F</v>
      </c>
      <c r="AI248" s="3">
        <v>260</v>
      </c>
      <c r="AJ248" s="3" t="str">
        <f>IFERROR(MID(VLOOKUP($B248,Seqs!$A:$B,2,0),AK248,1),"")</f>
        <v>T</v>
      </c>
      <c r="AK248" s="3">
        <v>268</v>
      </c>
      <c r="AL248" s="3" t="str">
        <f>IFERROR(MID(VLOOKUP($B248,Seqs!$A:$B,2,0),AM248,1),"")</f>
        <v>L</v>
      </c>
      <c r="AM248" s="3">
        <v>298</v>
      </c>
      <c r="AN248" s="3" t="str">
        <f>IFERROR(MID(VLOOKUP($B248,Seqs!$A:$B,2,0),AO248,1),"")</f>
        <v>S</v>
      </c>
      <c r="AO248" s="3">
        <v>304</v>
      </c>
      <c r="AP248" s="3" t="str">
        <f>IFERROR(MID(VLOOKUP($B248,Seqs!$A:$B,2,0),AQ248,1),"")</f>
        <v>V</v>
      </c>
      <c r="AQ248" s="3">
        <v>332</v>
      </c>
      <c r="AR248" s="3" t="str">
        <f>IFERROR(MID(VLOOKUP($B248,Seqs!$A:$B,2,0),AS248,1),"")</f>
        <v>V</v>
      </c>
      <c r="AS248" s="3">
        <v>339</v>
      </c>
      <c r="AT248" s="3" t="str">
        <f>IFERROR(MID(VLOOKUP($B248,Seqs!$A:$B,2,0),AU248,1),"")</f>
        <v>F</v>
      </c>
      <c r="AU248" s="3">
        <v>362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B1</v>
      </c>
      <c r="BA248" s="94" t="str">
        <f>VLOOKUP(B248,Classification!A:D,4,0)</f>
        <v>Corticotropin-releasingfact</v>
      </c>
      <c r="BB248" s="27" t="b">
        <f t="shared" si="334"/>
        <v>1</v>
      </c>
      <c r="BC248" s="23">
        <f t="shared" si="478"/>
        <v>213</v>
      </c>
      <c r="BD248" s="4" t="s">
        <v>23</v>
      </c>
      <c r="BE248" s="3" t="s">
        <v>1381</v>
      </c>
      <c r="BF248" s="119">
        <v>2.98</v>
      </c>
      <c r="BG248" s="49" t="s">
        <v>1384</v>
      </c>
      <c r="BH248" s="49" t="s">
        <v>1384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479"/>
        <v>117</v>
      </c>
      <c r="BW248" s="71">
        <f t="shared" si="480"/>
        <v>145</v>
      </c>
      <c r="BX248" s="72">
        <f t="shared" si="481"/>
        <v>149</v>
      </c>
      <c r="BY248" s="71" t="str">
        <f t="shared" si="482"/>
        <v>-</v>
      </c>
      <c r="BZ248" s="72">
        <f t="shared" si="483"/>
        <v>185</v>
      </c>
      <c r="CA248" s="71" t="str">
        <f t="shared" si="484"/>
        <v>-</v>
      </c>
      <c r="CB248" s="72">
        <f t="shared" si="485"/>
        <v>226</v>
      </c>
      <c r="CC248" s="71">
        <f t="shared" si="486"/>
        <v>258</v>
      </c>
      <c r="CD248" s="72">
        <f t="shared" si="487"/>
        <v>268</v>
      </c>
      <c r="CE248" s="71">
        <f t="shared" si="488"/>
        <v>304</v>
      </c>
      <c r="CF248" s="72">
        <f t="shared" si="489"/>
        <v>339</v>
      </c>
      <c r="CG248" s="71" t="str">
        <f t="shared" si="490"/>
        <v>-</v>
      </c>
      <c r="CH248" s="70">
        <f t="shared" si="491"/>
        <v>144</v>
      </c>
      <c r="CI248" s="71">
        <f t="shared" si="492"/>
        <v>148</v>
      </c>
      <c r="CJ248" s="72">
        <f t="shared" si="493"/>
        <v>175</v>
      </c>
      <c r="CK248" s="72" t="str">
        <f t="shared" si="494"/>
        <v>-</v>
      </c>
      <c r="CL248" s="72">
        <f t="shared" si="495"/>
        <v>219</v>
      </c>
      <c r="CM248" s="72" t="str">
        <f t="shared" si="496"/>
        <v>-</v>
      </c>
      <c r="CN248" s="72">
        <f t="shared" si="497"/>
        <v>254</v>
      </c>
      <c r="CO248" s="72">
        <f t="shared" si="498"/>
        <v>260</v>
      </c>
      <c r="CP248" s="72">
        <f t="shared" si="499"/>
        <v>298</v>
      </c>
      <c r="CQ248" s="72">
        <f t="shared" si="500"/>
        <v>332</v>
      </c>
      <c r="CR248" s="72">
        <f t="shared" si="501"/>
        <v>362</v>
      </c>
      <c r="CS248" s="72" t="str">
        <f t="shared" si="502"/>
        <v>-</v>
      </c>
      <c r="CT248" s="23">
        <f t="shared" si="503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 t="shared" si="333"/>
        <v>crfr1_human_4K5Y_dist</v>
      </c>
      <c r="B249" s="3" t="s">
        <v>38</v>
      </c>
      <c r="C249" s="3" t="s">
        <v>1161</v>
      </c>
      <c r="D249" s="3" t="str">
        <f>IFERROR(MID(VLOOKUP($B249,Seqs!$A:$B,2,0),E249,1),"")</f>
        <v>H</v>
      </c>
      <c r="E249" s="3">
        <v>117</v>
      </c>
      <c r="F249" s="3" t="str">
        <f>IFERROR(MID(VLOOKUP($B249,Seqs!$A:$B,2,0),G249,1),"")</f>
        <v>L</v>
      </c>
      <c r="G249" s="3">
        <v>144</v>
      </c>
      <c r="H249" s="3" t="str">
        <f>IFERROR(MID(VLOOKUP($B249,Seqs!$A:$B,2,0),I249,1),"")</f>
        <v>R</v>
      </c>
      <c r="I249" s="23">
        <v>145</v>
      </c>
      <c r="J249" s="3" t="str">
        <f>IFERROR(MID(VLOOKUP($B249,Seqs!$A:$B,2,0),K249,1),"")</f>
        <v>R</v>
      </c>
      <c r="K249" s="23">
        <v>148</v>
      </c>
      <c r="L249" s="3" t="str">
        <f>IFERROR(MID(VLOOKUP($B249,Seqs!$A:$B,2,0),M249,1),"")</f>
        <v>C</v>
      </c>
      <c r="M249" s="23">
        <v>149</v>
      </c>
      <c r="N249" s="3" t="str">
        <f>IFERROR(MID(VLOOKUP($B249,Seqs!$A:$B,2,0),O249,1),"")</f>
        <v>T</v>
      </c>
      <c r="O249" s="3">
        <v>175</v>
      </c>
      <c r="P249" s="3" t="str">
        <f>IFERROR(MID(VLOOKUP($B249,Seqs!$A:$B,2,0),Q249,1),"")</f>
        <v/>
      </c>
      <c r="Q249" s="3" t="s">
        <v>23</v>
      </c>
      <c r="R249" s="3" t="str">
        <f>IFERROR(MID(VLOOKUP($B249,Seqs!$A:$B,2,0),S249,1),"")</f>
        <v/>
      </c>
      <c r="S249" s="3" t="s">
        <v>23</v>
      </c>
      <c r="T249" s="3" t="str">
        <f>IFERROR(MID(VLOOKUP($B249,Seqs!$A:$B,2,0),U249,1),"")</f>
        <v>V</v>
      </c>
      <c r="U249" s="3">
        <v>185</v>
      </c>
      <c r="V249" s="3" t="str">
        <f>IFERROR(MID(VLOOKUP($B249,Seqs!$A:$B,2,0),W249,1),"")</f>
        <v>L</v>
      </c>
      <c r="W249" s="3">
        <v>219</v>
      </c>
      <c r="X249" s="3" t="str">
        <f>IFERROR(MID(VLOOKUP($B249,Seqs!$A:$B,2,0),Y249,1),"")</f>
        <v/>
      </c>
      <c r="Y249" s="3" t="s">
        <v>23</v>
      </c>
      <c r="Z249" s="3" t="str">
        <f>IFERROR(MID(VLOOKUP($B249,Seqs!$A:$B,2,0),AA249,1),"")</f>
        <v/>
      </c>
      <c r="AA249" s="3" t="s">
        <v>23</v>
      </c>
      <c r="AB249" s="3" t="str">
        <f>IFERROR(MID(VLOOKUP($B249,Seqs!$A:$B,2,0),AC249,1),"")</f>
        <v>L</v>
      </c>
      <c r="AC249" s="9">
        <v>226</v>
      </c>
      <c r="AD249" s="3" t="str">
        <f>IFERROR(MID(VLOOKUP($B249,Seqs!$A:$B,2,0),AE249,1),"")</f>
        <v>D</v>
      </c>
      <c r="AE249" s="3">
        <v>254</v>
      </c>
      <c r="AF249" s="3" t="str">
        <f>IFERROR(MID(VLOOKUP($B249,Seqs!$A:$B,2,0),AG249,1),"")</f>
        <v>C</v>
      </c>
      <c r="AG249" s="3">
        <v>258</v>
      </c>
      <c r="AH249" s="3" t="str">
        <f>IFERROR(MID(VLOOKUP($B249,Seqs!$A:$B,2,0),AI249,1),"")</f>
        <v>F</v>
      </c>
      <c r="AI249" s="3">
        <v>260</v>
      </c>
      <c r="AJ249" s="3" t="str">
        <f>IFERROR(MID(VLOOKUP($B249,Seqs!$A:$B,2,0),AK249,1),"")</f>
        <v>T</v>
      </c>
      <c r="AK249" s="3">
        <v>268</v>
      </c>
      <c r="AL249" s="3" t="str">
        <f>IFERROR(MID(VLOOKUP($B249,Seqs!$A:$B,2,0),AM249,1),"")</f>
        <v>L</v>
      </c>
      <c r="AM249" s="3">
        <v>298</v>
      </c>
      <c r="AN249" s="3" t="str">
        <f>IFERROR(MID(VLOOKUP($B249,Seqs!$A:$B,2,0),AO249,1),"")</f>
        <v>S</v>
      </c>
      <c r="AO249" s="3">
        <v>304</v>
      </c>
      <c r="AP249" s="3" t="str">
        <f>IFERROR(MID(VLOOKUP($B249,Seqs!$A:$B,2,0),AQ249,1),"")</f>
        <v>V</v>
      </c>
      <c r="AQ249" s="3">
        <v>332</v>
      </c>
      <c r="AR249" s="3" t="str">
        <f>IFERROR(MID(VLOOKUP($B249,Seqs!$A:$B,2,0),AS249,1),"")</f>
        <v>V</v>
      </c>
      <c r="AS249" s="3">
        <v>339</v>
      </c>
      <c r="AT249" s="3" t="str">
        <f>IFERROR(MID(VLOOKUP($B249,Seqs!$A:$B,2,0),AU249,1),"")</f>
        <v>L</v>
      </c>
      <c r="AU249" s="3">
        <v>366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B1</v>
      </c>
      <c r="BA249" s="94" t="str">
        <f>VLOOKUP(B249,Classification!A:D,4,0)</f>
        <v>Corticotropin-releasingfact</v>
      </c>
      <c r="BB249" s="27" t="b">
        <f t="shared" si="334"/>
        <v>1</v>
      </c>
      <c r="BC249" s="23">
        <f t="shared" si="478"/>
        <v>217</v>
      </c>
      <c r="BD249" s="56" t="s">
        <v>1379</v>
      </c>
      <c r="BE249" s="3" t="s">
        <v>1381</v>
      </c>
      <c r="BF249" s="119">
        <v>2.98</v>
      </c>
      <c r="BG249" s="49" t="s">
        <v>1384</v>
      </c>
      <c r="BH249" s="49" t="s">
        <v>1384</v>
      </c>
      <c r="BI249" s="3" t="s">
        <v>1163</v>
      </c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479"/>
        <v>117</v>
      </c>
      <c r="BW249" s="71">
        <f t="shared" si="480"/>
        <v>145</v>
      </c>
      <c r="BX249" s="72">
        <f t="shared" si="481"/>
        <v>149</v>
      </c>
      <c r="BY249" s="71" t="str">
        <f t="shared" si="482"/>
        <v>-</v>
      </c>
      <c r="BZ249" s="72">
        <f t="shared" si="483"/>
        <v>185</v>
      </c>
      <c r="CA249" s="71" t="str">
        <f t="shared" si="484"/>
        <v>-</v>
      </c>
      <c r="CB249" s="72">
        <f t="shared" si="485"/>
        <v>226</v>
      </c>
      <c r="CC249" s="71">
        <f t="shared" si="486"/>
        <v>258</v>
      </c>
      <c r="CD249" s="72">
        <f t="shared" si="487"/>
        <v>268</v>
      </c>
      <c r="CE249" s="71">
        <f t="shared" si="488"/>
        <v>304</v>
      </c>
      <c r="CF249" s="72">
        <f t="shared" si="489"/>
        <v>339</v>
      </c>
      <c r="CG249" s="71" t="str">
        <f t="shared" si="490"/>
        <v>-</v>
      </c>
      <c r="CH249" s="70">
        <f t="shared" si="491"/>
        <v>144</v>
      </c>
      <c r="CI249" s="71">
        <f t="shared" si="492"/>
        <v>148</v>
      </c>
      <c r="CJ249" s="72">
        <f t="shared" si="493"/>
        <v>175</v>
      </c>
      <c r="CK249" s="72" t="str">
        <f t="shared" si="494"/>
        <v>-</v>
      </c>
      <c r="CL249" s="72">
        <f t="shared" si="495"/>
        <v>219</v>
      </c>
      <c r="CM249" s="72" t="str">
        <f t="shared" si="496"/>
        <v>-</v>
      </c>
      <c r="CN249" s="72">
        <f t="shared" si="497"/>
        <v>254</v>
      </c>
      <c r="CO249" s="72">
        <f t="shared" si="498"/>
        <v>260</v>
      </c>
      <c r="CP249" s="72">
        <f t="shared" si="499"/>
        <v>298</v>
      </c>
      <c r="CQ249" s="72">
        <f t="shared" si="500"/>
        <v>332</v>
      </c>
      <c r="CR249" s="72">
        <f t="shared" si="501"/>
        <v>366</v>
      </c>
      <c r="CS249" s="72" t="str">
        <f t="shared" si="502"/>
        <v>-</v>
      </c>
      <c r="CT249" s="23">
        <f t="shared" si="503"/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333"/>
        <v>crfr1_human_4Z9G</v>
      </c>
      <c r="B250" s="3" t="s">
        <v>38</v>
      </c>
      <c r="C250" s="3" t="s">
        <v>1060</v>
      </c>
      <c r="D250" s="3" t="str">
        <f>IFERROR(MID(VLOOKUP($B250,Seqs!$A:$B,2,0),E250,1),"")</f>
        <v>S</v>
      </c>
      <c r="E250" s="3">
        <v>112</v>
      </c>
      <c r="F250" s="3" t="str">
        <f>IFERROR(MID(VLOOKUP($B250,Seqs!$A:$B,2,0),G250,1),"")</f>
        <v>L</v>
      </c>
      <c r="G250" s="3">
        <v>144</v>
      </c>
      <c r="H250" s="3" t="str">
        <f>IFERROR(MID(VLOOKUP($B250,Seqs!$A:$B,2,0),I250,1),"")</f>
        <v>R</v>
      </c>
      <c r="I250" s="23">
        <v>145</v>
      </c>
      <c r="J250" s="3" t="str">
        <f>IFERROR(MID(VLOOKUP($B250,Seqs!$A:$B,2,0),K250,1),"")</f>
        <v>R</v>
      </c>
      <c r="K250" s="23">
        <v>148</v>
      </c>
      <c r="L250" s="3" t="str">
        <f>IFERROR(MID(VLOOKUP($B250,Seqs!$A:$B,2,0),M250,1),"")</f>
        <v>C</v>
      </c>
      <c r="M250" s="23">
        <v>149</v>
      </c>
      <c r="N250" s="3" t="str">
        <f>IFERROR(MID(VLOOKUP($B250,Seqs!$A:$B,2,0),O250,1),"")</f>
        <v>T</v>
      </c>
      <c r="O250" s="3">
        <v>175</v>
      </c>
      <c r="P250" s="3" t="str">
        <f>IFERROR(MID(VLOOKUP($B250,Seqs!$A:$B,2,0),Q250,1),"")</f>
        <v/>
      </c>
      <c r="Q250" s="3" t="s">
        <v>23</v>
      </c>
      <c r="R250" s="3" t="str">
        <f>IFERROR(MID(VLOOKUP($B250,Seqs!$A:$B,2,0),S250,1),"")</f>
        <v/>
      </c>
      <c r="S250" s="3" t="s">
        <v>23</v>
      </c>
      <c r="T250" s="3" t="str">
        <f>IFERROR(MID(VLOOKUP($B250,Seqs!$A:$B,2,0),U250,1),"")</f>
        <v>V</v>
      </c>
      <c r="U250" s="3">
        <v>185</v>
      </c>
      <c r="V250" s="3" t="str">
        <f>IFERROR(MID(VLOOKUP($B250,Seqs!$A:$B,2,0),W250,1),"")</f>
        <v>L</v>
      </c>
      <c r="W250" s="3">
        <v>219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L</v>
      </c>
      <c r="AC250" s="9">
        <v>226</v>
      </c>
      <c r="AD250" s="3" t="str">
        <f>IFERROR(MID(VLOOKUP($B250,Seqs!$A:$B,2,0),AE250,1),"")</f>
        <v>D</v>
      </c>
      <c r="AE250" s="3">
        <v>254</v>
      </c>
      <c r="AF250" s="3" t="str">
        <f>IFERROR(MID(VLOOKUP($B250,Seqs!$A:$B,2,0),AG250,1),"")</f>
        <v>C</v>
      </c>
      <c r="AG250" s="3">
        <v>258</v>
      </c>
      <c r="AH250" s="3" t="str">
        <f>IFERROR(MID(VLOOKUP($B250,Seqs!$A:$B,2,0),AI250,1),"")</f>
        <v>F</v>
      </c>
      <c r="AI250" s="3">
        <v>260</v>
      </c>
      <c r="AJ250" s="3" t="str">
        <f>IFERROR(MID(VLOOKUP($B250,Seqs!$A:$B,2,0),AK250,1),"")</f>
        <v>T</v>
      </c>
      <c r="AK250" s="3">
        <v>268</v>
      </c>
      <c r="AL250" s="3" t="str">
        <f>IFERROR(MID(VLOOKUP($B250,Seqs!$A:$B,2,0),AM250,1),"")</f>
        <v>L</v>
      </c>
      <c r="AM250" s="3">
        <v>298</v>
      </c>
      <c r="AN250" s="3" t="str">
        <f>IFERROR(MID(VLOOKUP($B250,Seqs!$A:$B,2,0),AO250,1),"")</f>
        <v>S</v>
      </c>
      <c r="AO250" s="3">
        <v>304</v>
      </c>
      <c r="AP250" s="3" t="str">
        <f>IFERROR(MID(VLOOKUP($B250,Seqs!$A:$B,2,0),AQ250,1),"")</f>
        <v>V</v>
      </c>
      <c r="AQ250" s="3">
        <v>332</v>
      </c>
      <c r="AR250" s="3" t="str">
        <f>IFERROR(MID(VLOOKUP($B250,Seqs!$A:$B,2,0),AS250,1),"")</f>
        <v>V</v>
      </c>
      <c r="AS250" s="3">
        <v>339</v>
      </c>
      <c r="AT250" s="3" t="str">
        <f>IFERROR(MID(VLOOKUP($B250,Seqs!$A:$B,2,0),AU250,1),"")</f>
        <v>F</v>
      </c>
      <c r="AU250" s="3">
        <v>362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B1</v>
      </c>
      <c r="BA250" s="94" t="str">
        <f>VLOOKUP(B250,Classification!A:D,4,0)</f>
        <v>Corticotropin-releasingfact</v>
      </c>
      <c r="BB250" s="27" t="b">
        <f t="shared" si="334"/>
        <v>1</v>
      </c>
      <c r="BC250" s="23">
        <f t="shared" si="478"/>
        <v>218</v>
      </c>
      <c r="BD250" s="2" t="s">
        <v>1383</v>
      </c>
      <c r="BE250" s="3" t="s">
        <v>1381</v>
      </c>
      <c r="BF250" s="119">
        <v>3.18</v>
      </c>
      <c r="BG250" s="49" t="s">
        <v>1384</v>
      </c>
      <c r="BH250" s="49" t="s">
        <v>1384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479"/>
        <v>112</v>
      </c>
      <c r="BW250" s="71">
        <f t="shared" si="480"/>
        <v>145</v>
      </c>
      <c r="BX250" s="72">
        <f t="shared" si="481"/>
        <v>149</v>
      </c>
      <c r="BY250" s="71" t="str">
        <f t="shared" si="482"/>
        <v>-</v>
      </c>
      <c r="BZ250" s="72">
        <f t="shared" si="483"/>
        <v>185</v>
      </c>
      <c r="CA250" s="71" t="str">
        <f t="shared" si="484"/>
        <v>-</v>
      </c>
      <c r="CB250" s="72">
        <f t="shared" si="485"/>
        <v>226</v>
      </c>
      <c r="CC250" s="71">
        <f t="shared" si="486"/>
        <v>258</v>
      </c>
      <c r="CD250" s="72">
        <f t="shared" si="487"/>
        <v>268</v>
      </c>
      <c r="CE250" s="71">
        <f t="shared" si="488"/>
        <v>304</v>
      </c>
      <c r="CF250" s="72">
        <f t="shared" si="489"/>
        <v>339</v>
      </c>
      <c r="CG250" s="71" t="str">
        <f t="shared" si="490"/>
        <v>-</v>
      </c>
      <c r="CH250" s="70">
        <f t="shared" si="491"/>
        <v>144</v>
      </c>
      <c r="CI250" s="71">
        <f t="shared" si="492"/>
        <v>148</v>
      </c>
      <c r="CJ250" s="72">
        <f t="shared" si="493"/>
        <v>175</v>
      </c>
      <c r="CK250" s="72" t="str">
        <f t="shared" si="494"/>
        <v>-</v>
      </c>
      <c r="CL250" s="72">
        <f t="shared" si="495"/>
        <v>219</v>
      </c>
      <c r="CM250" s="72" t="str">
        <f t="shared" si="496"/>
        <v>-</v>
      </c>
      <c r="CN250" s="72">
        <f t="shared" si="497"/>
        <v>254</v>
      </c>
      <c r="CO250" s="72">
        <f t="shared" si="498"/>
        <v>260</v>
      </c>
      <c r="CP250" s="72">
        <f t="shared" si="499"/>
        <v>298</v>
      </c>
      <c r="CQ250" s="72">
        <f t="shared" si="500"/>
        <v>332</v>
      </c>
      <c r="CR250" s="72">
        <f t="shared" si="501"/>
        <v>362</v>
      </c>
      <c r="CS250" s="72" t="str">
        <f t="shared" si="502"/>
        <v>-</v>
      </c>
      <c r="CT250" s="23">
        <f t="shared" si="503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333"/>
        <v>crfr1_human_4Z9G_dist</v>
      </c>
      <c r="B251" s="3" t="s">
        <v>38</v>
      </c>
      <c r="C251" s="3" t="s">
        <v>1162</v>
      </c>
      <c r="D251" s="3" t="str">
        <f>IFERROR(MID(VLOOKUP($B251,Seqs!$A:$B,2,0),E251,1),"")</f>
        <v>S</v>
      </c>
      <c r="E251" s="3">
        <v>112</v>
      </c>
      <c r="F251" s="3" t="str">
        <f>IFERROR(MID(VLOOKUP($B251,Seqs!$A:$B,2,0),G251,1),"")</f>
        <v>L</v>
      </c>
      <c r="G251" s="3">
        <v>144</v>
      </c>
      <c r="H251" s="3" t="str">
        <f>IFERROR(MID(VLOOKUP($B251,Seqs!$A:$B,2,0),I251,1),"")</f>
        <v>R</v>
      </c>
      <c r="I251" s="23">
        <v>145</v>
      </c>
      <c r="J251" s="3" t="str">
        <f>IFERROR(MID(VLOOKUP($B251,Seqs!$A:$B,2,0),K251,1),"")</f>
        <v>R</v>
      </c>
      <c r="K251" s="23">
        <v>148</v>
      </c>
      <c r="L251" s="3" t="str">
        <f>IFERROR(MID(VLOOKUP($B251,Seqs!$A:$B,2,0),M251,1),"")</f>
        <v>C</v>
      </c>
      <c r="M251" s="23">
        <v>149</v>
      </c>
      <c r="N251" s="3" t="str">
        <f>IFERROR(MID(VLOOKUP($B251,Seqs!$A:$B,2,0),O251,1),"")</f>
        <v>T</v>
      </c>
      <c r="O251" s="3">
        <v>175</v>
      </c>
      <c r="P251" s="3" t="str">
        <f>IFERROR(MID(VLOOKUP($B251,Seqs!$A:$B,2,0),Q251,1),"")</f>
        <v/>
      </c>
      <c r="Q251" s="3" t="s">
        <v>23</v>
      </c>
      <c r="R251" s="3" t="str">
        <f>IFERROR(MID(VLOOKUP($B251,Seqs!$A:$B,2,0),S251,1),"")</f>
        <v/>
      </c>
      <c r="S251" s="3" t="s">
        <v>23</v>
      </c>
      <c r="T251" s="3" t="str">
        <f>IFERROR(MID(VLOOKUP($B251,Seqs!$A:$B,2,0),U251,1),"")</f>
        <v>V</v>
      </c>
      <c r="U251" s="3">
        <v>185</v>
      </c>
      <c r="V251" s="3" t="str">
        <f>IFERROR(MID(VLOOKUP($B251,Seqs!$A:$B,2,0),W251,1),"")</f>
        <v>L</v>
      </c>
      <c r="W251" s="3">
        <v>219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L</v>
      </c>
      <c r="AC251" s="9">
        <v>226</v>
      </c>
      <c r="AD251" s="3" t="str">
        <f>IFERROR(MID(VLOOKUP($B251,Seqs!$A:$B,2,0),AE251,1),"")</f>
        <v>D</v>
      </c>
      <c r="AE251" s="3">
        <v>254</v>
      </c>
      <c r="AF251" s="3" t="str">
        <f>IFERROR(MID(VLOOKUP($B251,Seqs!$A:$B,2,0),AG251,1),"")</f>
        <v>C</v>
      </c>
      <c r="AG251" s="3">
        <v>258</v>
      </c>
      <c r="AH251" s="3" t="str">
        <f>IFERROR(MID(VLOOKUP($B251,Seqs!$A:$B,2,0),AI251,1),"")</f>
        <v>F</v>
      </c>
      <c r="AI251" s="3">
        <v>260</v>
      </c>
      <c r="AJ251" s="3" t="str">
        <f>IFERROR(MID(VLOOKUP($B251,Seqs!$A:$B,2,0),AK251,1),"")</f>
        <v>T</v>
      </c>
      <c r="AK251" s="3">
        <v>268</v>
      </c>
      <c r="AL251" s="3" t="str">
        <f>IFERROR(MID(VLOOKUP($B251,Seqs!$A:$B,2,0),AM251,1),"")</f>
        <v>L</v>
      </c>
      <c r="AM251" s="3">
        <v>298</v>
      </c>
      <c r="AN251" s="3" t="str">
        <f>IFERROR(MID(VLOOKUP($B251,Seqs!$A:$B,2,0),AO251,1),"")</f>
        <v>S</v>
      </c>
      <c r="AO251" s="3">
        <v>304</v>
      </c>
      <c r="AP251" s="3" t="str">
        <f>IFERROR(MID(VLOOKUP($B251,Seqs!$A:$B,2,0),AQ251,1),"")</f>
        <v>V</v>
      </c>
      <c r="AQ251" s="3">
        <v>332</v>
      </c>
      <c r="AR251" s="3" t="str">
        <f>IFERROR(MID(VLOOKUP($B251,Seqs!$A:$B,2,0),AS251,1),"")</f>
        <v>V</v>
      </c>
      <c r="AS251" s="3">
        <v>339</v>
      </c>
      <c r="AT251" s="3" t="str">
        <f>IFERROR(MID(VLOOKUP($B251,Seqs!$A:$B,2,0),AU251,1),"")</f>
        <v>E</v>
      </c>
      <c r="AU251" s="3">
        <v>369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B1</v>
      </c>
      <c r="BA251" s="94" t="str">
        <f>VLOOKUP(B251,Classification!A:D,4,0)</f>
        <v>Corticotropin-releasingfact</v>
      </c>
      <c r="BB251" s="27" t="b">
        <f t="shared" si="334"/>
        <v>1</v>
      </c>
      <c r="BC251" s="23">
        <f t="shared" si="478"/>
        <v>225</v>
      </c>
      <c r="BD251" s="56" t="s">
        <v>1379</v>
      </c>
      <c r="BE251" s="3" t="s">
        <v>1381</v>
      </c>
      <c r="BF251" s="119">
        <v>3.18</v>
      </c>
      <c r="BG251" s="49" t="s">
        <v>1384</v>
      </c>
      <c r="BH251" s="49" t="s">
        <v>1384</v>
      </c>
      <c r="BI251" s="3" t="s">
        <v>1163</v>
      </c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479"/>
        <v>112</v>
      </c>
      <c r="BW251" s="71">
        <f t="shared" si="480"/>
        <v>145</v>
      </c>
      <c r="BX251" s="72">
        <f t="shared" si="481"/>
        <v>149</v>
      </c>
      <c r="BY251" s="71" t="str">
        <f t="shared" si="482"/>
        <v>-</v>
      </c>
      <c r="BZ251" s="72">
        <f t="shared" si="483"/>
        <v>185</v>
      </c>
      <c r="CA251" s="71" t="str">
        <f t="shared" si="484"/>
        <v>-</v>
      </c>
      <c r="CB251" s="72">
        <f t="shared" si="485"/>
        <v>226</v>
      </c>
      <c r="CC251" s="71">
        <f t="shared" si="486"/>
        <v>258</v>
      </c>
      <c r="CD251" s="72">
        <f t="shared" si="487"/>
        <v>268</v>
      </c>
      <c r="CE251" s="71">
        <f t="shared" si="488"/>
        <v>304</v>
      </c>
      <c r="CF251" s="72">
        <f t="shared" si="489"/>
        <v>339</v>
      </c>
      <c r="CG251" s="71" t="str">
        <f t="shared" si="490"/>
        <v>-</v>
      </c>
      <c r="CH251" s="70">
        <f t="shared" si="491"/>
        <v>144</v>
      </c>
      <c r="CI251" s="71">
        <f t="shared" si="492"/>
        <v>148</v>
      </c>
      <c r="CJ251" s="72">
        <f t="shared" si="493"/>
        <v>175</v>
      </c>
      <c r="CK251" s="72" t="str">
        <f t="shared" si="494"/>
        <v>-</v>
      </c>
      <c r="CL251" s="72">
        <f t="shared" si="495"/>
        <v>219</v>
      </c>
      <c r="CM251" s="72" t="str">
        <f t="shared" si="496"/>
        <v>-</v>
      </c>
      <c r="CN251" s="72">
        <f t="shared" si="497"/>
        <v>254</v>
      </c>
      <c r="CO251" s="72">
        <f t="shared" si="498"/>
        <v>260</v>
      </c>
      <c r="CP251" s="72">
        <f t="shared" si="499"/>
        <v>298</v>
      </c>
      <c r="CQ251" s="72">
        <f t="shared" si="500"/>
        <v>332</v>
      </c>
      <c r="CR251" s="72">
        <f t="shared" si="501"/>
        <v>369</v>
      </c>
      <c r="CS251" s="72" t="str">
        <f t="shared" si="502"/>
        <v>-</v>
      </c>
      <c r="CT251" s="23">
        <f t="shared" si="503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333"/>
        <v>glr_human__wt</v>
      </c>
      <c r="B252" s="3" t="s">
        <v>32</v>
      </c>
      <c r="C252" s="3" t="s">
        <v>100</v>
      </c>
      <c r="D252" s="3" t="str">
        <f>IFERROR(MID(VLOOKUP($B252,Seqs!$A:$B,2,0),E252,1),"")</f>
        <v>Q</v>
      </c>
      <c r="E252" s="105">
        <v>131</v>
      </c>
      <c r="F252" s="3" t="str">
        <f>IFERROR(MID(VLOOKUP($B252,Seqs!$A:$B,2,0),G252,1),"")</f>
        <v>L</v>
      </c>
      <c r="G252" s="3">
        <v>166</v>
      </c>
      <c r="H252" s="3" t="str">
        <f>IFERROR(MID(VLOOKUP($B252,Seqs!$A:$B,2,0),I252,1),"")</f>
        <v>S</v>
      </c>
      <c r="I252" s="23">
        <v>167</v>
      </c>
      <c r="J252" s="3" t="str">
        <f>IFERROR(MID(VLOOKUP($B252,Seqs!$A:$B,2,0),K252,1),"")</f>
        <v>H</v>
      </c>
      <c r="K252" s="23">
        <v>170</v>
      </c>
      <c r="L252" s="3" t="str">
        <f>IFERROR(MID(VLOOKUP($B252,Seqs!$A:$B,2,0),M252,1),"")</f>
        <v>C</v>
      </c>
      <c r="M252" s="23">
        <v>171</v>
      </c>
      <c r="N252" s="3" t="str">
        <f>IFERROR(MID(VLOOKUP($B252,Seqs!$A:$B,2,0),O252,1),"")</f>
        <v>S</v>
      </c>
      <c r="O252" s="105">
        <v>203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A</v>
      </c>
      <c r="U252" s="3">
        <v>220</v>
      </c>
      <c r="V252" s="3" t="str">
        <f>IFERROR(MID(VLOOKUP($B252,Seqs!$A:$B,2,0),W252,1),"")</f>
        <v>L</v>
      </c>
      <c r="W252" s="3">
        <v>255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262</v>
      </c>
      <c r="AD252" s="3" t="str">
        <f>IFERROR(MID(VLOOKUP($B252,Seqs!$A:$B,2,0),AE252,1),"")</f>
        <v>E</v>
      </c>
      <c r="AE252" s="3">
        <v>290</v>
      </c>
      <c r="AF252" s="3" t="str">
        <f>IFERROR(MID(VLOOKUP($B252,Seqs!$A:$B,2,0),AG252,1),"")</f>
        <v>C</v>
      </c>
      <c r="AG252" s="3">
        <v>294</v>
      </c>
      <c r="AH252" s="3" t="str">
        <f>IFERROR(MID(VLOOKUP($B252,Seqs!$A:$B,2,0),AI252,1),"")</f>
        <v>T</v>
      </c>
      <c r="AI252" s="3">
        <v>296</v>
      </c>
      <c r="AJ252" s="3" t="str">
        <f>IFERROR(MID(VLOOKUP($B252,Seqs!$A:$B,2,0),AK252,1),"")</f>
        <v>N</v>
      </c>
      <c r="AK252" s="3">
        <v>300</v>
      </c>
      <c r="AL252" s="3" t="str">
        <f>IFERROR(MID(VLOOKUP($B252,Seqs!$A:$B,2,0),AM252,1),"")</f>
        <v>A</v>
      </c>
      <c r="AM252" s="3">
        <v>335</v>
      </c>
      <c r="AN252" s="3" t="str">
        <f>IFERROR(MID(VLOOKUP($B252,Seqs!$A:$B,2,0),AO252,1),"")</f>
        <v>D</v>
      </c>
      <c r="AO252" s="3">
        <v>342</v>
      </c>
      <c r="AP252" s="3" t="str">
        <f>IFERROR(MID(VLOOKUP($B252,Seqs!$A:$B,2,0),AQ252,1),"")</f>
        <v>F</v>
      </c>
      <c r="AQ252" s="3">
        <v>367</v>
      </c>
      <c r="AR252" s="3" t="str">
        <f>IFERROR(MID(VLOOKUP($B252,Seqs!$A:$B,2,0),AS252,1),"")</f>
        <v>Q</v>
      </c>
      <c r="AS252" s="3">
        <v>374</v>
      </c>
      <c r="AT252" s="3" t="str">
        <f>IFERROR(MID(VLOOKUP($B252,Seqs!$A:$B,2,0),AU252,1),"")</f>
        <v>L</v>
      </c>
      <c r="AU252" s="3">
        <v>403</v>
      </c>
      <c r="AV252" s="3" t="str">
        <f>IFERROR(MID(VLOOKUP($B252,Seqs!$A:$B,2,0),AW252,1),"")</f>
        <v>N</v>
      </c>
      <c r="AW252" s="3">
        <v>404</v>
      </c>
      <c r="AX252" s="3" t="str">
        <f>IFERROR(MID(VLOOKUP($B252,Seqs!$A:$B,2,0),AY252,1),"")</f>
        <v>N</v>
      </c>
      <c r="AY252" s="3">
        <v>429</v>
      </c>
      <c r="AZ252" s="77" t="str">
        <f>VLOOKUP(B252,Classification!A:D,2,0)</f>
        <v>B1</v>
      </c>
      <c r="BA252" s="94" t="str">
        <f>VLOOKUP(B252,Classification!A:D,4,0)</f>
        <v>Glucagonreceptorfamily</v>
      </c>
      <c r="BB252" s="27" t="b">
        <f t="shared" si="334"/>
        <v>1</v>
      </c>
      <c r="BC252" s="23">
        <f t="shared" si="478"/>
        <v>261</v>
      </c>
      <c r="BD252" s="56" t="s">
        <v>1379</v>
      </c>
      <c r="BE252" s="3" t="s">
        <v>23</v>
      </c>
      <c r="BF252" s="119" t="s">
        <v>23</v>
      </c>
      <c r="BG252" s="49" t="s">
        <v>1379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479"/>
        <v>131</v>
      </c>
      <c r="BW252" s="71">
        <f t="shared" si="480"/>
        <v>167</v>
      </c>
      <c r="BX252" s="72">
        <f t="shared" si="481"/>
        <v>171</v>
      </c>
      <c r="BY252" s="71" t="str">
        <f t="shared" si="482"/>
        <v>-</v>
      </c>
      <c r="BZ252" s="72">
        <f t="shared" si="483"/>
        <v>220</v>
      </c>
      <c r="CA252" s="71" t="str">
        <f t="shared" si="484"/>
        <v>-</v>
      </c>
      <c r="CB252" s="72">
        <f t="shared" si="485"/>
        <v>262</v>
      </c>
      <c r="CC252" s="71">
        <f t="shared" si="486"/>
        <v>294</v>
      </c>
      <c r="CD252" s="72">
        <f t="shared" si="487"/>
        <v>300</v>
      </c>
      <c r="CE252" s="71">
        <f t="shared" si="488"/>
        <v>342</v>
      </c>
      <c r="CF252" s="72">
        <f t="shared" si="489"/>
        <v>374</v>
      </c>
      <c r="CG252" s="71">
        <f t="shared" si="490"/>
        <v>404</v>
      </c>
      <c r="CH252" s="70">
        <f t="shared" si="491"/>
        <v>166</v>
      </c>
      <c r="CI252" s="71">
        <f t="shared" si="492"/>
        <v>170</v>
      </c>
      <c r="CJ252" s="72">
        <f t="shared" si="493"/>
        <v>203</v>
      </c>
      <c r="CK252" s="72" t="str">
        <f t="shared" si="494"/>
        <v>-</v>
      </c>
      <c r="CL252" s="72">
        <f t="shared" si="495"/>
        <v>255</v>
      </c>
      <c r="CM252" s="72" t="str">
        <f t="shared" si="496"/>
        <v>-</v>
      </c>
      <c r="CN252" s="72">
        <f t="shared" si="497"/>
        <v>290</v>
      </c>
      <c r="CO252" s="72">
        <f t="shared" si="498"/>
        <v>296</v>
      </c>
      <c r="CP252" s="72">
        <f t="shared" si="499"/>
        <v>335</v>
      </c>
      <c r="CQ252" s="72">
        <f t="shared" si="500"/>
        <v>367</v>
      </c>
      <c r="CR252" s="72">
        <f t="shared" si="501"/>
        <v>403</v>
      </c>
      <c r="CS252" s="72">
        <f t="shared" si="502"/>
        <v>429</v>
      </c>
      <c r="CT252" s="23">
        <f t="shared" si="503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333"/>
        <v>glr_human_4L6R</v>
      </c>
      <c r="B253" s="3" t="s">
        <v>32</v>
      </c>
      <c r="C253" s="3" t="s">
        <v>51</v>
      </c>
      <c r="D253" s="3" t="str">
        <f>IFERROR(MID(VLOOKUP($B253,Seqs!$A:$B,2,0),E253,1),"")</f>
        <v>G</v>
      </c>
      <c r="E253" s="3">
        <v>125</v>
      </c>
      <c r="F253" s="3" t="str">
        <f>IFERROR(MID(VLOOKUP($B253,Seqs!$A:$B,2,0),G253,1),"")</f>
        <v>G</v>
      </c>
      <c r="G253" s="3">
        <v>164</v>
      </c>
      <c r="H253" s="3" t="str">
        <f>IFERROR(MID(VLOOKUP($B253,Seqs!$A:$B,2,0),I253,1),"")</f>
        <v>S</v>
      </c>
      <c r="I253" s="23">
        <v>167</v>
      </c>
      <c r="J253" s="3" t="str">
        <f>IFERROR(MID(VLOOKUP($B253,Seqs!$A:$B,2,0),K253,1),"")</f>
        <v>H</v>
      </c>
      <c r="K253" s="23">
        <v>170</v>
      </c>
      <c r="L253" s="3" t="str">
        <f>IFERROR(MID(VLOOKUP($B253,Seqs!$A:$B,2,0),M253,1),"")</f>
        <v>C</v>
      </c>
      <c r="M253" s="23">
        <v>171</v>
      </c>
      <c r="N253" s="3" t="str">
        <f>IFERROR(MID(VLOOKUP($B253,Seqs!$A:$B,2,0),O253,1),"")</f>
        <v>R</v>
      </c>
      <c r="O253" s="3">
        <v>199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S</v>
      </c>
      <c r="U253" s="3">
        <v>217</v>
      </c>
      <c r="V253" s="3" t="str">
        <f>IFERROR(MID(VLOOKUP($B253,Seqs!$A:$B,2,0),W253,1),"")</f>
        <v>L</v>
      </c>
      <c r="W253" s="3">
        <v>255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A</v>
      </c>
      <c r="AC253" s="9">
        <v>274</v>
      </c>
      <c r="AD253" s="3" t="str">
        <f>IFERROR(MID(VLOOKUP($B253,Seqs!$A:$B,2,0),AE253,1),"")</f>
        <v>E</v>
      </c>
      <c r="AE253" s="3">
        <v>290</v>
      </c>
      <c r="AF253" s="3" t="str">
        <f>IFERROR(MID(VLOOKUP($B253,Seqs!$A:$B,2,0),AG253,1),"")</f>
        <v>C</v>
      </c>
      <c r="AG253" s="3">
        <v>294</v>
      </c>
      <c r="AH253" s="3" t="str">
        <f>IFERROR(MID(VLOOKUP($B253,Seqs!$A:$B,2,0),AI253,1),"")</f>
        <v>T</v>
      </c>
      <c r="AI253" s="3">
        <v>296</v>
      </c>
      <c r="AJ253" s="3" t="str">
        <f>IFERROR(MID(VLOOKUP($B253,Seqs!$A:$B,2,0),AK253,1),"")</f>
        <v>N</v>
      </c>
      <c r="AK253" s="3">
        <v>300</v>
      </c>
      <c r="AL253" s="3" t="str">
        <f>IFERROR(MID(VLOOKUP($B253,Seqs!$A:$B,2,0),AM253,1),"")</f>
        <v>A</v>
      </c>
      <c r="AM253" s="3">
        <v>335</v>
      </c>
      <c r="AN253" s="3" t="str">
        <f>IFERROR(MID(VLOOKUP($B253,Seqs!$A:$B,2,0),AO253,1),"")</f>
        <v>D</v>
      </c>
      <c r="AO253" s="3">
        <v>342</v>
      </c>
      <c r="AP253" s="3" t="str">
        <f>IFERROR(MID(VLOOKUP($B253,Seqs!$A:$B,2,0),AQ253,1),"")</f>
        <v>F</v>
      </c>
      <c r="AQ253" s="3">
        <v>367</v>
      </c>
      <c r="AR253" s="3" t="str">
        <f>IFERROR(MID(VLOOKUP($B253,Seqs!$A:$B,2,0),AS253,1),"")</f>
        <v>Q</v>
      </c>
      <c r="AS253" s="3">
        <v>374</v>
      </c>
      <c r="AT253" s="3" t="str">
        <f>IFERROR(MID(VLOOKUP($B253,Seqs!$A:$B,2,0),AU253,1),"")</f>
        <v>L</v>
      </c>
      <c r="AU253" s="3">
        <v>403</v>
      </c>
      <c r="AV253" s="3" t="str">
        <f>IFERROR(MID(VLOOKUP($B253,Seqs!$A:$B,2,0),AW253,1),"")</f>
        <v>N</v>
      </c>
      <c r="AW253" s="3">
        <v>404</v>
      </c>
      <c r="AX253" s="3" t="str">
        <f>IFERROR(MID(VLOOKUP($B253,Seqs!$A:$B,2,0),AY253,1),"")</f>
        <v>N</v>
      </c>
      <c r="AY253" s="3">
        <v>429</v>
      </c>
      <c r="AZ253" s="77" t="str">
        <f>VLOOKUP(B253,Classification!A:D,2,0)</f>
        <v>B1</v>
      </c>
      <c r="BA253" s="94" t="str">
        <f>VLOOKUP(B253,Classification!A:D,4,0)</f>
        <v>Glucagonreceptorfamily</v>
      </c>
      <c r="BB253" s="27" t="b">
        <f t="shared" si="334"/>
        <v>1</v>
      </c>
      <c r="BC253" s="23">
        <f t="shared" si="478"/>
        <v>252</v>
      </c>
      <c r="BD253" s="2" t="s">
        <v>23</v>
      </c>
      <c r="BE253" s="3" t="s">
        <v>1381</v>
      </c>
      <c r="BF253" s="119">
        <v>3.3</v>
      </c>
      <c r="BG253" s="49" t="s">
        <v>1384</v>
      </c>
      <c r="BH253" s="49" t="s">
        <v>1384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479"/>
        <v>125</v>
      </c>
      <c r="BW253" s="71">
        <f t="shared" si="480"/>
        <v>167</v>
      </c>
      <c r="BX253" s="72">
        <f t="shared" si="481"/>
        <v>171</v>
      </c>
      <c r="BY253" s="71" t="str">
        <f t="shared" si="482"/>
        <v>-</v>
      </c>
      <c r="BZ253" s="72">
        <f t="shared" si="483"/>
        <v>217</v>
      </c>
      <c r="CA253" s="71" t="str">
        <f t="shared" si="484"/>
        <v>-</v>
      </c>
      <c r="CB253" s="72">
        <f t="shared" si="485"/>
        <v>274</v>
      </c>
      <c r="CC253" s="71">
        <f t="shared" si="486"/>
        <v>294</v>
      </c>
      <c r="CD253" s="72">
        <f t="shared" si="487"/>
        <v>300</v>
      </c>
      <c r="CE253" s="71">
        <f t="shared" si="488"/>
        <v>342</v>
      </c>
      <c r="CF253" s="72">
        <f t="shared" si="489"/>
        <v>374</v>
      </c>
      <c r="CG253" s="71">
        <f t="shared" si="490"/>
        <v>404</v>
      </c>
      <c r="CH253" s="70">
        <f t="shared" si="491"/>
        <v>164</v>
      </c>
      <c r="CI253" s="71">
        <f t="shared" si="492"/>
        <v>170</v>
      </c>
      <c r="CJ253" s="72">
        <f t="shared" si="493"/>
        <v>199</v>
      </c>
      <c r="CK253" s="72" t="str">
        <f t="shared" si="494"/>
        <v>-</v>
      </c>
      <c r="CL253" s="72">
        <f t="shared" si="495"/>
        <v>255</v>
      </c>
      <c r="CM253" s="72" t="str">
        <f t="shared" si="496"/>
        <v>-</v>
      </c>
      <c r="CN253" s="72">
        <f t="shared" si="497"/>
        <v>290</v>
      </c>
      <c r="CO253" s="72">
        <f t="shared" si="498"/>
        <v>296</v>
      </c>
      <c r="CP253" s="72">
        <f t="shared" si="499"/>
        <v>335</v>
      </c>
      <c r="CQ253" s="72">
        <f t="shared" si="500"/>
        <v>367</v>
      </c>
      <c r="CR253" s="72">
        <f t="shared" si="501"/>
        <v>403</v>
      </c>
      <c r="CS253" s="72">
        <f t="shared" si="502"/>
        <v>429</v>
      </c>
      <c r="CT253" s="23">
        <f t="shared" si="503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333"/>
        <v>glr_human_4L6R_dist</v>
      </c>
      <c r="B254" s="3" t="s">
        <v>32</v>
      </c>
      <c r="C254" s="3" t="s">
        <v>1282</v>
      </c>
      <c r="D254" s="3" t="str">
        <f>IFERROR(MID(VLOOKUP($B254,Seqs!$A:$B,2,0),E254,1),"")</f>
        <v>G</v>
      </c>
      <c r="E254" s="3">
        <v>125</v>
      </c>
      <c r="F254" s="3" t="str">
        <f>IFERROR(MID(VLOOKUP($B254,Seqs!$A:$B,2,0),G254,1),"")</f>
        <v>G</v>
      </c>
      <c r="G254" s="3">
        <v>164</v>
      </c>
      <c r="H254" s="3" t="str">
        <f>IFERROR(MID(VLOOKUP($B254,Seqs!$A:$B,2,0),I254,1),"")</f>
        <v>S</v>
      </c>
      <c r="I254" s="23">
        <v>167</v>
      </c>
      <c r="J254" s="3" t="str">
        <f>IFERROR(MID(VLOOKUP($B254,Seqs!$A:$B,2,0),K254,1),"")</f>
        <v>H</v>
      </c>
      <c r="K254" s="23">
        <v>170</v>
      </c>
      <c r="L254" s="3" t="str">
        <f>IFERROR(MID(VLOOKUP($B254,Seqs!$A:$B,2,0),M254,1),"")</f>
        <v>C</v>
      </c>
      <c r="M254" s="23">
        <v>171</v>
      </c>
      <c r="N254" s="3" t="str">
        <f>IFERROR(MID(VLOOKUP($B254,Seqs!$A:$B,2,0),O254,1),"")</f>
        <v>R</v>
      </c>
      <c r="O254" s="3">
        <v>199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S</v>
      </c>
      <c r="U254" s="3">
        <v>217</v>
      </c>
      <c r="V254" s="3" t="str">
        <f>IFERROR(MID(VLOOKUP($B254,Seqs!$A:$B,2,0),W254,1),"")</f>
        <v>L</v>
      </c>
      <c r="W254" s="3">
        <v>255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S</v>
      </c>
      <c r="AC254" s="9">
        <v>262</v>
      </c>
      <c r="AD254" s="3" t="str">
        <f>IFERROR(MID(VLOOKUP($B254,Seqs!$A:$B,2,0),AE254,1),"")</f>
        <v>E</v>
      </c>
      <c r="AE254" s="3">
        <v>290</v>
      </c>
      <c r="AF254" s="3" t="str">
        <f>IFERROR(MID(VLOOKUP($B254,Seqs!$A:$B,2,0),AG254,1),"")</f>
        <v>C</v>
      </c>
      <c r="AG254" s="3">
        <v>294</v>
      </c>
      <c r="AH254" s="3" t="str">
        <f>IFERROR(MID(VLOOKUP($B254,Seqs!$A:$B,2,0),AI254,1),"")</f>
        <v>T</v>
      </c>
      <c r="AI254" s="3">
        <v>296</v>
      </c>
      <c r="AJ254" s="3" t="str">
        <f>IFERROR(MID(VLOOKUP($B254,Seqs!$A:$B,2,0),AK254,1),"")</f>
        <v>N</v>
      </c>
      <c r="AK254" s="3">
        <v>300</v>
      </c>
      <c r="AL254" s="3" t="str">
        <f>IFERROR(MID(VLOOKUP($B254,Seqs!$A:$B,2,0),AM254,1),"")</f>
        <v>A</v>
      </c>
      <c r="AM254" s="3">
        <v>335</v>
      </c>
      <c r="AN254" s="3" t="str">
        <f>IFERROR(MID(VLOOKUP($B254,Seqs!$A:$B,2,0),AO254,1),"")</f>
        <v>D</v>
      </c>
      <c r="AO254" s="3">
        <v>342</v>
      </c>
      <c r="AP254" s="3" t="str">
        <f>IFERROR(MID(VLOOKUP($B254,Seqs!$A:$B,2,0),AQ254,1),"")</f>
        <v>F</v>
      </c>
      <c r="AQ254" s="3">
        <v>367</v>
      </c>
      <c r="AR254" s="3" t="str">
        <f>IFERROR(MID(VLOOKUP($B254,Seqs!$A:$B,2,0),AS254,1),"")</f>
        <v>Q</v>
      </c>
      <c r="AS254" s="3">
        <v>374</v>
      </c>
      <c r="AT254" s="3" t="str">
        <f>IFERROR(MID(VLOOKUP($B254,Seqs!$A:$B,2,0),AU254,1),"")</f>
        <v>L</v>
      </c>
      <c r="AU254" s="3">
        <v>403</v>
      </c>
      <c r="AV254" s="3" t="str">
        <f>IFERROR(MID(VLOOKUP($B254,Seqs!$A:$B,2,0),AW254,1),"")</f>
        <v>N</v>
      </c>
      <c r="AW254" s="3">
        <v>404</v>
      </c>
      <c r="AX254" s="3" t="str">
        <f>IFERROR(MID(VLOOKUP($B254,Seqs!$A:$B,2,0),AY254,1),"")</f>
        <v>N</v>
      </c>
      <c r="AY254" s="3">
        <v>429</v>
      </c>
      <c r="AZ254" s="77" t="str">
        <f>VLOOKUP(B254,Classification!A:D,2,0)</f>
        <v>B1</v>
      </c>
      <c r="BA254" s="94" t="str">
        <f>VLOOKUP(B254,Classification!A:D,4,0)</f>
        <v>Glucagonreceptorfamily</v>
      </c>
      <c r="BB254" s="27" t="b">
        <f t="shared" si="334"/>
        <v>1</v>
      </c>
      <c r="BC254" s="23">
        <f t="shared" si="478"/>
        <v>264</v>
      </c>
      <c r="BD254" s="56" t="s">
        <v>1379</v>
      </c>
      <c r="BE254" s="3" t="s">
        <v>1381</v>
      </c>
      <c r="BF254" s="119">
        <v>3.3</v>
      </c>
      <c r="BG254" s="49" t="s">
        <v>1384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479"/>
        <v>125</v>
      </c>
      <c r="BW254" s="71">
        <f t="shared" si="480"/>
        <v>167</v>
      </c>
      <c r="BX254" s="72">
        <f t="shared" si="481"/>
        <v>171</v>
      </c>
      <c r="BY254" s="71" t="str">
        <f t="shared" si="482"/>
        <v>-</v>
      </c>
      <c r="BZ254" s="72">
        <f t="shared" si="483"/>
        <v>217</v>
      </c>
      <c r="CA254" s="71" t="str">
        <f t="shared" si="484"/>
        <v>-</v>
      </c>
      <c r="CB254" s="72">
        <f t="shared" si="485"/>
        <v>262</v>
      </c>
      <c r="CC254" s="71">
        <f t="shared" si="486"/>
        <v>294</v>
      </c>
      <c r="CD254" s="72">
        <f t="shared" si="487"/>
        <v>300</v>
      </c>
      <c r="CE254" s="71">
        <f t="shared" si="488"/>
        <v>342</v>
      </c>
      <c r="CF254" s="72">
        <f t="shared" si="489"/>
        <v>374</v>
      </c>
      <c r="CG254" s="71">
        <f t="shared" si="490"/>
        <v>404</v>
      </c>
      <c r="CH254" s="70">
        <f t="shared" si="491"/>
        <v>164</v>
      </c>
      <c r="CI254" s="71">
        <f t="shared" si="492"/>
        <v>170</v>
      </c>
      <c r="CJ254" s="72">
        <f t="shared" si="493"/>
        <v>199</v>
      </c>
      <c r="CK254" s="72" t="str">
        <f t="shared" si="494"/>
        <v>-</v>
      </c>
      <c r="CL254" s="72">
        <f t="shared" si="495"/>
        <v>255</v>
      </c>
      <c r="CM254" s="72" t="str">
        <f t="shared" si="496"/>
        <v>-</v>
      </c>
      <c r="CN254" s="72">
        <f t="shared" si="497"/>
        <v>290</v>
      </c>
      <c r="CO254" s="72">
        <f t="shared" si="498"/>
        <v>296</v>
      </c>
      <c r="CP254" s="72">
        <f t="shared" si="499"/>
        <v>335</v>
      </c>
      <c r="CQ254" s="72">
        <f t="shared" si="500"/>
        <v>367</v>
      </c>
      <c r="CR254" s="72">
        <f t="shared" si="501"/>
        <v>403</v>
      </c>
      <c r="CS254" s="72">
        <f t="shared" si="502"/>
        <v>429</v>
      </c>
      <c r="CT254" s="23">
        <f t="shared" si="503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ref="A255:A281" si="504">CONCATENATE(B255,"_",C255)</f>
        <v>glr_human_5EE7</v>
      </c>
      <c r="B255" s="3" t="s">
        <v>32</v>
      </c>
      <c r="C255" s="3" t="s">
        <v>49</v>
      </c>
      <c r="D255" s="3" t="str">
        <f>IFERROR(MID(VLOOKUP($B255,Seqs!$A:$B,2,0),E255,1),"")</f>
        <v>Y</v>
      </c>
      <c r="E255" s="3">
        <v>138</v>
      </c>
      <c r="F255" s="3" t="str">
        <f>IFERROR(MID(VLOOKUP($B255,Seqs!$A:$B,2,0),G255,1),"")</f>
        <v>L</v>
      </c>
      <c r="G255" s="3">
        <v>166</v>
      </c>
      <c r="H255" s="3" t="str">
        <f>IFERROR(MID(VLOOKUP($B255,Seqs!$A:$B,2,0),I255,1),"")</f>
        <v>S</v>
      </c>
      <c r="I255" s="23">
        <v>167</v>
      </c>
      <c r="J255" s="3" t="str">
        <f>IFERROR(MID(VLOOKUP($B255,Seqs!$A:$B,2,0),K255,1),"")</f>
        <v>H</v>
      </c>
      <c r="K255" s="23">
        <v>170</v>
      </c>
      <c r="L255" s="3" t="str">
        <f>IFERROR(MID(VLOOKUP($B255,Seqs!$A:$B,2,0),M255,1),"")</f>
        <v>C</v>
      </c>
      <c r="M255" s="23">
        <v>171</v>
      </c>
      <c r="N255" s="3" t="str">
        <f>IFERROR(MID(VLOOKUP($B255,Seqs!$A:$B,2,0),O255,1),"")</f>
        <v>R</v>
      </c>
      <c r="O255" s="3">
        <v>199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D</v>
      </c>
      <c r="U255" s="3">
        <v>218</v>
      </c>
      <c r="V255" s="3" t="str">
        <f>IFERROR(MID(VLOOKUP($B255,Seqs!$A:$B,2,0),W255,1),"")</f>
        <v>G</v>
      </c>
      <c r="W255" s="3">
        <v>254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S</v>
      </c>
      <c r="AC255" s="9">
        <v>262</v>
      </c>
      <c r="AD255" s="3" t="str">
        <f>IFERROR(MID(VLOOKUP($B255,Seqs!$A:$B,2,0),AE255,1),"")</f>
        <v>E</v>
      </c>
      <c r="AE255" s="3">
        <v>290</v>
      </c>
      <c r="AF255" s="3" t="str">
        <f>IFERROR(MID(VLOOKUP($B255,Seqs!$A:$B,2,0),AG255,1),"")</f>
        <v>C</v>
      </c>
      <c r="AG255" s="3">
        <v>294</v>
      </c>
      <c r="AH255" s="3" t="str">
        <f>IFERROR(MID(VLOOKUP($B255,Seqs!$A:$B,2,0),AI255,1),"")</f>
        <v>T</v>
      </c>
      <c r="AI255" s="3">
        <v>296</v>
      </c>
      <c r="AJ255" s="3" t="str">
        <f>IFERROR(MID(VLOOKUP($B255,Seqs!$A:$B,2,0),AK255,1),"")</f>
        <v>R</v>
      </c>
      <c r="AK255" s="105">
        <v>308</v>
      </c>
      <c r="AL255" s="3" t="str">
        <f>IFERROR(MID(VLOOKUP($B255,Seqs!$A:$B,2,0),AM255,1),"")</f>
        <v>A</v>
      </c>
      <c r="AM255" s="3">
        <v>335</v>
      </c>
      <c r="AN255" s="3" t="str">
        <f>IFERROR(MID(VLOOKUP($B255,Seqs!$A:$B,2,0),AO255,1),"")</f>
        <v>D</v>
      </c>
      <c r="AO255" s="3">
        <v>342</v>
      </c>
      <c r="AP255" s="3" t="str">
        <f>IFERROR(MID(VLOOKUP($B255,Seqs!$A:$B,2,0),AQ255,1),"")</f>
        <v>D</v>
      </c>
      <c r="AQ255" s="3">
        <v>370</v>
      </c>
      <c r="AR255" s="3" t="str">
        <f>IFERROR(MID(VLOOKUP($B255,Seqs!$A:$B,2,0),AS255,1),"")</f>
        <v>S</v>
      </c>
      <c r="AS255" s="3">
        <v>379</v>
      </c>
      <c r="AT255" s="3" t="str">
        <f>IFERROR(MID(VLOOKUP($B255,Seqs!$A:$B,2,0),AU255,1),"")</f>
        <v>F</v>
      </c>
      <c r="AU255" s="3">
        <v>402</v>
      </c>
      <c r="AV255" s="3" t="str">
        <f>IFERROR(MID(VLOOKUP($B255,Seqs!$A:$B,2,0),AW255,1),"")</f>
        <v>N</v>
      </c>
      <c r="AW255" s="3">
        <v>404</v>
      </c>
      <c r="AX255" s="3" t="str">
        <f>IFERROR(MID(VLOOKUP($B255,Seqs!$A:$B,2,0),AY255,1),"")</f>
        <v>R</v>
      </c>
      <c r="AY255" s="3">
        <v>417</v>
      </c>
      <c r="AZ255" s="77" t="str">
        <f>VLOOKUP(B255,Classification!A:D,2,0)</f>
        <v>B1</v>
      </c>
      <c r="BA255" s="94" t="str">
        <f>VLOOKUP(B255,Classification!A:D,4,0)</f>
        <v>Glucagonreceptorfamily</v>
      </c>
      <c r="BB255" s="27" t="b">
        <f t="shared" ref="BB255:BB281" si="505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si="478"/>
        <v>228</v>
      </c>
      <c r="BD255" s="4" t="s">
        <v>23</v>
      </c>
      <c r="BE255" s="3" t="s">
        <v>1381</v>
      </c>
      <c r="BF255" s="119">
        <v>2.5</v>
      </c>
      <c r="BG255" s="49" t="s">
        <v>1384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479"/>
        <v>138</v>
      </c>
      <c r="BW255" s="71">
        <f t="shared" si="480"/>
        <v>167</v>
      </c>
      <c r="BX255" s="72">
        <f t="shared" si="481"/>
        <v>171</v>
      </c>
      <c r="BY255" s="71" t="str">
        <f t="shared" si="482"/>
        <v>-</v>
      </c>
      <c r="BZ255" s="72">
        <f t="shared" si="483"/>
        <v>218</v>
      </c>
      <c r="CA255" s="71" t="str">
        <f t="shared" si="484"/>
        <v>-</v>
      </c>
      <c r="CB255" s="72">
        <f t="shared" si="485"/>
        <v>262</v>
      </c>
      <c r="CC255" s="71">
        <f t="shared" si="486"/>
        <v>294</v>
      </c>
      <c r="CD255" s="72">
        <f t="shared" si="487"/>
        <v>308</v>
      </c>
      <c r="CE255" s="71">
        <f t="shared" si="488"/>
        <v>342</v>
      </c>
      <c r="CF255" s="72">
        <f t="shared" si="489"/>
        <v>379</v>
      </c>
      <c r="CG255" s="71">
        <f t="shared" si="490"/>
        <v>404</v>
      </c>
      <c r="CH255" s="70">
        <f t="shared" si="491"/>
        <v>166</v>
      </c>
      <c r="CI255" s="71">
        <f t="shared" si="492"/>
        <v>170</v>
      </c>
      <c r="CJ255" s="72">
        <f t="shared" si="493"/>
        <v>199</v>
      </c>
      <c r="CK255" s="72" t="str">
        <f t="shared" si="494"/>
        <v>-</v>
      </c>
      <c r="CL255" s="72">
        <f t="shared" si="495"/>
        <v>254</v>
      </c>
      <c r="CM255" s="72" t="str">
        <f t="shared" si="496"/>
        <v>-</v>
      </c>
      <c r="CN255" s="72">
        <f t="shared" si="497"/>
        <v>290</v>
      </c>
      <c r="CO255" s="72">
        <f t="shared" si="498"/>
        <v>296</v>
      </c>
      <c r="CP255" s="72">
        <f t="shared" si="499"/>
        <v>335</v>
      </c>
      <c r="CQ255" s="72">
        <f t="shared" si="500"/>
        <v>370</v>
      </c>
      <c r="CR255" s="72">
        <f t="shared" si="501"/>
        <v>402</v>
      </c>
      <c r="CS255" s="72">
        <f t="shared" si="502"/>
        <v>417</v>
      </c>
      <c r="CT255" s="23">
        <f t="shared" si="503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ref="A256:A265" si="506">CONCATENATE(B256,"_",C256)</f>
        <v>glr_human_5XEZ</v>
      </c>
      <c r="B256" s="3" t="s">
        <v>32</v>
      </c>
      <c r="C256" s="3" t="s">
        <v>1419</v>
      </c>
      <c r="D256" s="3" t="str">
        <f>IFERROR(MID(VLOOKUP($B256,Seqs!$A:$B,2,0),E256,1),"")</f>
        <v>Q</v>
      </c>
      <c r="E256" s="3">
        <v>131</v>
      </c>
      <c r="F256" s="3" t="str">
        <f>IFERROR(MID(VLOOKUP($B256,Seqs!$A:$B,2,0),G256,1),"")</f>
        <v>G</v>
      </c>
      <c r="G256" s="3">
        <v>164</v>
      </c>
      <c r="H256" s="3" t="str">
        <f>IFERROR(MID(VLOOKUP($B256,Seqs!$A:$B,2,0),I256,1),"")</f>
        <v>S</v>
      </c>
      <c r="I256" s="23">
        <v>167</v>
      </c>
      <c r="J256" s="3" t="str">
        <f>IFERROR(MID(VLOOKUP($B256,Seqs!$A:$B,2,0),K256,1),"")</f>
        <v>H</v>
      </c>
      <c r="K256" s="23">
        <v>170</v>
      </c>
      <c r="L256" s="3" t="str">
        <f>IFERROR(MID(VLOOKUP($B256,Seqs!$A:$B,2,0),M256,1),"")</f>
        <v>C</v>
      </c>
      <c r="M256" s="23">
        <v>171</v>
      </c>
      <c r="N256" s="3" t="str">
        <f>IFERROR(MID(VLOOKUP($B256,Seqs!$A:$B,2,0),O256,1),"")</f>
        <v>R</v>
      </c>
      <c r="O256" s="3">
        <v>201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S</v>
      </c>
      <c r="U256" s="3">
        <v>217</v>
      </c>
      <c r="V256" s="3" t="str">
        <f>IFERROR(MID(VLOOKUP($B256,Seqs!$A:$B,2,0),W256,1),"")</f>
        <v>L</v>
      </c>
      <c r="W256" s="3">
        <v>255</v>
      </c>
      <c r="X256" s="3" t="str">
        <f>IFERROR(MID(VLOOKUP($B256,Seqs!$A:$B,2,0),Y256,1),"")</f>
        <v/>
      </c>
      <c r="Y256" s="3" t="s">
        <v>23</v>
      </c>
      <c r="Z256" s="3" t="str">
        <f>IFERROR(MID(VLOOKUP($B256,Seqs!$A:$B,2,0),AA256,1),"")</f>
        <v/>
      </c>
      <c r="AA256" s="3" t="s">
        <v>23</v>
      </c>
      <c r="AB256" s="3" t="str">
        <f>IFERROR(MID(VLOOKUP($B256,Seqs!$A:$B,2,0),AC256,1),"")</f>
        <v>E</v>
      </c>
      <c r="AC256" s="3">
        <v>260</v>
      </c>
      <c r="AD256" s="3" t="str">
        <f>IFERROR(MID(VLOOKUP($B256,Seqs!$A:$B,2,0),AE256,1),"")</f>
        <v>E</v>
      </c>
      <c r="AE256" s="3">
        <v>290</v>
      </c>
      <c r="AF256" s="3" t="str">
        <f>IFERROR(MID(VLOOKUP($B256,Seqs!$A:$B,2,0),AG256,1),"")</f>
        <v>C</v>
      </c>
      <c r="AG256" s="3">
        <v>294</v>
      </c>
      <c r="AH256" s="3" t="str">
        <f>IFERROR(MID(VLOOKUP($B256,Seqs!$A:$B,2,0),AI256,1),"")</f>
        <v>T</v>
      </c>
      <c r="AI256" s="3">
        <v>296</v>
      </c>
      <c r="AJ256" s="3" t="str">
        <f>IFERROR(MID(VLOOKUP($B256,Seqs!$A:$B,2,0),AK256,1),"")</f>
        <v>G</v>
      </c>
      <c r="AK256" s="3">
        <v>302</v>
      </c>
      <c r="AL256" s="3" t="str">
        <f>IFERROR(MID(VLOOKUP($B256,Seqs!$A:$B,2,0),AM256,1),"")</f>
        <v>R</v>
      </c>
      <c r="AM256" s="3">
        <v>334</v>
      </c>
      <c r="AN256" s="3" t="str">
        <f>IFERROR(MID(VLOOKUP($B256,Seqs!$A:$B,2,0),AO256,1),"")</f>
        <v>D</v>
      </c>
      <c r="AO256" s="3">
        <v>342</v>
      </c>
      <c r="AP256" s="3" t="str">
        <f>IFERROR(MID(VLOOKUP($B256,Seqs!$A:$B,2,0),AQ256,1),"")</f>
        <v>F</v>
      </c>
      <c r="AQ256" s="3">
        <v>367</v>
      </c>
      <c r="AR256" s="3" t="str">
        <f>IFERROR(MID(VLOOKUP($B256,Seqs!$A:$B,2,0),AS256,1),"")</f>
        <v>G</v>
      </c>
      <c r="AS256" s="3">
        <v>375</v>
      </c>
      <c r="AT256" s="3" t="str">
        <f>IFERROR(MID(VLOOKUP($B256,Seqs!$A:$B,2,0),AU256,1),"")</f>
        <v>L</v>
      </c>
      <c r="AU256" s="3">
        <v>403</v>
      </c>
      <c r="AV256" s="3" t="str">
        <f>IFERROR(MID(VLOOKUP($B256,Seqs!$A:$B,2,0),AW256,1),"")</f>
        <v>N</v>
      </c>
      <c r="AW256" s="3">
        <v>404</v>
      </c>
      <c r="AX256" s="3" t="str">
        <f>IFERROR(MID(VLOOKUP($B256,Seqs!$A:$B,2,0),AY256,1),"")</f>
        <v>W</v>
      </c>
      <c r="AY256" s="3">
        <v>415</v>
      </c>
      <c r="AZ256" s="77" t="str">
        <f>VLOOKUP(B256,Classification!A:D,2,0)</f>
        <v>B1</v>
      </c>
      <c r="BA256" s="94" t="str">
        <f>VLOOKUP(B256,Classification!A:D,4,0)</f>
        <v>Glucagonreceptorfamily</v>
      </c>
      <c r="BB256" s="27" t="b">
        <f t="shared" ref="BB256:BB265" si="507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:BC265" si="508">_xlfn.AGGREGATE(9,6,CH256:CS256)-_xlfn.AGGREGATE(9,6,BV256:CG256)+12</f>
        <v>244</v>
      </c>
      <c r="BD256" s="4" t="s">
        <v>1383</v>
      </c>
      <c r="BE256" s="3" t="s">
        <v>1381</v>
      </c>
      <c r="BF256" s="119">
        <v>3</v>
      </c>
      <c r="BG256" s="49" t="s">
        <v>1287</v>
      </c>
      <c r="BH256" s="49" t="s">
        <v>1287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ref="BV256:BV265" si="509">E256</f>
        <v>131</v>
      </c>
      <c r="BW256" s="71">
        <f t="shared" ref="BW256:BW265" si="510">I256</f>
        <v>167</v>
      </c>
      <c r="BX256" s="72">
        <f t="shared" ref="BX256:BX265" si="511">M256</f>
        <v>171</v>
      </c>
      <c r="BY256" s="71" t="str">
        <f t="shared" ref="BY256:BY265" si="512">Q256</f>
        <v>-</v>
      </c>
      <c r="BZ256" s="72">
        <f t="shared" ref="BZ256:BZ265" si="513">U256</f>
        <v>217</v>
      </c>
      <c r="CA256" s="71" t="str">
        <f t="shared" ref="CA256:CA265" si="514">Y256</f>
        <v>-</v>
      </c>
      <c r="CB256" s="72">
        <f t="shared" ref="CB256:CB265" si="515">AC256</f>
        <v>260</v>
      </c>
      <c r="CC256" s="71">
        <f t="shared" ref="CC256:CC265" si="516">AG256</f>
        <v>294</v>
      </c>
      <c r="CD256" s="72">
        <f t="shared" ref="CD256:CD265" si="517">AK256</f>
        <v>302</v>
      </c>
      <c r="CE256" s="71">
        <f t="shared" ref="CE256:CE265" si="518">AO256</f>
        <v>342</v>
      </c>
      <c r="CF256" s="72">
        <f t="shared" ref="CF256:CF265" si="519">AS256</f>
        <v>375</v>
      </c>
      <c r="CG256" s="71">
        <f t="shared" ref="CG256:CG265" si="520">AW256</f>
        <v>404</v>
      </c>
      <c r="CH256" s="70">
        <f t="shared" ref="CH256:CH265" si="521">G256</f>
        <v>164</v>
      </c>
      <c r="CI256" s="71">
        <f t="shared" ref="CI256:CI265" si="522">K256</f>
        <v>170</v>
      </c>
      <c r="CJ256" s="72">
        <f t="shared" ref="CJ256:CJ265" si="523">O256</f>
        <v>201</v>
      </c>
      <c r="CK256" s="72" t="str">
        <f t="shared" ref="CK256:CK265" si="524">S256</f>
        <v>-</v>
      </c>
      <c r="CL256" s="72">
        <f t="shared" ref="CL256:CL265" si="525">W256</f>
        <v>255</v>
      </c>
      <c r="CM256" s="72" t="str">
        <f t="shared" ref="CM256:CM265" si="526">AA256</f>
        <v>-</v>
      </c>
      <c r="CN256" s="72">
        <f t="shared" ref="CN256:CN265" si="527">AE256</f>
        <v>290</v>
      </c>
      <c r="CO256" s="72">
        <f t="shared" ref="CO256:CO265" si="528">AI256</f>
        <v>296</v>
      </c>
      <c r="CP256" s="72">
        <f t="shared" ref="CP256:CP265" si="529">AM256</f>
        <v>334</v>
      </c>
      <c r="CQ256" s="72">
        <f t="shared" ref="CQ256:CQ265" si="530">AQ256</f>
        <v>367</v>
      </c>
      <c r="CR256" s="72">
        <f t="shared" ref="CR256:CR265" si="531">AU256</f>
        <v>403</v>
      </c>
      <c r="CS256" s="72">
        <f t="shared" ref="CS256:CS265" si="532">AY256</f>
        <v>415</v>
      </c>
      <c r="CT256" s="23">
        <f t="shared" ref="CT256:CT265" si="533">M256-K256</f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506"/>
        <v>glr_human_5XF1</v>
      </c>
      <c r="B257" s="3" t="s">
        <v>32</v>
      </c>
      <c r="C257" s="3" t="s">
        <v>1420</v>
      </c>
      <c r="D257" s="3" t="str">
        <f>IFERROR(MID(VLOOKUP($B257,Seqs!$A:$B,2,0),E257,1),"")</f>
        <v>Q</v>
      </c>
      <c r="E257" s="3">
        <v>131</v>
      </c>
      <c r="F257" s="3" t="str">
        <f>IFERROR(MID(VLOOKUP($B257,Seqs!$A:$B,2,0),G257,1),"")</f>
        <v>L</v>
      </c>
      <c r="G257" s="3">
        <v>166</v>
      </c>
      <c r="H257" s="3" t="str">
        <f>IFERROR(MID(VLOOKUP($B257,Seqs!$A:$B,2,0),I257,1),"")</f>
        <v>S</v>
      </c>
      <c r="I257" s="23">
        <v>167</v>
      </c>
      <c r="J257" s="3" t="str">
        <f>IFERROR(MID(VLOOKUP($B257,Seqs!$A:$B,2,0),K257,1),"")</f>
        <v>H</v>
      </c>
      <c r="K257" s="23">
        <v>170</v>
      </c>
      <c r="L257" s="3" t="str">
        <f>IFERROR(MID(VLOOKUP($B257,Seqs!$A:$B,2,0),M257,1),"")</f>
        <v>N</v>
      </c>
      <c r="M257" s="23">
        <v>174</v>
      </c>
      <c r="N257" s="3" t="str">
        <f>IFERROR(MID(VLOOKUP($B257,Seqs!$A:$B,2,0),O257,1),"")</f>
        <v>R</v>
      </c>
      <c r="O257" s="3">
        <v>201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S</v>
      </c>
      <c r="U257" s="3">
        <v>217</v>
      </c>
      <c r="V257" s="3" t="str">
        <f>IFERROR(MID(VLOOKUP($B257,Seqs!$A:$B,2,0),W257,1),"")</f>
        <v>L</v>
      </c>
      <c r="W257" s="3">
        <v>255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R</v>
      </c>
      <c r="AC257" s="3">
        <v>261</v>
      </c>
      <c r="AD257" s="3" t="str">
        <f>IFERROR(MID(VLOOKUP($B257,Seqs!$A:$B,2,0),AE257,1),"")</f>
        <v>F</v>
      </c>
      <c r="AE257" s="3">
        <v>289</v>
      </c>
      <c r="AF257" s="3" t="str">
        <f>IFERROR(MID(VLOOKUP($B257,Seqs!$A:$B,2,0),AG257,1),"")</f>
        <v>C</v>
      </c>
      <c r="AG257" s="3">
        <v>294</v>
      </c>
      <c r="AH257" s="3" t="str">
        <f>IFERROR(MID(VLOOKUP($B257,Seqs!$A:$B,2,0),AI257,1),"")</f>
        <v>T</v>
      </c>
      <c r="AI257" s="3">
        <v>296</v>
      </c>
      <c r="AJ257" s="3" t="str">
        <f>IFERROR(MID(VLOOKUP($B257,Seqs!$A:$B,2,0),AK257,1),"")</f>
        <v>D</v>
      </c>
      <c r="AK257" s="3">
        <v>299</v>
      </c>
      <c r="AL257" s="3" t="str">
        <f>IFERROR(MID(VLOOKUP($B257,Seqs!$A:$B,2,0),AM257,1),"")</f>
        <v>L</v>
      </c>
      <c r="AM257" s="3">
        <v>333</v>
      </c>
      <c r="AN257" s="3" t="str">
        <f>IFERROR(MID(VLOOKUP($B257,Seqs!$A:$B,2,0),AO257,1),"")</f>
        <v>D</v>
      </c>
      <c r="AO257" s="3">
        <v>342</v>
      </c>
      <c r="AP257" s="3" t="str">
        <f>IFERROR(MID(VLOOKUP($B257,Seqs!$A:$B,2,0),AQ257,1),"")</f>
        <v>V</v>
      </c>
      <c r="AQ257" s="3">
        <v>368</v>
      </c>
      <c r="AR257" s="3" t="str">
        <f>IFERROR(MID(VLOOKUP($B257,Seqs!$A:$B,2,0),AS257,1),"")</f>
        <v>L</v>
      </c>
      <c r="AS257" s="3">
        <v>377</v>
      </c>
      <c r="AT257" s="3" t="str">
        <f>IFERROR(MID(VLOOKUP($B257,Seqs!$A:$B,2,0),AU257,1),"")</f>
        <v>L</v>
      </c>
      <c r="AU257" s="3">
        <v>403</v>
      </c>
      <c r="AV257" s="3" t="str">
        <f>IFERROR(MID(VLOOKUP($B257,Seqs!$A:$B,2,0),AW257,1),"")</f>
        <v>N</v>
      </c>
      <c r="AW257" s="3">
        <v>404</v>
      </c>
      <c r="AX257" s="3" t="str">
        <f>IFERROR(MID(VLOOKUP($B257,Seqs!$A:$B,2,0),AY257,1),"")</f>
        <v>W</v>
      </c>
      <c r="AY257" s="3">
        <v>415</v>
      </c>
      <c r="AZ257" s="77" t="str">
        <f>VLOOKUP(B257,Classification!A:D,2,0)</f>
        <v>B1</v>
      </c>
      <c r="BA257" s="94" t="str">
        <f>VLOOKUP(B257,Classification!A:D,4,0)</f>
        <v>Glucagonreceptorfamily</v>
      </c>
      <c r="BB257" s="27" t="b">
        <f t="shared" si="507"/>
        <v>1</v>
      </c>
      <c r="BC257" s="23">
        <f t="shared" si="508"/>
        <v>242</v>
      </c>
      <c r="BD257" s="4" t="s">
        <v>23</v>
      </c>
      <c r="BE257" s="3" t="s">
        <v>1381</v>
      </c>
      <c r="BF257" s="119">
        <v>3.19</v>
      </c>
      <c r="BG257" s="49" t="s">
        <v>1287</v>
      </c>
      <c r="BH257" s="49" t="s">
        <v>1287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509"/>
        <v>131</v>
      </c>
      <c r="BW257" s="71">
        <f t="shared" si="510"/>
        <v>167</v>
      </c>
      <c r="BX257" s="72">
        <f t="shared" si="511"/>
        <v>174</v>
      </c>
      <c r="BY257" s="71" t="str">
        <f t="shared" si="512"/>
        <v>-</v>
      </c>
      <c r="BZ257" s="72">
        <f t="shared" si="513"/>
        <v>217</v>
      </c>
      <c r="CA257" s="71" t="str">
        <f t="shared" si="514"/>
        <v>-</v>
      </c>
      <c r="CB257" s="72">
        <f t="shared" si="515"/>
        <v>261</v>
      </c>
      <c r="CC257" s="71">
        <f t="shared" si="516"/>
        <v>294</v>
      </c>
      <c r="CD257" s="72">
        <f t="shared" si="517"/>
        <v>299</v>
      </c>
      <c r="CE257" s="71">
        <f t="shared" si="518"/>
        <v>342</v>
      </c>
      <c r="CF257" s="72">
        <f t="shared" si="519"/>
        <v>377</v>
      </c>
      <c r="CG257" s="71">
        <f t="shared" si="520"/>
        <v>404</v>
      </c>
      <c r="CH257" s="70">
        <f t="shared" si="521"/>
        <v>166</v>
      </c>
      <c r="CI257" s="71">
        <f t="shared" si="522"/>
        <v>170</v>
      </c>
      <c r="CJ257" s="72">
        <f t="shared" si="523"/>
        <v>201</v>
      </c>
      <c r="CK257" s="72" t="str">
        <f t="shared" si="524"/>
        <v>-</v>
      </c>
      <c r="CL257" s="72">
        <f t="shared" si="525"/>
        <v>255</v>
      </c>
      <c r="CM257" s="72" t="str">
        <f t="shared" si="526"/>
        <v>-</v>
      </c>
      <c r="CN257" s="72">
        <f t="shared" si="527"/>
        <v>289</v>
      </c>
      <c r="CO257" s="72">
        <f t="shared" si="528"/>
        <v>296</v>
      </c>
      <c r="CP257" s="72">
        <f t="shared" si="529"/>
        <v>333</v>
      </c>
      <c r="CQ257" s="72">
        <f t="shared" si="530"/>
        <v>368</v>
      </c>
      <c r="CR257" s="72">
        <f t="shared" si="531"/>
        <v>403</v>
      </c>
      <c r="CS257" s="72">
        <f t="shared" si="532"/>
        <v>415</v>
      </c>
      <c r="CT257" s="23">
        <f t="shared" si="533"/>
        <v>4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506"/>
        <v>glr_human_5YQZ</v>
      </c>
      <c r="B258" s="3" t="s">
        <v>32</v>
      </c>
      <c r="C258" s="3" t="s">
        <v>1475</v>
      </c>
      <c r="D258" s="3" t="str">
        <f>IFERROR(MID(VLOOKUP($B258,Seqs!$A:$B,2,0),E258,1),"")</f>
        <v>D</v>
      </c>
      <c r="E258" s="3">
        <v>124</v>
      </c>
      <c r="F258" s="3" t="str">
        <f>IFERROR(MID(VLOOKUP($B258,Seqs!$A:$B,2,0),G258,1),"")</f>
        <v>L</v>
      </c>
      <c r="G258" s="3">
        <v>166</v>
      </c>
      <c r="H258" s="3" t="str">
        <f>IFERROR(MID(VLOOKUP($B258,Seqs!$A:$B,2,0),I258,1),"")</f>
        <v>S</v>
      </c>
      <c r="I258" s="23">
        <v>167</v>
      </c>
      <c r="J258" s="3" t="str">
        <f>IFERROR(MID(VLOOKUP($B258,Seqs!$A:$B,2,0),K258,1),"")</f>
        <v>H</v>
      </c>
      <c r="K258" s="23">
        <v>170</v>
      </c>
      <c r="L258" s="3" t="str">
        <f>IFERROR(MID(VLOOKUP($B258,Seqs!$A:$B,2,0),M258,1),"")</f>
        <v>C</v>
      </c>
      <c r="M258" s="23">
        <v>171</v>
      </c>
      <c r="N258" s="3" t="str">
        <f>IFERROR(MID(VLOOKUP($B258,Seqs!$A:$B,2,0),O258,1),"")</f>
        <v>S</v>
      </c>
      <c r="O258" s="3">
        <v>203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A</v>
      </c>
      <c r="U258" s="3">
        <v>220</v>
      </c>
      <c r="V258" s="3" t="str">
        <f>IFERROR(MID(VLOOKUP($B258,Seqs!$A:$B,2,0),W258,1),"")</f>
        <v>L</v>
      </c>
      <c r="W258" s="3">
        <v>255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F</v>
      </c>
      <c r="AC258" s="3">
        <v>263</v>
      </c>
      <c r="AD258" s="3" t="str">
        <f>IFERROR(MID(VLOOKUP($B258,Seqs!$A:$B,2,0),AE258,1),"")</f>
        <v>E</v>
      </c>
      <c r="AE258" s="3">
        <v>290</v>
      </c>
      <c r="AF258" s="3" t="str">
        <f>IFERROR(MID(VLOOKUP($B258,Seqs!$A:$B,2,0),AG258,1),"")</f>
        <v>C</v>
      </c>
      <c r="AG258" s="3">
        <v>294</v>
      </c>
      <c r="AH258" s="3" t="str">
        <f>IFERROR(MID(VLOOKUP($B258,Seqs!$A:$B,2,0),AI258,1),"")</f>
        <v>T</v>
      </c>
      <c r="AI258" s="3">
        <v>296</v>
      </c>
      <c r="AJ258" s="3" t="str">
        <f>IFERROR(MID(VLOOKUP($B258,Seqs!$A:$B,2,0),AK258,1),"")</f>
        <v>F</v>
      </c>
      <c r="AK258" s="3">
        <v>303</v>
      </c>
      <c r="AL258" s="3" t="str">
        <f>IFERROR(MID(VLOOKUP($B258,Seqs!$A:$B,2,0),AM258,1),"")</f>
        <v>A</v>
      </c>
      <c r="AM258" s="3">
        <v>335</v>
      </c>
      <c r="AN258" s="3" t="str">
        <f>IFERROR(MID(VLOOKUP($B258,Seqs!$A:$B,2,0),AO258,1),"")</f>
        <v>D</v>
      </c>
      <c r="AO258" s="3">
        <v>342</v>
      </c>
      <c r="AP258" s="3" t="str">
        <f>IFERROR(MID(VLOOKUP($B258,Seqs!$A:$B,2,0),AQ258,1),"")</f>
        <v>T</v>
      </c>
      <c r="AQ258" s="3">
        <v>369</v>
      </c>
      <c r="AR258" s="3" t="str">
        <f>IFERROR(MID(VLOOKUP($B258,Seqs!$A:$B,2,0),AS258,1),"")</f>
        <v>G</v>
      </c>
      <c r="AS258" s="3">
        <v>375</v>
      </c>
      <c r="AT258" s="3" t="str">
        <f>IFERROR(MID(VLOOKUP($B258,Seqs!$A:$B,2,0),AU258,1),"")</f>
        <v>L</v>
      </c>
      <c r="AU258" s="3">
        <v>403</v>
      </c>
      <c r="AV258" s="3" t="str">
        <f>IFERROR(MID(VLOOKUP($B258,Seqs!$A:$B,2,0),AW258,1),"")</f>
        <v>N</v>
      </c>
      <c r="AW258" s="3">
        <v>404</v>
      </c>
      <c r="AX258" s="3" t="str">
        <f>IFERROR(MID(VLOOKUP($B258,Seqs!$A:$B,2,0),AY258,1),"")</f>
        <v>E</v>
      </c>
      <c r="AY258" s="3">
        <v>426</v>
      </c>
      <c r="AZ258" s="77" t="str">
        <f>VLOOKUP(B258,Classification!A:D,2,0)</f>
        <v>B1</v>
      </c>
      <c r="BA258" s="94" t="str">
        <f>VLOOKUP(B258,Classification!A:D,4,0)</f>
        <v>Glucagonreceptorfamily</v>
      </c>
      <c r="BB258" s="27" t="b">
        <f t="shared" si="507"/>
        <v>1</v>
      </c>
      <c r="BC258" s="23">
        <f t="shared" si="508"/>
        <v>262</v>
      </c>
      <c r="BD258" s="4" t="s">
        <v>23</v>
      </c>
      <c r="BE258" s="3" t="s">
        <v>1381</v>
      </c>
      <c r="BF258" s="119">
        <v>3</v>
      </c>
      <c r="BG258" s="49" t="s">
        <v>1433</v>
      </c>
      <c r="BH258" s="49" t="s">
        <v>1433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si="509"/>
        <v>124</v>
      </c>
      <c r="BW258" s="71">
        <f t="shared" si="510"/>
        <v>167</v>
      </c>
      <c r="BX258" s="72">
        <f t="shared" si="511"/>
        <v>171</v>
      </c>
      <c r="BY258" s="71" t="str">
        <f t="shared" si="512"/>
        <v>-</v>
      </c>
      <c r="BZ258" s="72">
        <f t="shared" si="513"/>
        <v>220</v>
      </c>
      <c r="CA258" s="71" t="str">
        <f t="shared" si="514"/>
        <v>-</v>
      </c>
      <c r="CB258" s="72">
        <f t="shared" si="515"/>
        <v>263</v>
      </c>
      <c r="CC258" s="71">
        <f t="shared" si="516"/>
        <v>294</v>
      </c>
      <c r="CD258" s="72">
        <f t="shared" si="517"/>
        <v>303</v>
      </c>
      <c r="CE258" s="71">
        <f t="shared" si="518"/>
        <v>342</v>
      </c>
      <c r="CF258" s="72">
        <f t="shared" si="519"/>
        <v>375</v>
      </c>
      <c r="CG258" s="71">
        <f t="shared" si="520"/>
        <v>404</v>
      </c>
      <c r="CH258" s="70">
        <f t="shared" si="521"/>
        <v>166</v>
      </c>
      <c r="CI258" s="71">
        <f t="shared" si="522"/>
        <v>170</v>
      </c>
      <c r="CJ258" s="72">
        <f t="shared" si="523"/>
        <v>203</v>
      </c>
      <c r="CK258" s="72" t="str">
        <f t="shared" si="524"/>
        <v>-</v>
      </c>
      <c r="CL258" s="72">
        <f t="shared" si="525"/>
        <v>255</v>
      </c>
      <c r="CM258" s="72" t="str">
        <f t="shared" si="526"/>
        <v>-</v>
      </c>
      <c r="CN258" s="72">
        <f t="shared" si="527"/>
        <v>290</v>
      </c>
      <c r="CO258" s="72">
        <f t="shared" si="528"/>
        <v>296</v>
      </c>
      <c r="CP258" s="72">
        <f t="shared" si="529"/>
        <v>335</v>
      </c>
      <c r="CQ258" s="72">
        <f t="shared" si="530"/>
        <v>369</v>
      </c>
      <c r="CR258" s="72">
        <f t="shared" si="531"/>
        <v>403</v>
      </c>
      <c r="CS258" s="72">
        <f t="shared" si="532"/>
        <v>426</v>
      </c>
      <c r="CT258" s="23">
        <f t="shared" si="533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x14ac:dyDescent="0.2">
      <c r="A259" s="3" t="str">
        <f t="shared" si="506"/>
        <v>glp1r_human__wt</v>
      </c>
      <c r="B259" s="3" t="s">
        <v>406</v>
      </c>
      <c r="C259" s="3" t="s">
        <v>100</v>
      </c>
      <c r="D259" s="3" t="str">
        <f>IFERROR(MID(VLOOKUP($B259,Seqs!$A:$B,2,0),E259,1),"")</f>
        <v>E</v>
      </c>
      <c r="E259" s="3">
        <v>138</v>
      </c>
      <c r="F259" s="3" t="str">
        <f>IFERROR(MID(VLOOKUP($B259,Seqs!$A:$B,2,0),G259,1),"")</f>
        <v>F</v>
      </c>
      <c r="G259" s="3">
        <v>169</v>
      </c>
      <c r="H259" s="3" t="str">
        <f>IFERROR(MID(VLOOKUP($B259,Seqs!$A:$B,2,0),I259,1),"")</f>
        <v>R</v>
      </c>
      <c r="I259" s="23">
        <v>170</v>
      </c>
      <c r="J259" s="3" t="str">
        <f>IFERROR(MID(VLOOKUP($B259,Seqs!$A:$B,2,0),K259,1),"")</f>
        <v>H</v>
      </c>
      <c r="K259" s="23">
        <v>173</v>
      </c>
      <c r="L259" s="3" t="str">
        <f>IFERROR(MID(VLOOKUP($B259,Seqs!$A:$B,2,0),M259,1),"")</f>
        <v>C</v>
      </c>
      <c r="M259" s="23">
        <v>174</v>
      </c>
      <c r="N259" s="3" t="str">
        <f>IFERROR(MID(VLOOKUP($B259,Seqs!$A:$B,2,0),O259,1),"")</f>
        <v>S</v>
      </c>
      <c r="O259" s="3">
        <v>206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L</v>
      </c>
      <c r="U259" s="3">
        <v>224</v>
      </c>
      <c r="V259" s="3" t="str">
        <f>IFERROR(MID(VLOOKUP($B259,Seqs!$A:$B,2,0),W259,1),"")</f>
        <v>F</v>
      </c>
      <c r="W259" s="3">
        <v>257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E</v>
      </c>
      <c r="AC259" s="3">
        <v>262</v>
      </c>
      <c r="AD259" s="3" t="str">
        <f>IFERROR(MID(VLOOKUP($B259,Seqs!$A:$B,2,0),AE259,1),"")</f>
        <v>E</v>
      </c>
      <c r="AE259" s="3">
        <v>292</v>
      </c>
      <c r="AF259" s="3" t="str">
        <f>IFERROR(MID(VLOOKUP($B259,Seqs!$A:$B,2,0),AG259,1),"")</f>
        <v>C</v>
      </c>
      <c r="AG259" s="3">
        <v>296</v>
      </c>
      <c r="AH259" s="3" t="str">
        <f>IFERROR(MID(VLOOKUP($B259,Seqs!$A:$B,2,0),AI259,1),"")</f>
        <v>T</v>
      </c>
      <c r="AI259" s="3">
        <v>298</v>
      </c>
      <c r="AJ259" s="3" t="str">
        <f>IFERROR(MID(VLOOKUP($B259,Seqs!$A:$B,2,0),AK259,1),"")</f>
        <v>N</v>
      </c>
      <c r="AK259" s="3">
        <v>302</v>
      </c>
      <c r="AL259" s="3" t="str">
        <f>IFERROR(MID(VLOOKUP($B259,Seqs!$A:$B,2,0),AM259,1),"")</f>
        <v>A</v>
      </c>
      <c r="AM259" s="3">
        <v>337</v>
      </c>
      <c r="AN259" s="3" t="str">
        <f>IFERROR(MID(VLOOKUP($B259,Seqs!$A:$B,2,0),AO259,1),"")</f>
        <v>D</v>
      </c>
      <c r="AO259" s="3">
        <v>344</v>
      </c>
      <c r="AP259" s="3" t="str">
        <f>IFERROR(MID(VLOOKUP($B259,Seqs!$A:$B,2,0),AQ259,1),"")</f>
        <v>F</v>
      </c>
      <c r="AQ259" s="3">
        <v>369</v>
      </c>
      <c r="AR259" s="3" t="str">
        <f>IFERROR(MID(VLOOKUP($B259,Seqs!$A:$B,2,0),AS259,1),"")</f>
        <v>G</v>
      </c>
      <c r="AS259" s="3">
        <v>377</v>
      </c>
      <c r="AT259" s="3" t="str">
        <f>IFERROR(MID(VLOOKUP($B259,Seqs!$A:$B,2,0),AU259,1),"")</f>
        <v>V</v>
      </c>
      <c r="AU259" s="3">
        <v>405</v>
      </c>
      <c r="AV259" s="3" t="str">
        <f>IFERROR(MID(VLOOKUP($B259,Seqs!$A:$B,2,0),AW259,1),"")</f>
        <v>N</v>
      </c>
      <c r="AW259" s="3">
        <v>406</v>
      </c>
      <c r="AX259" s="3" t="str">
        <f>IFERROR(MID(VLOOKUP($B259,Seqs!$A:$B,2,0),AY259,1),"")</f>
        <v>S</v>
      </c>
      <c r="AY259" s="3">
        <v>431</v>
      </c>
      <c r="AZ259" s="77" t="str">
        <f>VLOOKUP(B259,Classification!A:D,2,0)</f>
        <v>B1</v>
      </c>
      <c r="BA259" s="94" t="str">
        <f>VLOOKUP(B259,Classification!A:D,4,0)</f>
        <v>Glucagonreceptorfamily</v>
      </c>
      <c r="BB259" s="27" t="b">
        <f t="shared" si="507"/>
        <v>1</v>
      </c>
      <c r="BC259" s="23">
        <f t="shared" si="508"/>
        <v>256</v>
      </c>
      <c r="BD259" s="4" t="s">
        <v>23</v>
      </c>
      <c r="BE259" s="3" t="s">
        <v>23</v>
      </c>
      <c r="BF259" s="119" t="s">
        <v>23</v>
      </c>
      <c r="BG259" s="49" t="s">
        <v>1384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509"/>
        <v>138</v>
      </c>
      <c r="BW259" s="71">
        <f t="shared" si="510"/>
        <v>170</v>
      </c>
      <c r="BX259" s="72">
        <f t="shared" si="511"/>
        <v>174</v>
      </c>
      <c r="BY259" s="71" t="str">
        <f t="shared" si="512"/>
        <v>-</v>
      </c>
      <c r="BZ259" s="72">
        <f t="shared" si="513"/>
        <v>224</v>
      </c>
      <c r="CA259" s="71" t="str">
        <f t="shared" si="514"/>
        <v>-</v>
      </c>
      <c r="CB259" s="72">
        <f t="shared" si="515"/>
        <v>262</v>
      </c>
      <c r="CC259" s="71">
        <f t="shared" si="516"/>
        <v>296</v>
      </c>
      <c r="CD259" s="72">
        <f t="shared" si="517"/>
        <v>302</v>
      </c>
      <c r="CE259" s="71">
        <f t="shared" si="518"/>
        <v>344</v>
      </c>
      <c r="CF259" s="72">
        <f t="shared" si="519"/>
        <v>377</v>
      </c>
      <c r="CG259" s="71">
        <f t="shared" si="520"/>
        <v>406</v>
      </c>
      <c r="CH259" s="70">
        <f t="shared" si="521"/>
        <v>169</v>
      </c>
      <c r="CI259" s="71">
        <f t="shared" si="522"/>
        <v>173</v>
      </c>
      <c r="CJ259" s="72">
        <f t="shared" si="523"/>
        <v>206</v>
      </c>
      <c r="CK259" s="72" t="str">
        <f t="shared" si="524"/>
        <v>-</v>
      </c>
      <c r="CL259" s="72">
        <f t="shared" si="525"/>
        <v>257</v>
      </c>
      <c r="CM259" s="72" t="str">
        <f t="shared" si="526"/>
        <v>-</v>
      </c>
      <c r="CN259" s="72">
        <f t="shared" si="527"/>
        <v>292</v>
      </c>
      <c r="CO259" s="72">
        <f t="shared" si="528"/>
        <v>298</v>
      </c>
      <c r="CP259" s="72">
        <f t="shared" si="529"/>
        <v>337</v>
      </c>
      <c r="CQ259" s="72">
        <f t="shared" si="530"/>
        <v>369</v>
      </c>
      <c r="CR259" s="72">
        <f t="shared" si="531"/>
        <v>405</v>
      </c>
      <c r="CS259" s="72">
        <f t="shared" si="532"/>
        <v>431</v>
      </c>
      <c r="CT259" s="23">
        <f t="shared" si="533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30" x14ac:dyDescent="0.2">
      <c r="A260" s="3" t="str">
        <f t="shared" si="506"/>
        <v>glp1r_human_5VEW</v>
      </c>
      <c r="B260" s="3" t="s">
        <v>406</v>
      </c>
      <c r="C260" s="3" t="s">
        <v>1416</v>
      </c>
      <c r="D260" s="3" t="str">
        <f>IFERROR(MID(VLOOKUP($B260,Seqs!$A:$B,2,0),E260,1),"")</f>
        <v>S</v>
      </c>
      <c r="E260" s="3">
        <v>136</v>
      </c>
      <c r="F260" s="3" t="str">
        <f>IFERROR(MID(VLOOKUP($B260,Seqs!$A:$B,2,0),G260,1),"")</f>
        <v>F</v>
      </c>
      <c r="G260" s="3">
        <v>169</v>
      </c>
      <c r="H260" s="3" t="str">
        <f>IFERROR(MID(VLOOKUP($B260,Seqs!$A:$B,2,0),I260,1),"")</f>
        <v>R</v>
      </c>
      <c r="I260" s="23">
        <v>170</v>
      </c>
      <c r="J260" s="3" t="str">
        <f>IFERROR(MID(VLOOKUP($B260,Seqs!$A:$B,2,0),K260,1),"")</f>
        <v>H</v>
      </c>
      <c r="K260" s="23">
        <v>173</v>
      </c>
      <c r="L260" s="3" t="str">
        <f>IFERROR(MID(VLOOKUP($B260,Seqs!$A:$B,2,0),M260,1),"")</f>
        <v>C</v>
      </c>
      <c r="M260" s="23">
        <v>174</v>
      </c>
      <c r="N260" s="3" t="str">
        <f>IFERROR(MID(VLOOKUP($B260,Seqs!$A:$B,2,0),O260,1),"")</f>
        <v>L</v>
      </c>
      <c r="O260" s="3">
        <v>201</v>
      </c>
      <c r="P260" s="3" t="str">
        <f>IFERROR(MID(VLOOKUP($B260,Seqs!$A:$B,2,0),Q260,1),"")</f>
        <v/>
      </c>
      <c r="Q260" s="3" t="s">
        <v>23</v>
      </c>
      <c r="R260" s="3" t="str">
        <f>IFERROR(MID(VLOOKUP($B260,Seqs!$A:$B,2,0),S260,1),"")</f>
        <v/>
      </c>
      <c r="S260" s="3" t="s">
        <v>23</v>
      </c>
      <c r="T260" s="3" t="str">
        <f>IFERROR(MID(VLOOKUP($B260,Seqs!$A:$B,2,0),U260,1),"")</f>
        <v>L</v>
      </c>
      <c r="U260" s="3">
        <v>224</v>
      </c>
      <c r="V260" s="3" t="str">
        <f>IFERROR(MID(VLOOKUP($B260,Seqs!$A:$B,2,0),W260,1),"")</f>
        <v>F</v>
      </c>
      <c r="W260" s="3">
        <v>257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E</v>
      </c>
      <c r="AC260" s="3">
        <v>262</v>
      </c>
      <c r="AD260" s="3" t="str">
        <f>IFERROR(MID(VLOOKUP($B260,Seqs!$A:$B,2,0),AE260,1),"")</f>
        <v>E</v>
      </c>
      <c r="AE260" s="3">
        <v>292</v>
      </c>
      <c r="AF260" s="3" t="str">
        <f>IFERROR(MID(VLOOKUP($B260,Seqs!$A:$B,2,0),AG260,1),"")</f>
        <v>C</v>
      </c>
      <c r="AG260" s="3">
        <v>296</v>
      </c>
      <c r="AH260" s="3" t="str">
        <f>IFERROR(MID(VLOOKUP($B260,Seqs!$A:$B,2,0),AI260,1),"")</f>
        <v>T</v>
      </c>
      <c r="AI260" s="3">
        <v>298</v>
      </c>
      <c r="AJ260" s="3" t="str">
        <f>IFERROR(MID(VLOOKUP($B260,Seqs!$A:$B,2,0),AK260,1),"")</f>
        <v>Y</v>
      </c>
      <c r="AK260" s="3">
        <v>305</v>
      </c>
      <c r="AL260" s="3" t="str">
        <f>IFERROR(MID(VLOOKUP($B260,Seqs!$A:$B,2,0),AM260,1),"")</f>
        <v>A</v>
      </c>
      <c r="AM260" s="3">
        <v>337</v>
      </c>
      <c r="AN260" s="3" t="str">
        <f>IFERROR(MID(VLOOKUP($B260,Seqs!$A:$B,2,0),AO260,1),"")</f>
        <v>D</v>
      </c>
      <c r="AO260" s="3">
        <v>344</v>
      </c>
      <c r="AP260" s="3" t="str">
        <f>IFERROR(MID(VLOOKUP($B260,Seqs!$A:$B,2,0),AQ260,1),"")</f>
        <v>F</v>
      </c>
      <c r="AQ260" s="3">
        <v>367</v>
      </c>
      <c r="AR260" s="3" t="str">
        <f>IFERROR(MID(VLOOKUP($B260,Seqs!$A:$B,2,0),AS260,1),"")</f>
        <v>R</v>
      </c>
      <c r="AS260" s="3">
        <v>380</v>
      </c>
      <c r="AT260" s="3" t="str">
        <f>IFERROR(MID(VLOOKUP($B260,Seqs!$A:$B,2,0),AU260,1),"")</f>
        <v>V</v>
      </c>
      <c r="AU260" s="3">
        <v>405</v>
      </c>
      <c r="AV260" s="3" t="str">
        <f>IFERROR(MID(VLOOKUP($B260,Seqs!$A:$B,2,0),AW260,1),"")</f>
        <v>N</v>
      </c>
      <c r="AW260" s="3">
        <v>406</v>
      </c>
      <c r="AX260" s="3" t="str">
        <f>IFERROR(MID(VLOOKUP($B260,Seqs!$A:$B,2,0),AY260,1),"")</f>
        <v>L</v>
      </c>
      <c r="AY260" s="3">
        <v>422</v>
      </c>
      <c r="AZ260" s="77" t="str">
        <f>VLOOKUP(B260,Classification!A:D,2,0)</f>
        <v>B1</v>
      </c>
      <c r="BA260" s="94" t="str">
        <f>VLOOKUP(B260,Classification!A:D,4,0)</f>
        <v>Glucagonreceptorfamily</v>
      </c>
      <c r="BB260" s="27" t="b">
        <f t="shared" si="507"/>
        <v>1</v>
      </c>
      <c r="BC260" s="23">
        <f t="shared" si="508"/>
        <v>236</v>
      </c>
      <c r="BD260" s="4" t="s">
        <v>1383</v>
      </c>
      <c r="BE260" s="3" t="s">
        <v>1381</v>
      </c>
      <c r="BF260" s="119">
        <v>2.7</v>
      </c>
      <c r="BG260" s="49" t="s">
        <v>1287</v>
      </c>
      <c r="BH260" s="49" t="s">
        <v>1287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509"/>
        <v>136</v>
      </c>
      <c r="BW260" s="71">
        <f t="shared" si="510"/>
        <v>170</v>
      </c>
      <c r="BX260" s="72">
        <f t="shared" si="511"/>
        <v>174</v>
      </c>
      <c r="BY260" s="71" t="str">
        <f t="shared" si="512"/>
        <v>-</v>
      </c>
      <c r="BZ260" s="72">
        <f t="shared" si="513"/>
        <v>224</v>
      </c>
      <c r="CA260" s="71" t="str">
        <f t="shared" si="514"/>
        <v>-</v>
      </c>
      <c r="CB260" s="72">
        <f t="shared" si="515"/>
        <v>262</v>
      </c>
      <c r="CC260" s="71">
        <f t="shared" si="516"/>
        <v>296</v>
      </c>
      <c r="CD260" s="72">
        <f t="shared" si="517"/>
        <v>305</v>
      </c>
      <c r="CE260" s="71">
        <f t="shared" si="518"/>
        <v>344</v>
      </c>
      <c r="CF260" s="72">
        <f t="shared" si="519"/>
        <v>380</v>
      </c>
      <c r="CG260" s="71">
        <f t="shared" si="520"/>
        <v>406</v>
      </c>
      <c r="CH260" s="70">
        <f t="shared" si="521"/>
        <v>169</v>
      </c>
      <c r="CI260" s="71">
        <f t="shared" si="522"/>
        <v>173</v>
      </c>
      <c r="CJ260" s="72">
        <f t="shared" si="523"/>
        <v>201</v>
      </c>
      <c r="CK260" s="72" t="str">
        <f t="shared" si="524"/>
        <v>-</v>
      </c>
      <c r="CL260" s="72">
        <f t="shared" si="525"/>
        <v>257</v>
      </c>
      <c r="CM260" s="72" t="str">
        <f t="shared" si="526"/>
        <v>-</v>
      </c>
      <c r="CN260" s="72">
        <f t="shared" si="527"/>
        <v>292</v>
      </c>
      <c r="CO260" s="72">
        <f t="shared" si="528"/>
        <v>298</v>
      </c>
      <c r="CP260" s="72">
        <f t="shared" si="529"/>
        <v>337</v>
      </c>
      <c r="CQ260" s="72">
        <f t="shared" si="530"/>
        <v>367</v>
      </c>
      <c r="CR260" s="72">
        <f t="shared" si="531"/>
        <v>405</v>
      </c>
      <c r="CS260" s="72">
        <f t="shared" si="532"/>
        <v>422</v>
      </c>
      <c r="CT260" s="23">
        <f t="shared" si="533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30" x14ac:dyDescent="0.2">
      <c r="A261" s="3" t="str">
        <f t="shared" si="506"/>
        <v>glp1r_human_5VEX</v>
      </c>
      <c r="B261" s="3" t="s">
        <v>406</v>
      </c>
      <c r="C261" s="3" t="s">
        <v>1415</v>
      </c>
      <c r="D261" s="3" t="str">
        <f>IFERROR(MID(VLOOKUP($B261,Seqs!$A:$B,2,0),E261,1),"")</f>
        <v>S</v>
      </c>
      <c r="E261" s="3">
        <v>136</v>
      </c>
      <c r="F261" s="3" t="str">
        <f>IFERROR(MID(VLOOKUP($B261,Seqs!$A:$B,2,0),G261,1),"")</f>
        <v>F</v>
      </c>
      <c r="G261" s="3">
        <v>169</v>
      </c>
      <c r="H261" s="3" t="str">
        <f>IFERROR(MID(VLOOKUP($B261,Seqs!$A:$B,2,0),I261,1),"")</f>
        <v>R</v>
      </c>
      <c r="I261" s="23">
        <v>170</v>
      </c>
      <c r="J261" s="3" t="str">
        <f>IFERROR(MID(VLOOKUP($B261,Seqs!$A:$B,2,0),K261,1),"")</f>
        <v>H</v>
      </c>
      <c r="K261" s="23">
        <v>173</v>
      </c>
      <c r="L261" s="3" t="str">
        <f>IFERROR(MID(VLOOKUP($B261,Seqs!$A:$B,2,0),M261,1),"")</f>
        <v>C</v>
      </c>
      <c r="M261" s="23">
        <v>174</v>
      </c>
      <c r="N261" s="3" t="str">
        <f>IFERROR(MID(VLOOKUP($B261,Seqs!$A:$B,2,0),O261,1),"")</f>
        <v>L</v>
      </c>
      <c r="O261" s="3">
        <v>201</v>
      </c>
      <c r="P261" s="3" t="str">
        <f>IFERROR(MID(VLOOKUP($B261,Seqs!$A:$B,2,0),Q261,1),"")</f>
        <v/>
      </c>
      <c r="Q261" s="3" t="s">
        <v>23</v>
      </c>
      <c r="R261" s="3" t="str">
        <f>IFERROR(MID(VLOOKUP($B261,Seqs!$A:$B,2,0),S261,1),"")</f>
        <v/>
      </c>
      <c r="S261" s="3" t="s">
        <v>23</v>
      </c>
      <c r="T261" s="3" t="str">
        <f>IFERROR(MID(VLOOKUP($B261,Seqs!$A:$B,2,0),U261,1),"")</f>
        <v>L</v>
      </c>
      <c r="U261" s="3">
        <v>224</v>
      </c>
      <c r="V261" s="3" t="str">
        <f>IFERROR(MID(VLOOKUP($B261,Seqs!$A:$B,2,0),W261,1),"")</f>
        <v>F</v>
      </c>
      <c r="W261" s="3">
        <v>257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E</v>
      </c>
      <c r="AC261" s="3">
        <v>262</v>
      </c>
      <c r="AD261" s="3" t="str">
        <f>IFERROR(MID(VLOOKUP($B261,Seqs!$A:$B,2,0),AE261,1),"")</f>
        <v>E</v>
      </c>
      <c r="AE261" s="3">
        <v>292</v>
      </c>
      <c r="AF261" s="3" t="str">
        <f>IFERROR(MID(VLOOKUP($B261,Seqs!$A:$B,2,0),AG261,1),"")</f>
        <v>C</v>
      </c>
      <c r="AG261" s="3">
        <v>296</v>
      </c>
      <c r="AH261" s="3" t="str">
        <f>IFERROR(MID(VLOOKUP($B261,Seqs!$A:$B,2,0),AI261,1),"")</f>
        <v>T</v>
      </c>
      <c r="AI261" s="3">
        <v>298</v>
      </c>
      <c r="AJ261" s="3" t="str">
        <f>IFERROR(MID(VLOOKUP($B261,Seqs!$A:$B,2,0),AK261,1),"")</f>
        <v>Y</v>
      </c>
      <c r="AK261" s="3">
        <v>305</v>
      </c>
      <c r="AL261" s="3" t="str">
        <f>IFERROR(MID(VLOOKUP($B261,Seqs!$A:$B,2,0),AM261,1),"")</f>
        <v>A</v>
      </c>
      <c r="AM261" s="3">
        <v>337</v>
      </c>
      <c r="AN261" s="3" t="str">
        <f>IFERROR(MID(VLOOKUP($B261,Seqs!$A:$B,2,0),AO261,1),"")</f>
        <v>D</v>
      </c>
      <c r="AO261" s="3">
        <v>344</v>
      </c>
      <c r="AP261" s="3" t="str">
        <f>IFERROR(MID(VLOOKUP($B261,Seqs!$A:$B,2,0),AQ261,1),"")</f>
        <v>F</v>
      </c>
      <c r="AQ261" s="3">
        <v>367</v>
      </c>
      <c r="AR261" s="3" t="str">
        <f>IFERROR(MID(VLOOKUP($B261,Seqs!$A:$B,2,0),AS261,1),"")</f>
        <v>R</v>
      </c>
      <c r="AS261" s="3">
        <v>380</v>
      </c>
      <c r="AT261" s="3" t="str">
        <f>IFERROR(MID(VLOOKUP($B261,Seqs!$A:$B,2,0),AU261,1),"")</f>
        <v>V</v>
      </c>
      <c r="AU261" s="3">
        <v>405</v>
      </c>
      <c r="AV261" s="3" t="str">
        <f>IFERROR(MID(VLOOKUP($B261,Seqs!$A:$B,2,0),AW261,1),"")</f>
        <v>N</v>
      </c>
      <c r="AW261" s="3">
        <v>406</v>
      </c>
      <c r="AX261" s="3" t="str">
        <f>IFERROR(MID(VLOOKUP($B261,Seqs!$A:$B,2,0),AY261,1),"")</f>
        <v>L</v>
      </c>
      <c r="AY261" s="3">
        <v>422</v>
      </c>
      <c r="AZ261" s="77" t="str">
        <f>VLOOKUP(B261,Classification!A:D,2,0)</f>
        <v>B1</v>
      </c>
      <c r="BA261" s="94" t="str">
        <f>VLOOKUP(B261,Classification!A:D,4,0)</f>
        <v>Glucagonreceptorfamily</v>
      </c>
      <c r="BB261" s="27" t="b">
        <f t="shared" si="507"/>
        <v>1</v>
      </c>
      <c r="BC261" s="23">
        <f t="shared" si="508"/>
        <v>236</v>
      </c>
      <c r="BD261" s="4" t="s">
        <v>23</v>
      </c>
      <c r="BE261" s="3" t="s">
        <v>1381</v>
      </c>
      <c r="BF261" s="119">
        <v>3</v>
      </c>
      <c r="BG261" s="49" t="s">
        <v>1</v>
      </c>
      <c r="BH261" s="49" t="s">
        <v>1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509"/>
        <v>136</v>
      </c>
      <c r="BW261" s="71">
        <f t="shared" si="510"/>
        <v>170</v>
      </c>
      <c r="BX261" s="72">
        <f t="shared" si="511"/>
        <v>174</v>
      </c>
      <c r="BY261" s="71" t="str">
        <f t="shared" si="512"/>
        <v>-</v>
      </c>
      <c r="BZ261" s="72">
        <f t="shared" si="513"/>
        <v>224</v>
      </c>
      <c r="CA261" s="71" t="str">
        <f t="shared" si="514"/>
        <v>-</v>
      </c>
      <c r="CB261" s="72">
        <f t="shared" si="515"/>
        <v>262</v>
      </c>
      <c r="CC261" s="71">
        <f t="shared" si="516"/>
        <v>296</v>
      </c>
      <c r="CD261" s="72">
        <f t="shared" si="517"/>
        <v>305</v>
      </c>
      <c r="CE261" s="71">
        <f t="shared" si="518"/>
        <v>344</v>
      </c>
      <c r="CF261" s="72">
        <f t="shared" si="519"/>
        <v>380</v>
      </c>
      <c r="CG261" s="71">
        <f t="shared" si="520"/>
        <v>406</v>
      </c>
      <c r="CH261" s="70">
        <f t="shared" si="521"/>
        <v>169</v>
      </c>
      <c r="CI261" s="71">
        <f t="shared" si="522"/>
        <v>173</v>
      </c>
      <c r="CJ261" s="72">
        <f t="shared" si="523"/>
        <v>201</v>
      </c>
      <c r="CK261" s="72" t="str">
        <f t="shared" si="524"/>
        <v>-</v>
      </c>
      <c r="CL261" s="72">
        <f t="shared" si="525"/>
        <v>257</v>
      </c>
      <c r="CM261" s="72" t="str">
        <f t="shared" si="526"/>
        <v>-</v>
      </c>
      <c r="CN261" s="72">
        <f t="shared" si="527"/>
        <v>292</v>
      </c>
      <c r="CO261" s="72">
        <f t="shared" si="528"/>
        <v>298</v>
      </c>
      <c r="CP261" s="72">
        <f t="shared" si="529"/>
        <v>337</v>
      </c>
      <c r="CQ261" s="72">
        <f t="shared" si="530"/>
        <v>367</v>
      </c>
      <c r="CR261" s="72">
        <f t="shared" si="531"/>
        <v>405</v>
      </c>
      <c r="CS261" s="72">
        <f t="shared" si="532"/>
        <v>422</v>
      </c>
      <c r="CT261" s="23">
        <f t="shared" si="533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si="506"/>
        <v>glp1r_human_5NX2</v>
      </c>
      <c r="B262" s="3" t="s">
        <v>406</v>
      </c>
      <c r="C262" s="3" t="s">
        <v>1428</v>
      </c>
      <c r="D262" s="3" t="str">
        <f>IFERROR(MID(VLOOKUP($B262,Seqs!$A:$B,2,0),E262,1),"")</f>
        <v>E</v>
      </c>
      <c r="E262" s="3">
        <v>138</v>
      </c>
      <c r="F262" s="3" t="str">
        <f>IFERROR(MID(VLOOKUP($B262,Seqs!$A:$B,2,0),G262,1),"")</f>
        <v>F</v>
      </c>
      <c r="G262" s="3">
        <v>169</v>
      </c>
      <c r="H262" s="3" t="str">
        <f>IFERROR(MID(VLOOKUP($B262,Seqs!$A:$B,2,0),I262,1),"")</f>
        <v>R</v>
      </c>
      <c r="I262" s="23">
        <v>170</v>
      </c>
      <c r="J262" s="3" t="str">
        <f>IFERROR(MID(VLOOKUP($B262,Seqs!$A:$B,2,0),K262,1),"")</f>
        <v>H</v>
      </c>
      <c r="K262" s="23">
        <v>173</v>
      </c>
      <c r="L262" s="3" t="str">
        <f>IFERROR(MID(VLOOKUP($B262,Seqs!$A:$B,2,0),M262,1),"")</f>
        <v>C</v>
      </c>
      <c r="M262" s="23">
        <v>174</v>
      </c>
      <c r="N262" s="3" t="str">
        <f>IFERROR(MID(VLOOKUP($B262,Seqs!$A:$B,2,0),O262,1),"")</f>
        <v>S</v>
      </c>
      <c r="O262" s="3">
        <v>206</v>
      </c>
      <c r="P262" s="3" t="str">
        <f>IFERROR(MID(VLOOKUP($B262,Seqs!$A:$B,2,0),Q262,1),"")</f>
        <v/>
      </c>
      <c r="Q262" s="3" t="s">
        <v>23</v>
      </c>
      <c r="R262" s="3" t="str">
        <f>IFERROR(MID(VLOOKUP($B262,Seqs!$A:$B,2,0),S262,1),"")</f>
        <v/>
      </c>
      <c r="S262" s="3" t="s">
        <v>23</v>
      </c>
      <c r="T262" s="3" t="str">
        <f>IFERROR(MID(VLOOKUP($B262,Seqs!$A:$B,2,0),U262,1),"")</f>
        <v>L</v>
      </c>
      <c r="U262" s="3">
        <v>224</v>
      </c>
      <c r="V262" s="3" t="str">
        <f>IFERROR(MID(VLOOKUP($B262,Seqs!$A:$B,2,0),W262,1),"")</f>
        <v>F</v>
      </c>
      <c r="W262" s="3">
        <v>257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E</v>
      </c>
      <c r="AC262" s="3">
        <v>262</v>
      </c>
      <c r="AD262" s="3" t="str">
        <f>IFERROR(MID(VLOOKUP($B262,Seqs!$A:$B,2,0),AE262,1),"")</f>
        <v>Y</v>
      </c>
      <c r="AE262" s="3">
        <v>291</v>
      </c>
      <c r="AF262" s="3" t="str">
        <f>IFERROR(MID(VLOOKUP($B262,Seqs!$A:$B,2,0),AG262,1),"")</f>
        <v>C</v>
      </c>
      <c r="AG262" s="3">
        <v>296</v>
      </c>
      <c r="AH262" s="3" t="str">
        <f>IFERROR(MID(VLOOKUP($B262,Seqs!$A:$B,2,0),AI262,1),"")</f>
        <v>T</v>
      </c>
      <c r="AI262" s="3">
        <v>298</v>
      </c>
      <c r="AJ262" s="3" t="str">
        <f>IFERROR(MID(VLOOKUP($B262,Seqs!$A:$B,2,0),AK262,1),"")</f>
        <v>N</v>
      </c>
      <c r="AK262" s="3">
        <v>302</v>
      </c>
      <c r="AL262" s="3" t="str">
        <f>IFERROR(MID(VLOOKUP($B262,Seqs!$A:$B,2,0),AM262,1),"")</f>
        <v>L</v>
      </c>
      <c r="AM262" s="3">
        <v>335</v>
      </c>
      <c r="AN262" s="3" t="str">
        <f>IFERROR(MID(VLOOKUP($B262,Seqs!$A:$B,2,0),AO262,1),"")</f>
        <v>M</v>
      </c>
      <c r="AO262" s="3">
        <v>340</v>
      </c>
      <c r="AP262" s="3" t="str">
        <f>IFERROR(MID(VLOOKUP($B262,Seqs!$A:$B,2,0),AQ262,1),"")</f>
        <v>F</v>
      </c>
      <c r="AQ262" s="3">
        <v>369</v>
      </c>
      <c r="AR262" s="3" t="str">
        <f>IFERROR(MID(VLOOKUP($B262,Seqs!$A:$B,2,0),AS262,1),"")</f>
        <v>G</v>
      </c>
      <c r="AS262" s="3">
        <v>377</v>
      </c>
      <c r="AT262" s="3" t="str">
        <f>IFERROR(MID(VLOOKUP($B262,Seqs!$A:$B,2,0),AU262,1),"")</f>
        <v>V</v>
      </c>
      <c r="AU262" s="3">
        <v>405</v>
      </c>
      <c r="AV262" s="3" t="str">
        <f>IFERROR(MID(VLOOKUP($B262,Seqs!$A:$B,2,0),AW262,1),"")</f>
        <v>N</v>
      </c>
      <c r="AW262" s="3">
        <v>406</v>
      </c>
      <c r="AX262" s="3" t="str">
        <f>IFERROR(MID(VLOOKUP($B262,Seqs!$A:$B,2,0),AY262,1),"")</f>
        <v>S</v>
      </c>
      <c r="AY262" s="3">
        <v>416</v>
      </c>
      <c r="AZ262" s="77" t="str">
        <f>VLOOKUP(B262,Classification!A:D,2,0)</f>
        <v>B1</v>
      </c>
      <c r="BA262" s="94" t="str">
        <f>VLOOKUP(B262,Classification!A:D,4,0)</f>
        <v>Glucagonreceptorfamily</v>
      </c>
      <c r="BB262" s="27" t="b">
        <f t="shared" si="507"/>
        <v>1</v>
      </c>
      <c r="BC262" s="23">
        <f t="shared" si="508"/>
        <v>242</v>
      </c>
      <c r="BD262" s="4" t="s">
        <v>1440</v>
      </c>
      <c r="BE262" s="3" t="s">
        <v>1439</v>
      </c>
      <c r="BF262" s="119">
        <v>3.7</v>
      </c>
      <c r="BG262" s="49" t="s">
        <v>1</v>
      </c>
      <c r="BH262" s="49" t="s">
        <v>1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509"/>
        <v>138</v>
      </c>
      <c r="BW262" s="71">
        <f t="shared" si="510"/>
        <v>170</v>
      </c>
      <c r="BX262" s="72">
        <f t="shared" si="511"/>
        <v>174</v>
      </c>
      <c r="BY262" s="71" t="str">
        <f t="shared" si="512"/>
        <v>-</v>
      </c>
      <c r="BZ262" s="72">
        <f t="shared" si="513"/>
        <v>224</v>
      </c>
      <c r="CA262" s="71" t="str">
        <f t="shared" si="514"/>
        <v>-</v>
      </c>
      <c r="CB262" s="72">
        <f t="shared" si="515"/>
        <v>262</v>
      </c>
      <c r="CC262" s="71">
        <f t="shared" si="516"/>
        <v>296</v>
      </c>
      <c r="CD262" s="72">
        <f t="shared" si="517"/>
        <v>302</v>
      </c>
      <c r="CE262" s="71">
        <f t="shared" si="518"/>
        <v>340</v>
      </c>
      <c r="CF262" s="72">
        <f t="shared" si="519"/>
        <v>377</v>
      </c>
      <c r="CG262" s="71">
        <f t="shared" si="520"/>
        <v>406</v>
      </c>
      <c r="CH262" s="70">
        <f t="shared" si="521"/>
        <v>169</v>
      </c>
      <c r="CI262" s="71">
        <f t="shared" si="522"/>
        <v>173</v>
      </c>
      <c r="CJ262" s="72">
        <f t="shared" si="523"/>
        <v>206</v>
      </c>
      <c r="CK262" s="72" t="str">
        <f t="shared" si="524"/>
        <v>-</v>
      </c>
      <c r="CL262" s="72">
        <f t="shared" si="525"/>
        <v>257</v>
      </c>
      <c r="CM262" s="72" t="str">
        <f t="shared" si="526"/>
        <v>-</v>
      </c>
      <c r="CN262" s="72">
        <f t="shared" si="527"/>
        <v>291</v>
      </c>
      <c r="CO262" s="72">
        <f t="shared" si="528"/>
        <v>298</v>
      </c>
      <c r="CP262" s="72">
        <f t="shared" si="529"/>
        <v>335</v>
      </c>
      <c r="CQ262" s="72">
        <f t="shared" si="530"/>
        <v>369</v>
      </c>
      <c r="CR262" s="72">
        <f t="shared" si="531"/>
        <v>405</v>
      </c>
      <c r="CS262" s="72">
        <f t="shared" si="532"/>
        <v>416</v>
      </c>
      <c r="CT262" s="23">
        <f t="shared" si="533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506"/>
        <v>glp1r_human_6B3J</v>
      </c>
      <c r="B263" s="3" t="s">
        <v>406</v>
      </c>
      <c r="C263" s="3" t="s">
        <v>1486</v>
      </c>
      <c r="D263" s="3" t="str">
        <f>IFERROR(MID(VLOOKUP($B263,Seqs!$A:$B,2,0),E263,1),"")</f>
        <v>E</v>
      </c>
      <c r="E263" s="3">
        <v>138</v>
      </c>
      <c r="F263" s="3" t="str">
        <f>IFERROR(MID(VLOOKUP($B263,Seqs!$A:$B,2,0),G263,1),"")</f>
        <v>F</v>
      </c>
      <c r="G263" s="3">
        <v>169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C</v>
      </c>
      <c r="M263" s="23">
        <v>174</v>
      </c>
      <c r="N263" s="3" t="str">
        <f>IFERROR(MID(VLOOKUP($B263,Seqs!$A:$B,2,0),O263,1),"")</f>
        <v>Y</v>
      </c>
      <c r="O263" s="3">
        <v>205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S</v>
      </c>
      <c r="U263" s="3">
        <v>225</v>
      </c>
      <c r="V263" s="3" t="str">
        <f>IFERROR(MID(VLOOKUP($B263,Seqs!$A:$B,2,0),W263,1),"")</f>
        <v>F</v>
      </c>
      <c r="W263" s="3">
        <v>257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S</v>
      </c>
      <c r="AC263" s="3">
        <v>261</v>
      </c>
      <c r="AD263" s="3" t="str">
        <f>IFERROR(MID(VLOOKUP($B263,Seqs!$A:$B,2,0),AE263,1),"")</f>
        <v>E</v>
      </c>
      <c r="AE263" s="3">
        <v>292</v>
      </c>
      <c r="AF263" s="3" t="str">
        <f>IFERROR(MID(VLOOKUP($B263,Seqs!$A:$B,2,0),AG263,1),"")</f>
        <v>C</v>
      </c>
      <c r="AG263" s="3">
        <v>296</v>
      </c>
      <c r="AH263" s="3" t="str">
        <f>IFERROR(MID(VLOOKUP($B263,Seqs!$A:$B,2,0),AI263,1),"")</f>
        <v>T</v>
      </c>
      <c r="AI263" s="3">
        <v>298</v>
      </c>
      <c r="AJ263" s="3" t="str">
        <f>IFERROR(MID(VLOOKUP($B263,Seqs!$A:$B,2,0),AK263,1),"")</f>
        <v>N</v>
      </c>
      <c r="AK263" s="3">
        <v>302</v>
      </c>
      <c r="AL263" s="3" t="str">
        <f>IFERROR(MID(VLOOKUP($B263,Seqs!$A:$B,2,0),AM263,1),"")</f>
        <v>A</v>
      </c>
      <c r="AM263" s="3">
        <v>337</v>
      </c>
      <c r="AN263" s="3" t="str">
        <f>IFERROR(MID(VLOOKUP($B263,Seqs!$A:$B,2,0),AO263,1),"")</f>
        <v>D</v>
      </c>
      <c r="AO263" s="3">
        <v>344</v>
      </c>
      <c r="AP263" s="3" t="str">
        <f>IFERROR(MID(VLOOKUP($B263,Seqs!$A:$B,2,0),AQ263,1),"")</f>
        <v>F</v>
      </c>
      <c r="AQ263" s="3">
        <v>369</v>
      </c>
      <c r="AR263" s="3" t="str">
        <f>IFERROR(MID(VLOOKUP($B263,Seqs!$A:$B,2,0),AS263,1),"")</f>
        <v>R</v>
      </c>
      <c r="AS263" s="3">
        <v>380</v>
      </c>
      <c r="AT263" s="3" t="str">
        <f>IFERROR(MID(VLOOKUP($B263,Seqs!$A:$B,2,0),AU263,1),"")</f>
        <v>V</v>
      </c>
      <c r="AU263" s="3">
        <v>405</v>
      </c>
      <c r="AV263" s="3" t="str">
        <f>IFERROR(MID(VLOOKUP($B263,Seqs!$A:$B,2,0),AW263,1),"")</f>
        <v>N</v>
      </c>
      <c r="AW263" s="3">
        <v>406</v>
      </c>
      <c r="AX263" s="3" t="str">
        <f>IFERROR(MID(VLOOKUP($B263,Seqs!$A:$B,2,0),AY263,1),"")</f>
        <v>E</v>
      </c>
      <c r="AY263" s="3">
        <v>423</v>
      </c>
      <c r="AZ263" s="77" t="str">
        <f>VLOOKUP(B263,Classification!A:D,2,0)</f>
        <v>B1</v>
      </c>
      <c r="BA263" s="94" t="str">
        <f>VLOOKUP(B263,Classification!A:D,4,0)</f>
        <v>Glucagonreceptorfamily</v>
      </c>
      <c r="BB263" s="27" t="b">
        <f t="shared" si="507"/>
        <v>1</v>
      </c>
      <c r="BC263" s="23">
        <f t="shared" si="508"/>
        <v>241</v>
      </c>
      <c r="BD263" s="4" t="s">
        <v>1382</v>
      </c>
      <c r="BE263" s="3" t="s">
        <v>1297</v>
      </c>
      <c r="BF263" s="119">
        <v>3.3</v>
      </c>
      <c r="BG263" s="49" t="s">
        <v>1433</v>
      </c>
      <c r="BH263" s="49" t="s">
        <v>1433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509"/>
        <v>138</v>
      </c>
      <c r="BW263" s="71" t="str">
        <f t="shared" si="510"/>
        <v>-</v>
      </c>
      <c r="BX263" s="72">
        <f t="shared" si="511"/>
        <v>174</v>
      </c>
      <c r="BY263" s="71" t="str">
        <f t="shared" si="512"/>
        <v>-</v>
      </c>
      <c r="BZ263" s="72">
        <f t="shared" si="513"/>
        <v>225</v>
      </c>
      <c r="CA263" s="71" t="str">
        <f t="shared" si="514"/>
        <v>-</v>
      </c>
      <c r="CB263" s="72">
        <f t="shared" si="515"/>
        <v>261</v>
      </c>
      <c r="CC263" s="71">
        <f t="shared" si="516"/>
        <v>296</v>
      </c>
      <c r="CD263" s="72">
        <f t="shared" si="517"/>
        <v>302</v>
      </c>
      <c r="CE263" s="71">
        <f t="shared" si="518"/>
        <v>344</v>
      </c>
      <c r="CF263" s="72">
        <f t="shared" si="519"/>
        <v>380</v>
      </c>
      <c r="CG263" s="71">
        <f t="shared" si="520"/>
        <v>406</v>
      </c>
      <c r="CH263" s="70">
        <f t="shared" si="521"/>
        <v>169</v>
      </c>
      <c r="CI263" s="71" t="str">
        <f t="shared" si="522"/>
        <v>-</v>
      </c>
      <c r="CJ263" s="72">
        <f t="shared" si="523"/>
        <v>205</v>
      </c>
      <c r="CK263" s="72" t="str">
        <f t="shared" si="524"/>
        <v>-</v>
      </c>
      <c r="CL263" s="72">
        <f t="shared" si="525"/>
        <v>257</v>
      </c>
      <c r="CM263" s="72" t="str">
        <f t="shared" si="526"/>
        <v>-</v>
      </c>
      <c r="CN263" s="72">
        <f t="shared" si="527"/>
        <v>292</v>
      </c>
      <c r="CO263" s="72">
        <f t="shared" si="528"/>
        <v>298</v>
      </c>
      <c r="CP263" s="72">
        <f t="shared" si="529"/>
        <v>337</v>
      </c>
      <c r="CQ263" s="72">
        <f t="shared" si="530"/>
        <v>369</v>
      </c>
      <c r="CR263" s="72">
        <f t="shared" si="531"/>
        <v>405</v>
      </c>
      <c r="CS263" s="72">
        <f t="shared" si="532"/>
        <v>423</v>
      </c>
      <c r="CT263" s="23" t="e">
        <f t="shared" si="533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506"/>
        <v>g1sgd4_rabit__wt</v>
      </c>
      <c r="B264" s="3" t="s">
        <v>1430</v>
      </c>
      <c r="C264" s="3" t="s">
        <v>100</v>
      </c>
      <c r="D264" s="3" t="str">
        <f>IFERROR(MID(VLOOKUP($B264,Seqs!$A:$B,2,0),E264,1),"")</f>
        <v>P</v>
      </c>
      <c r="E264" s="3">
        <v>137</v>
      </c>
      <c r="F264" s="3" t="str">
        <f>IFERROR(MID(VLOOKUP($B264,Seqs!$A:$B,2,0),G264,1),"")</f>
        <v>F</v>
      </c>
      <c r="G264" s="3">
        <v>169</v>
      </c>
      <c r="H264" s="3" t="str">
        <f>IFERROR(MID(VLOOKUP($B264,Seqs!$A:$B,2,0),I264,1),"")</f>
        <v>R</v>
      </c>
      <c r="I264" s="23">
        <v>170</v>
      </c>
      <c r="J264" s="3" t="str">
        <f>IFERROR(MID(VLOOKUP($B264,Seqs!$A:$B,2,0),K264,1),"")</f>
        <v>H</v>
      </c>
      <c r="K264" s="23">
        <v>173</v>
      </c>
      <c r="L264" s="3" t="str">
        <f>IFERROR(MID(VLOOKUP($B264,Seqs!$A:$B,2,0),M264,1),"")</f>
        <v>C</v>
      </c>
      <c r="M264" s="23">
        <v>174</v>
      </c>
      <c r="N264" s="3" t="str">
        <f>IFERROR(MID(VLOOKUP($B264,Seqs!$A:$B,2,0),O264,1),"")</f>
        <v>Q</v>
      </c>
      <c r="O264" s="3">
        <v>211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L</v>
      </c>
      <c r="U264" s="3">
        <v>224</v>
      </c>
      <c r="V264" s="3" t="str">
        <f>IFERROR(MID(VLOOKUP($B264,Seqs!$A:$B,2,0),W264,1),"")</f>
        <v>F</v>
      </c>
      <c r="W264" s="3">
        <v>257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S</v>
      </c>
      <c r="AC264" s="3">
        <v>261</v>
      </c>
      <c r="AD264" s="3" t="str">
        <f>IFERROR(MID(VLOOKUP($B264,Seqs!$A:$B,2,0),AE264,1),"")</f>
        <v>E</v>
      </c>
      <c r="AE264" s="3">
        <v>292</v>
      </c>
      <c r="AF264" s="3" t="str">
        <f>IFERROR(MID(VLOOKUP($B264,Seqs!$A:$B,2,0),AG264,1),"")</f>
        <v>C</v>
      </c>
      <c r="AG264" s="3">
        <v>296</v>
      </c>
      <c r="AH264" s="3" t="str">
        <f>IFERROR(MID(VLOOKUP($B264,Seqs!$A:$B,2,0),AI264,1),"")</f>
        <v>T</v>
      </c>
      <c r="AI264" s="3">
        <v>298</v>
      </c>
      <c r="AJ264" s="3" t="str">
        <f>IFERROR(MID(VLOOKUP($B264,Seqs!$A:$B,2,0),AK264,1),"")</f>
        <v>Y</v>
      </c>
      <c r="AK264" s="3">
        <v>305</v>
      </c>
      <c r="AL264" s="3" t="str">
        <f>IFERROR(MID(VLOOKUP($B264,Seqs!$A:$B,2,0),AM264,1),"")</f>
        <v>A</v>
      </c>
      <c r="AM264" s="3">
        <v>337</v>
      </c>
      <c r="AN264" s="3" t="str">
        <f>IFERROR(MID(VLOOKUP($B264,Seqs!$A:$B,2,0),AO264,1),"")</f>
        <v>K</v>
      </c>
      <c r="AO264" s="3">
        <v>346</v>
      </c>
      <c r="AP264" s="3" t="str">
        <f>IFERROR(MID(VLOOKUP($B264,Seqs!$A:$B,2,0),AQ264,1),"")</f>
        <v>F</v>
      </c>
      <c r="AQ264" s="3">
        <v>369</v>
      </c>
      <c r="AR264" s="3" t="str">
        <f>IFERROR(MID(VLOOKUP($B264,Seqs!$A:$B,2,0),AS264,1),"")</f>
        <v>L</v>
      </c>
      <c r="AS264" s="3">
        <v>379</v>
      </c>
      <c r="AT264" s="3" t="str">
        <f>IFERROR(MID(VLOOKUP($B264,Seqs!$A:$B,2,0),AU264,1),"")</f>
        <v>V</v>
      </c>
      <c r="AU264" s="3">
        <v>405</v>
      </c>
      <c r="AV264" s="3" t="str">
        <f>IFERROR(MID(VLOOKUP($B264,Seqs!$A:$B,2,0),AW264,1),"")</f>
        <v>N</v>
      </c>
      <c r="AW264" s="3">
        <v>406</v>
      </c>
      <c r="AX264" s="3" t="str">
        <f>IFERROR(MID(VLOOKUP($B264,Seqs!$A:$B,2,0),AY264,1),"")</f>
        <v>S</v>
      </c>
      <c r="AY264" s="3">
        <v>431</v>
      </c>
      <c r="AZ264" s="77" t="str">
        <f>VLOOKUP(B264,Classification!A:D,2,0)</f>
        <v>B1</v>
      </c>
      <c r="BA264" s="94" t="str">
        <f>VLOOKUP(B264,Classification!A:D,4,0)</f>
        <v>Glucagonreceptorfamily</v>
      </c>
      <c r="BB264" s="27" t="b">
        <f t="shared" si="507"/>
        <v>1</v>
      </c>
      <c r="BC264" s="23">
        <f t="shared" si="508"/>
        <v>256</v>
      </c>
      <c r="BD264" s="4" t="s">
        <v>23</v>
      </c>
      <c r="BE264" s="3" t="s">
        <v>23</v>
      </c>
      <c r="BF264" s="119" t="s">
        <v>23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509"/>
        <v>137</v>
      </c>
      <c r="BW264" s="71">
        <f t="shared" si="510"/>
        <v>170</v>
      </c>
      <c r="BX264" s="72">
        <f t="shared" si="511"/>
        <v>174</v>
      </c>
      <c r="BY264" s="71" t="str">
        <f t="shared" si="512"/>
        <v>-</v>
      </c>
      <c r="BZ264" s="72">
        <f t="shared" si="513"/>
        <v>224</v>
      </c>
      <c r="CA264" s="71" t="str">
        <f t="shared" si="514"/>
        <v>-</v>
      </c>
      <c r="CB264" s="72">
        <f t="shared" si="515"/>
        <v>261</v>
      </c>
      <c r="CC264" s="71">
        <f t="shared" si="516"/>
        <v>296</v>
      </c>
      <c r="CD264" s="72">
        <f t="shared" si="517"/>
        <v>305</v>
      </c>
      <c r="CE264" s="71">
        <f t="shared" si="518"/>
        <v>346</v>
      </c>
      <c r="CF264" s="72">
        <f t="shared" si="519"/>
        <v>379</v>
      </c>
      <c r="CG264" s="71">
        <f t="shared" si="520"/>
        <v>406</v>
      </c>
      <c r="CH264" s="70">
        <f t="shared" si="521"/>
        <v>169</v>
      </c>
      <c r="CI264" s="71">
        <f t="shared" si="522"/>
        <v>173</v>
      </c>
      <c r="CJ264" s="72">
        <f t="shared" si="523"/>
        <v>211</v>
      </c>
      <c r="CK264" s="72" t="str">
        <f t="shared" si="524"/>
        <v>-</v>
      </c>
      <c r="CL264" s="72">
        <f t="shared" si="525"/>
        <v>257</v>
      </c>
      <c r="CM264" s="72" t="str">
        <f t="shared" si="526"/>
        <v>-</v>
      </c>
      <c r="CN264" s="72">
        <f t="shared" si="527"/>
        <v>292</v>
      </c>
      <c r="CO264" s="72">
        <f t="shared" si="528"/>
        <v>298</v>
      </c>
      <c r="CP264" s="72">
        <f t="shared" si="529"/>
        <v>337</v>
      </c>
      <c r="CQ264" s="72">
        <f t="shared" si="530"/>
        <v>369</v>
      </c>
      <c r="CR264" s="72">
        <f t="shared" si="531"/>
        <v>405</v>
      </c>
      <c r="CS264" s="72">
        <f t="shared" si="532"/>
        <v>431</v>
      </c>
      <c r="CT264" s="23">
        <f t="shared" si="533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506"/>
        <v>g1sgd4_rabit_5VAI</v>
      </c>
      <c r="B265" s="3" t="s">
        <v>1430</v>
      </c>
      <c r="C265" s="3" t="s">
        <v>1432</v>
      </c>
      <c r="D265" s="3" t="str">
        <f>IFERROR(MID(VLOOKUP($B265,Seqs!$A:$B,2,0),E265,1),"")</f>
        <v>P</v>
      </c>
      <c r="E265" s="3">
        <v>137</v>
      </c>
      <c r="F265" s="3" t="str">
        <f>IFERROR(MID(VLOOKUP($B265,Seqs!$A:$B,2,0),G265,1),"")</f>
        <v>G</v>
      </c>
      <c r="G265" s="3">
        <v>168</v>
      </c>
      <c r="H265" s="3" t="str">
        <f>IFERROR(MID(VLOOKUP($B265,Seqs!$A:$B,2,0),I265,1),"")</f>
        <v>R</v>
      </c>
      <c r="I265" s="23">
        <v>170</v>
      </c>
      <c r="J265" s="3" t="str">
        <f>IFERROR(MID(VLOOKUP($B265,Seqs!$A:$B,2,0),K265,1),"")</f>
        <v>H</v>
      </c>
      <c r="K265" s="23">
        <v>173</v>
      </c>
      <c r="L265" s="3" t="str">
        <f>IFERROR(MID(VLOOKUP($B265,Seqs!$A:$B,2,0),M265,1),"")</f>
        <v>C</v>
      </c>
      <c r="M265" s="23">
        <v>174</v>
      </c>
      <c r="N265" s="3" t="str">
        <f>IFERROR(MID(VLOOKUP($B265,Seqs!$A:$B,2,0),O265,1),"")</f>
        <v>Q</v>
      </c>
      <c r="O265" s="3">
        <v>211</v>
      </c>
      <c r="P265" s="3" t="str">
        <f>IFERROR(MID(VLOOKUP($B265,Seqs!$A:$B,2,0),Q265,1),"")</f>
        <v/>
      </c>
      <c r="Q265" s="3" t="s">
        <v>23</v>
      </c>
      <c r="R265" s="3" t="str">
        <f>IFERROR(MID(VLOOKUP($B265,Seqs!$A:$B,2,0),S265,1),"")</f>
        <v/>
      </c>
      <c r="S265" s="3" t="s">
        <v>23</v>
      </c>
      <c r="T265" s="3" t="str">
        <f>IFERROR(MID(VLOOKUP($B265,Seqs!$A:$B,2,0),U265,1),"")</f>
        <v>L</v>
      </c>
      <c r="U265" s="3">
        <v>224</v>
      </c>
      <c r="V265" s="3" t="str">
        <f>IFERROR(MID(VLOOKUP($B265,Seqs!$A:$B,2,0),W265,1),"")</f>
        <v>F</v>
      </c>
      <c r="W265" s="3">
        <v>257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S</v>
      </c>
      <c r="AC265" s="3">
        <v>261</v>
      </c>
      <c r="AD265" s="3" t="str">
        <f>IFERROR(MID(VLOOKUP($B265,Seqs!$A:$B,2,0),AE265,1),"")</f>
        <v>E</v>
      </c>
      <c r="AE265" s="3">
        <v>292</v>
      </c>
      <c r="AF265" s="3" t="str">
        <f>IFERROR(MID(VLOOKUP($B265,Seqs!$A:$B,2,0),AG265,1),"")</f>
        <v>C</v>
      </c>
      <c r="AG265" s="3">
        <v>296</v>
      </c>
      <c r="AH265" s="3" t="str">
        <f>IFERROR(MID(VLOOKUP($B265,Seqs!$A:$B,2,0),AI265,1),"")</f>
        <v>T</v>
      </c>
      <c r="AI265" s="3">
        <v>298</v>
      </c>
      <c r="AJ265" s="3" t="str">
        <f>IFERROR(MID(VLOOKUP($B265,Seqs!$A:$B,2,0),AK265,1),"")</f>
        <v>Y</v>
      </c>
      <c r="AK265" s="3">
        <v>305</v>
      </c>
      <c r="AL265" s="3" t="str">
        <f>IFERROR(MID(VLOOKUP($B265,Seqs!$A:$B,2,0),AM265,1),"")</f>
        <v>A</v>
      </c>
      <c r="AM265" s="3">
        <v>337</v>
      </c>
      <c r="AN265" s="3" t="str">
        <f>IFERROR(MID(VLOOKUP($B265,Seqs!$A:$B,2,0),AO265,1),"")</f>
        <v>K</v>
      </c>
      <c r="AO265" s="3">
        <v>346</v>
      </c>
      <c r="AP265" s="3" t="str">
        <f>IFERROR(MID(VLOOKUP($B265,Seqs!$A:$B,2,0),AQ265,1),"")</f>
        <v>F</v>
      </c>
      <c r="AQ265" s="3">
        <v>369</v>
      </c>
      <c r="AR265" s="3" t="str">
        <f>IFERROR(MID(VLOOKUP($B265,Seqs!$A:$B,2,0),AS265,1),"")</f>
        <v>L</v>
      </c>
      <c r="AS265" s="3">
        <v>379</v>
      </c>
      <c r="AT265" s="3" t="str">
        <f>IFERROR(MID(VLOOKUP($B265,Seqs!$A:$B,2,0),AU265,1),"")</f>
        <v>V</v>
      </c>
      <c r="AU265" s="3">
        <v>405</v>
      </c>
      <c r="AV265" s="3" t="str">
        <f>IFERROR(MID(VLOOKUP($B265,Seqs!$A:$B,2,0),AW265,1),"")</f>
        <v>N</v>
      </c>
      <c r="AW265" s="3">
        <v>406</v>
      </c>
      <c r="AX265" s="3" t="str">
        <f>IFERROR(MID(VLOOKUP($B265,Seqs!$A:$B,2,0),AY265,1),"")</f>
        <v>R</v>
      </c>
      <c r="AY265" s="3">
        <v>421</v>
      </c>
      <c r="AZ265" s="77" t="str">
        <f>VLOOKUP(B265,Classification!A:D,2,0)</f>
        <v>B1</v>
      </c>
      <c r="BA265" s="94" t="str">
        <f>VLOOKUP(B265,Classification!A:D,4,0)</f>
        <v>Glucagonreceptorfamily</v>
      </c>
      <c r="BB265" s="27" t="b">
        <f t="shared" si="507"/>
        <v>1</v>
      </c>
      <c r="BC265" s="23">
        <f t="shared" si="508"/>
        <v>245</v>
      </c>
      <c r="BD265" s="4" t="s">
        <v>1382</v>
      </c>
      <c r="BE265" s="3" t="s">
        <v>1297</v>
      </c>
      <c r="BF265" s="119">
        <v>4.0999999999999996</v>
      </c>
      <c r="BG265" s="49" t="s">
        <v>1433</v>
      </c>
      <c r="BH265" s="49" t="s">
        <v>1433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509"/>
        <v>137</v>
      </c>
      <c r="BW265" s="71">
        <f t="shared" si="510"/>
        <v>170</v>
      </c>
      <c r="BX265" s="72">
        <f t="shared" si="511"/>
        <v>174</v>
      </c>
      <c r="BY265" s="71" t="str">
        <f t="shared" si="512"/>
        <v>-</v>
      </c>
      <c r="BZ265" s="72">
        <f t="shared" si="513"/>
        <v>224</v>
      </c>
      <c r="CA265" s="71" t="str">
        <f t="shared" si="514"/>
        <v>-</v>
      </c>
      <c r="CB265" s="72">
        <f t="shared" si="515"/>
        <v>261</v>
      </c>
      <c r="CC265" s="71">
        <f t="shared" si="516"/>
        <v>296</v>
      </c>
      <c r="CD265" s="72">
        <f t="shared" si="517"/>
        <v>305</v>
      </c>
      <c r="CE265" s="71">
        <f t="shared" si="518"/>
        <v>346</v>
      </c>
      <c r="CF265" s="72">
        <f t="shared" si="519"/>
        <v>379</v>
      </c>
      <c r="CG265" s="71">
        <f t="shared" si="520"/>
        <v>406</v>
      </c>
      <c r="CH265" s="70">
        <f t="shared" si="521"/>
        <v>168</v>
      </c>
      <c r="CI265" s="71">
        <f t="shared" si="522"/>
        <v>173</v>
      </c>
      <c r="CJ265" s="72">
        <f t="shared" si="523"/>
        <v>211</v>
      </c>
      <c r="CK265" s="72" t="str">
        <f t="shared" si="524"/>
        <v>-</v>
      </c>
      <c r="CL265" s="72">
        <f t="shared" si="525"/>
        <v>257</v>
      </c>
      <c r="CM265" s="72" t="str">
        <f t="shared" si="526"/>
        <v>-</v>
      </c>
      <c r="CN265" s="72">
        <f t="shared" si="527"/>
        <v>292</v>
      </c>
      <c r="CO265" s="72">
        <f t="shared" si="528"/>
        <v>298</v>
      </c>
      <c r="CP265" s="72">
        <f t="shared" si="529"/>
        <v>337</v>
      </c>
      <c r="CQ265" s="72">
        <f t="shared" si="530"/>
        <v>369</v>
      </c>
      <c r="CR265" s="72">
        <f t="shared" si="531"/>
        <v>405</v>
      </c>
      <c r="CS265" s="72">
        <f t="shared" si="532"/>
        <v>421</v>
      </c>
      <c r="CT265" s="23">
        <f t="shared" si="533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504"/>
        <v>grm1_human__wt</v>
      </c>
      <c r="B266" s="3" t="s">
        <v>40</v>
      </c>
      <c r="C266" s="3" t="s">
        <v>100</v>
      </c>
      <c r="D266" s="3" t="str">
        <f>IFERROR(MID(VLOOKUP($B266,Seqs!$A:$B,2,0),E266,1),"")</f>
        <v>I</v>
      </c>
      <c r="E266" s="3">
        <v>591</v>
      </c>
      <c r="F266" s="3" t="str">
        <f>IFERROR(MID(VLOOKUP($B266,Seqs!$A:$B,2,0),G266,1),"")</f>
        <v>Y</v>
      </c>
      <c r="G266" s="3">
        <v>617</v>
      </c>
      <c r="H266" s="3" t="str">
        <f>IFERROR(MID(VLOOKUP($B266,Seqs!$A:$B,2,0),I266,1),"")</f>
        <v>T</v>
      </c>
      <c r="I266" s="23">
        <v>620</v>
      </c>
      <c r="J266" s="3" t="str">
        <f>IFERROR(MID(VLOOKUP($B266,Seqs!$A:$B,2,0),K266,1),"")</f>
        <v>S</v>
      </c>
      <c r="K266" s="23">
        <v>626</v>
      </c>
      <c r="L266" s="3" t="str">
        <f>IFERROR(MID(VLOOKUP($B266,Seqs!$A:$B,2,0),M266,1),"")</f>
        <v>S</v>
      </c>
      <c r="M266" s="3">
        <v>627</v>
      </c>
      <c r="N266" s="3" t="str">
        <f>IFERROR(MID(VLOOKUP($B266,Seqs!$A:$B,2,0),O266,1),"")</f>
        <v>I</v>
      </c>
      <c r="O266" s="3">
        <v>649</v>
      </c>
      <c r="P266" s="3" t="str">
        <f>IFERROR(MID(VLOOKUP($B266,Seqs!$A:$B,2,0),Q266,1),"")</f>
        <v/>
      </c>
      <c r="Q266" s="3" t="s">
        <v>23</v>
      </c>
      <c r="R266" s="3" t="str">
        <f>IFERROR(MID(VLOOKUP($B266,Seqs!$A:$B,2,0),S266,1),"")</f>
        <v/>
      </c>
      <c r="S266" s="3" t="s">
        <v>23</v>
      </c>
      <c r="T266" s="3" t="str">
        <f>IFERROR(MID(VLOOKUP($B266,Seqs!$A:$B,2,0),U266,1),"")</f>
        <v>T</v>
      </c>
      <c r="U266" s="3">
        <v>654</v>
      </c>
      <c r="V266" s="3" t="str">
        <f>IFERROR(MID(VLOOKUP($B266,Seqs!$A:$B,2,0),W266,1),"")</f>
        <v>L</v>
      </c>
      <c r="W266" s="3">
        <v>686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S</v>
      </c>
      <c r="AC266" s="9">
        <v>702</v>
      </c>
      <c r="AD266" s="3" t="str">
        <f>IFERROR(MID(VLOOKUP($B266,Seqs!$A:$B,2,0),AE266,1),"")</f>
        <v>E</v>
      </c>
      <c r="AE266" s="3">
        <v>728</v>
      </c>
      <c r="AF266" s="3" t="str">
        <f>IFERROR(MID(VLOOKUP($B266,Seqs!$A:$B,2,0),AG266,1),"")</f>
        <v>C</v>
      </c>
      <c r="AG266" s="3">
        <v>746</v>
      </c>
      <c r="AH266" s="3" t="str">
        <f>IFERROR(MID(VLOOKUP($B266,Seqs!$A:$B,2,0),AI266,1),"")</f>
        <v>T</v>
      </c>
      <c r="AI266" s="3">
        <v>748</v>
      </c>
      <c r="AJ266" s="3" t="str">
        <f>IFERROR(MID(VLOOKUP($B266,Seqs!$A:$B,2,0),AK266,1),"")</f>
        <v>S</v>
      </c>
      <c r="AK266" s="105">
        <v>749</v>
      </c>
      <c r="AL266" s="3" t="str">
        <f>IFERROR(MID(VLOOKUP($B266,Seqs!$A:$B,2,0),AM266,1),"")</f>
        <v>T</v>
      </c>
      <c r="AM266" s="3">
        <v>774</v>
      </c>
      <c r="AN266" s="3" t="str">
        <f>IFERROR(MID(VLOOKUP($B266,Seqs!$A:$B,2,0),AO266,1),"")</f>
        <v>E</v>
      </c>
      <c r="AO266" s="3">
        <v>783</v>
      </c>
      <c r="AP266" s="3" t="str">
        <f>IFERROR(MID(VLOOKUP($B266,Seqs!$A:$B,2,0),AQ266,1),"")</f>
        <v>G</v>
      </c>
      <c r="AQ266" s="3">
        <v>807</v>
      </c>
      <c r="AR266" s="3" t="str">
        <f>IFERROR(MID(VLOOKUP($B266,Seqs!$A:$B,2,0),AS266,1),"")</f>
        <v>Y</v>
      </c>
      <c r="AS266" s="105">
        <v>810</v>
      </c>
      <c r="AT266" s="3" t="str">
        <f>IFERROR(MID(VLOOKUP($B266,Seqs!$A:$B,2,0),AU266,1),"")</f>
        <v>K</v>
      </c>
      <c r="AU266" s="3">
        <v>841</v>
      </c>
      <c r="AV266" s="3" t="str">
        <f>IFERROR(MID(VLOOKUP($B266,Seqs!$A:$B,2,0),AW266,1),"")</f>
        <v>P</v>
      </c>
      <c r="AW266" s="3">
        <v>842</v>
      </c>
      <c r="AX266" s="3" t="str">
        <f>IFERROR(MID(VLOOKUP($B266,Seqs!$A:$B,2,0),AY266,1),"")</f>
        <v>S</v>
      </c>
      <c r="AY266" s="3">
        <v>853</v>
      </c>
      <c r="AZ266" s="77" t="str">
        <f>VLOOKUP(B266,Classification!A:D,2,0)</f>
        <v>C</v>
      </c>
      <c r="BA266" s="94" t="str">
        <f>VLOOKUP(B266,Classification!A:D,4,0)</f>
        <v>Metabotropicglutamate</v>
      </c>
      <c r="BB266" s="27" t="b">
        <f t="shared" si="505"/>
        <v>1</v>
      </c>
      <c r="BC266" s="23">
        <f t="shared" si="478"/>
        <v>217</v>
      </c>
      <c r="BD266" s="56" t="s">
        <v>1379</v>
      </c>
      <c r="BE266" s="3" t="s">
        <v>23</v>
      </c>
      <c r="BF266" s="119" t="s">
        <v>23</v>
      </c>
      <c r="BG266" s="49" t="s">
        <v>1379</v>
      </c>
      <c r="BH266" s="49" t="s">
        <v>1384</v>
      </c>
      <c r="BI266" s="3" t="s">
        <v>1164</v>
      </c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479"/>
        <v>591</v>
      </c>
      <c r="BW266" s="71">
        <f t="shared" si="480"/>
        <v>620</v>
      </c>
      <c r="BX266" s="72">
        <f t="shared" si="481"/>
        <v>627</v>
      </c>
      <c r="BY266" s="71" t="str">
        <f t="shared" si="482"/>
        <v>-</v>
      </c>
      <c r="BZ266" s="72">
        <f t="shared" si="483"/>
        <v>654</v>
      </c>
      <c r="CA266" s="71" t="str">
        <f t="shared" si="484"/>
        <v>-</v>
      </c>
      <c r="CB266" s="72">
        <f t="shared" si="485"/>
        <v>702</v>
      </c>
      <c r="CC266" s="71">
        <f t="shared" si="486"/>
        <v>746</v>
      </c>
      <c r="CD266" s="72">
        <f t="shared" si="487"/>
        <v>749</v>
      </c>
      <c r="CE266" s="71">
        <f t="shared" si="488"/>
        <v>783</v>
      </c>
      <c r="CF266" s="72">
        <f t="shared" si="489"/>
        <v>810</v>
      </c>
      <c r="CG266" s="71">
        <f t="shared" si="490"/>
        <v>842</v>
      </c>
      <c r="CH266" s="70">
        <f t="shared" si="491"/>
        <v>617</v>
      </c>
      <c r="CI266" s="71">
        <f t="shared" si="492"/>
        <v>626</v>
      </c>
      <c r="CJ266" s="72">
        <f t="shared" si="493"/>
        <v>649</v>
      </c>
      <c r="CK266" s="72" t="str">
        <f t="shared" si="494"/>
        <v>-</v>
      </c>
      <c r="CL266" s="72">
        <f t="shared" si="495"/>
        <v>686</v>
      </c>
      <c r="CM266" s="72" t="str">
        <f t="shared" si="496"/>
        <v>-</v>
      </c>
      <c r="CN266" s="72">
        <f t="shared" si="497"/>
        <v>728</v>
      </c>
      <c r="CO266" s="72">
        <f t="shared" si="498"/>
        <v>748</v>
      </c>
      <c r="CP266" s="72">
        <f t="shared" si="499"/>
        <v>774</v>
      </c>
      <c r="CQ266" s="72">
        <f t="shared" si="500"/>
        <v>807</v>
      </c>
      <c r="CR266" s="72">
        <f t="shared" si="501"/>
        <v>841</v>
      </c>
      <c r="CS266" s="72">
        <f t="shared" si="502"/>
        <v>853</v>
      </c>
      <c r="CT266" s="23">
        <f t="shared" si="503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504"/>
        <v>grm1_human_4OR2</v>
      </c>
      <c r="B267" s="3" t="s">
        <v>40</v>
      </c>
      <c r="C267" s="3" t="s">
        <v>96</v>
      </c>
      <c r="D267" s="3" t="str">
        <f>IFERROR(MID(VLOOKUP($B267,Seqs!$A:$B,2,0),E267,1),"")</f>
        <v>I</v>
      </c>
      <c r="E267" s="3">
        <v>591</v>
      </c>
      <c r="F267" s="3" t="str">
        <f>IFERROR(MID(VLOOKUP($B267,Seqs!$A:$B,2,0),G267,1),"")</f>
        <v>Y</v>
      </c>
      <c r="G267" s="3">
        <v>617</v>
      </c>
      <c r="H267" s="3" t="str">
        <f>IFERROR(MID(VLOOKUP($B267,Seqs!$A:$B,2,0),I267,1),"")</f>
        <v>T</v>
      </c>
      <c r="I267" s="23">
        <v>620</v>
      </c>
      <c r="J267" s="3" t="str">
        <f>IFERROR(MID(VLOOKUP($B267,Seqs!$A:$B,2,0),K267,1),"")</f>
        <v>S</v>
      </c>
      <c r="K267" s="23">
        <v>626</v>
      </c>
      <c r="L267" s="3" t="str">
        <f>IFERROR(MID(VLOOKUP($B267,Seqs!$A:$B,2,0),M267,1),"")</f>
        <v>S</v>
      </c>
      <c r="M267" s="3">
        <v>627</v>
      </c>
      <c r="N267" s="3" t="str">
        <f>IFERROR(MID(VLOOKUP($B267,Seqs!$A:$B,2,0),O267,1),"")</f>
        <v>I</v>
      </c>
      <c r="O267" s="3">
        <v>649</v>
      </c>
      <c r="P267" s="3" t="str">
        <f>IFERROR(MID(VLOOKUP($B267,Seqs!$A:$B,2,0),Q267,1),"")</f>
        <v/>
      </c>
      <c r="Q267" s="3" t="s">
        <v>23</v>
      </c>
      <c r="R267" s="3" t="str">
        <f>IFERROR(MID(VLOOKUP($B267,Seqs!$A:$B,2,0),S267,1),"")</f>
        <v/>
      </c>
      <c r="S267" s="3" t="s">
        <v>23</v>
      </c>
      <c r="T267" s="3" t="str">
        <f>IFERROR(MID(VLOOKUP($B267,Seqs!$A:$B,2,0),U267,1),"")</f>
        <v>T</v>
      </c>
      <c r="U267" s="3">
        <v>654</v>
      </c>
      <c r="V267" s="3" t="str">
        <f>IFERROR(MID(VLOOKUP($B267,Seqs!$A:$B,2,0),W267,1),"")</f>
        <v>L</v>
      </c>
      <c r="W267" s="3">
        <v>686</v>
      </c>
      <c r="X267" s="3" t="str">
        <f>IFERROR(MID(VLOOKUP($B267,Seqs!$A:$B,2,0),Y267,1),"")</f>
        <v/>
      </c>
      <c r="Y267" s="3" t="s">
        <v>23</v>
      </c>
      <c r="Z267" s="3" t="str">
        <f>IFERROR(MID(VLOOKUP($B267,Seqs!$A:$B,2,0),AA267,1),"")</f>
        <v/>
      </c>
      <c r="AA267" s="3" t="s">
        <v>23</v>
      </c>
      <c r="AB267" s="3" t="str">
        <f>IFERROR(MID(VLOOKUP($B267,Seqs!$A:$B,2,0),AC267,1),"")</f>
        <v>S</v>
      </c>
      <c r="AC267" s="9">
        <v>702</v>
      </c>
      <c r="AD267" s="3" t="str">
        <f>IFERROR(MID(VLOOKUP($B267,Seqs!$A:$B,2,0),AE267,1),"")</f>
        <v>E</v>
      </c>
      <c r="AE267" s="3">
        <v>728</v>
      </c>
      <c r="AF267" s="3" t="str">
        <f>IFERROR(MID(VLOOKUP($B267,Seqs!$A:$B,2,0),AG267,1),"")</f>
        <v>C</v>
      </c>
      <c r="AG267" s="3">
        <v>746</v>
      </c>
      <c r="AH267" s="3" t="str">
        <f>IFERROR(MID(VLOOKUP($B267,Seqs!$A:$B,2,0),AI267,1),"")</f>
        <v>T</v>
      </c>
      <c r="AI267" s="3">
        <v>748</v>
      </c>
      <c r="AJ267" s="3" t="str">
        <f>IFERROR(MID(VLOOKUP($B267,Seqs!$A:$B,2,0),AK267,1),"")</f>
        <v>S</v>
      </c>
      <c r="AK267" s="105">
        <v>749</v>
      </c>
      <c r="AL267" s="3" t="str">
        <f>IFERROR(MID(VLOOKUP($B267,Seqs!$A:$B,2,0),AM267,1),"")</f>
        <v>T</v>
      </c>
      <c r="AM267" s="3">
        <v>774</v>
      </c>
      <c r="AN267" s="3" t="str">
        <f>IFERROR(MID(VLOOKUP($B267,Seqs!$A:$B,2,0),AO267,1),"")</f>
        <v>E</v>
      </c>
      <c r="AO267" s="3">
        <v>783</v>
      </c>
      <c r="AP267" s="3" t="str">
        <f>IFERROR(MID(VLOOKUP($B267,Seqs!$A:$B,2,0),AQ267,1),"")</f>
        <v>G</v>
      </c>
      <c r="AQ267" s="3">
        <v>807</v>
      </c>
      <c r="AR267" s="3" t="str">
        <f>IFERROR(MID(VLOOKUP($B267,Seqs!$A:$B,2,0),AS267,1),"")</f>
        <v>Y</v>
      </c>
      <c r="AS267" s="105">
        <v>810</v>
      </c>
      <c r="AT267" s="3" t="str">
        <f>IFERROR(MID(VLOOKUP($B267,Seqs!$A:$B,2,0),AU267,1),"")</f>
        <v>K</v>
      </c>
      <c r="AU267" s="3">
        <v>841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C</v>
      </c>
      <c r="BA267" s="94" t="str">
        <f>VLOOKUP(B267,Classification!A:D,4,0)</f>
        <v>Metabotropicglutamate</v>
      </c>
      <c r="BB267" s="27" t="b">
        <f t="shared" si="505"/>
        <v>1</v>
      </c>
      <c r="BC267" s="23">
        <f t="shared" si="478"/>
        <v>206</v>
      </c>
      <c r="BD267" s="2" t="s">
        <v>1383</v>
      </c>
      <c r="BE267" s="3" t="s">
        <v>1381</v>
      </c>
      <c r="BF267" s="119">
        <v>2.8</v>
      </c>
      <c r="BG267" s="49" t="s">
        <v>1384</v>
      </c>
      <c r="BH267" s="49" t="s">
        <v>1384</v>
      </c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479"/>
        <v>591</v>
      </c>
      <c r="BW267" s="71">
        <f t="shared" si="480"/>
        <v>620</v>
      </c>
      <c r="BX267" s="72">
        <f t="shared" si="481"/>
        <v>627</v>
      </c>
      <c r="BY267" s="71" t="str">
        <f t="shared" si="482"/>
        <v>-</v>
      </c>
      <c r="BZ267" s="72">
        <f t="shared" si="483"/>
        <v>654</v>
      </c>
      <c r="CA267" s="71" t="str">
        <f t="shared" si="484"/>
        <v>-</v>
      </c>
      <c r="CB267" s="72">
        <f t="shared" si="485"/>
        <v>702</v>
      </c>
      <c r="CC267" s="71">
        <f t="shared" si="486"/>
        <v>746</v>
      </c>
      <c r="CD267" s="72">
        <f t="shared" si="487"/>
        <v>749</v>
      </c>
      <c r="CE267" s="71">
        <f t="shared" si="488"/>
        <v>783</v>
      </c>
      <c r="CF267" s="72">
        <f t="shared" si="489"/>
        <v>810</v>
      </c>
      <c r="CG267" s="71" t="str">
        <f t="shared" si="490"/>
        <v>-</v>
      </c>
      <c r="CH267" s="70">
        <f t="shared" si="491"/>
        <v>617</v>
      </c>
      <c r="CI267" s="71">
        <f t="shared" si="492"/>
        <v>626</v>
      </c>
      <c r="CJ267" s="72">
        <f t="shared" si="493"/>
        <v>649</v>
      </c>
      <c r="CK267" s="72" t="str">
        <f t="shared" si="494"/>
        <v>-</v>
      </c>
      <c r="CL267" s="72">
        <f t="shared" si="495"/>
        <v>686</v>
      </c>
      <c r="CM267" s="72" t="str">
        <f t="shared" si="496"/>
        <v>-</v>
      </c>
      <c r="CN267" s="72">
        <f t="shared" si="497"/>
        <v>728</v>
      </c>
      <c r="CO267" s="72">
        <f t="shared" si="498"/>
        <v>748</v>
      </c>
      <c r="CP267" s="72">
        <f t="shared" si="499"/>
        <v>774</v>
      </c>
      <c r="CQ267" s="72">
        <f t="shared" si="500"/>
        <v>807</v>
      </c>
      <c r="CR267" s="72">
        <f t="shared" si="501"/>
        <v>841</v>
      </c>
      <c r="CS267" s="72" t="str">
        <f t="shared" si="502"/>
        <v>-</v>
      </c>
      <c r="CT267" s="23">
        <f t="shared" si="503"/>
        <v>1</v>
      </c>
    </row>
    <row r="268" spans="1:1030" x14ac:dyDescent="0.2">
      <c r="A268" s="3" t="str">
        <f t="shared" si="504"/>
        <v>grm5_human__wt</v>
      </c>
      <c r="B268" s="3" t="s">
        <v>41</v>
      </c>
      <c r="C268" s="3" t="s">
        <v>100</v>
      </c>
      <c r="D268" s="3" t="str">
        <f>IFERROR(MID(VLOOKUP($B268,Seqs!$A:$B,2,0),E268,1),"")</f>
        <v>P</v>
      </c>
      <c r="E268" s="3">
        <v>578</v>
      </c>
      <c r="F268" s="3" t="str">
        <f>IFERROR(MID(VLOOKUP($B268,Seqs!$A:$B,2,0),G268,1),"")</f>
        <v>Y</v>
      </c>
      <c r="G268" s="3">
        <v>604</v>
      </c>
      <c r="H268" s="3" t="str">
        <f>IFERROR(MID(VLOOKUP($B268,Seqs!$A:$B,2,0),I268,1),"")</f>
        <v>T</v>
      </c>
      <c r="I268" s="23">
        <v>607</v>
      </c>
      <c r="J268" s="3" t="str">
        <f>IFERROR(MID(VLOOKUP($B268,Seqs!$A:$B,2,0),K268,1),"")</f>
        <v>S</v>
      </c>
      <c r="K268" s="23">
        <v>613</v>
      </c>
      <c r="L268" s="3" t="str">
        <f>IFERROR(MID(VLOOKUP($B268,Seqs!$A:$B,2,0),M268,1),"")</f>
        <v>S</v>
      </c>
      <c r="M268" s="3">
        <v>614</v>
      </c>
      <c r="N268" s="3" t="str">
        <f>IFERROR(MID(VLOOKUP($B268,Seqs!$A:$B,2,0),O268,1),"")</f>
        <v>I</v>
      </c>
      <c r="O268" s="3">
        <v>636</v>
      </c>
      <c r="P268" s="3" t="str">
        <f>IFERROR(MID(VLOOKUP($B268,Seqs!$A:$B,2,0),Q268,1),"")</f>
        <v/>
      </c>
      <c r="Q268" s="3" t="s">
        <v>23</v>
      </c>
      <c r="R268" s="3" t="str">
        <f>IFERROR(MID(VLOOKUP($B268,Seqs!$A:$B,2,0),S268,1),"")</f>
        <v/>
      </c>
      <c r="S268" s="3" t="s">
        <v>23</v>
      </c>
      <c r="T268" s="3" t="str">
        <f>IFERROR(MID(VLOOKUP($B268,Seqs!$A:$B,2,0),U268,1),"")</f>
        <v>Q</v>
      </c>
      <c r="U268" s="3">
        <v>641</v>
      </c>
      <c r="V268" s="3" t="str">
        <f>IFERROR(MID(VLOOKUP($B268,Seqs!$A:$B,2,0),W268,1),"")</f>
        <v>L</v>
      </c>
      <c r="W268" s="3">
        <v>673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S</v>
      </c>
      <c r="AC268" s="9">
        <v>689</v>
      </c>
      <c r="AD268" s="3" t="str">
        <f>IFERROR(MID(VLOOKUP($B268,Seqs!$A:$B,2,0),AE268,1),"")</f>
        <v>E</v>
      </c>
      <c r="AE268" s="3">
        <v>715</v>
      </c>
      <c r="AF268" s="3" t="str">
        <f>IFERROR(MID(VLOOKUP($B268,Seqs!$A:$B,2,0),AG268,1),"")</f>
        <v>C</v>
      </c>
      <c r="AG268" s="3">
        <v>733</v>
      </c>
      <c r="AH268" s="3" t="str">
        <f>IFERROR(MID(VLOOKUP($B268,Seqs!$A:$B,2,0),AI268,1),"")</f>
        <v>T</v>
      </c>
      <c r="AI268" s="3">
        <v>735</v>
      </c>
      <c r="AJ268" s="3" t="str">
        <f>IFERROR(MID(VLOOKUP($B268,Seqs!$A:$B,2,0),AK268,1),"")</f>
        <v>T</v>
      </c>
      <c r="AK268" s="105">
        <v>736</v>
      </c>
      <c r="AL268" s="3" t="str">
        <f>IFERROR(MID(VLOOKUP($B268,Seqs!$A:$B,2,0),AM268,1),"")</f>
        <v>T</v>
      </c>
      <c r="AM268" s="3">
        <v>761</v>
      </c>
      <c r="AN268" s="3" t="str">
        <f>IFERROR(MID(VLOOKUP($B268,Seqs!$A:$B,2,0),AO268,1),"")</f>
        <v>E</v>
      </c>
      <c r="AO268" s="3">
        <v>770</v>
      </c>
      <c r="AP268" s="3" t="str">
        <f>IFERROR(MID(VLOOKUP($B268,Seqs!$A:$B,2,0),AQ268,1),"")</f>
        <v>G</v>
      </c>
      <c r="AQ268" s="3">
        <v>794</v>
      </c>
      <c r="AR268" s="3" t="str">
        <f>IFERROR(MID(VLOOKUP($B268,Seqs!$A:$B,2,0),AS268,1),"")</f>
        <v>Y</v>
      </c>
      <c r="AS268" s="105">
        <v>797</v>
      </c>
      <c r="AT268" s="3" t="str">
        <f>IFERROR(MID(VLOOKUP($B268,Seqs!$A:$B,2,0),AU268,1),"")</f>
        <v>K</v>
      </c>
      <c r="AU268" s="3">
        <v>828</v>
      </c>
      <c r="AV268" s="3" t="str">
        <f>IFERROR(MID(VLOOKUP($B268,Seqs!$A:$B,2,0),AW268,1),"")</f>
        <v>P</v>
      </c>
      <c r="AW268" s="3">
        <v>829</v>
      </c>
      <c r="AX268" s="3" t="str">
        <f>IFERROR(MID(VLOOKUP($B268,Seqs!$A:$B,2,0),AY268,1),"")</f>
        <v>S</v>
      </c>
      <c r="AY268" s="3">
        <v>840</v>
      </c>
      <c r="AZ268" s="77" t="str">
        <f>VLOOKUP(B268,Classification!A:D,2,0)</f>
        <v>C</v>
      </c>
      <c r="BA268" s="94" t="str">
        <f>VLOOKUP(B268,Classification!A:D,4,0)</f>
        <v>Metabotropicglutamate</v>
      </c>
      <c r="BB268" s="27" t="b">
        <f t="shared" si="505"/>
        <v>1</v>
      </c>
      <c r="BC268" s="23">
        <f t="shared" si="478"/>
        <v>217</v>
      </c>
      <c r="BD268" s="56" t="s">
        <v>1379</v>
      </c>
      <c r="BE268" s="3" t="s">
        <v>23</v>
      </c>
      <c r="BF268" s="119" t="s">
        <v>23</v>
      </c>
      <c r="BG268" s="49" t="s">
        <v>1379</v>
      </c>
      <c r="BH268" s="49" t="s">
        <v>1384</v>
      </c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479"/>
        <v>578</v>
      </c>
      <c r="BW268" s="71">
        <f t="shared" si="480"/>
        <v>607</v>
      </c>
      <c r="BX268" s="72">
        <f t="shared" si="481"/>
        <v>614</v>
      </c>
      <c r="BY268" s="71" t="str">
        <f t="shared" si="482"/>
        <v>-</v>
      </c>
      <c r="BZ268" s="72">
        <f t="shared" si="483"/>
        <v>641</v>
      </c>
      <c r="CA268" s="71" t="str">
        <f t="shared" si="484"/>
        <v>-</v>
      </c>
      <c r="CB268" s="72">
        <f t="shared" si="485"/>
        <v>689</v>
      </c>
      <c r="CC268" s="71">
        <f t="shared" si="486"/>
        <v>733</v>
      </c>
      <c r="CD268" s="72">
        <f t="shared" si="487"/>
        <v>736</v>
      </c>
      <c r="CE268" s="71">
        <f t="shared" si="488"/>
        <v>770</v>
      </c>
      <c r="CF268" s="72">
        <f t="shared" si="489"/>
        <v>797</v>
      </c>
      <c r="CG268" s="71">
        <f t="shared" si="490"/>
        <v>829</v>
      </c>
      <c r="CH268" s="70">
        <f t="shared" si="491"/>
        <v>604</v>
      </c>
      <c r="CI268" s="71">
        <f t="shared" si="492"/>
        <v>613</v>
      </c>
      <c r="CJ268" s="72">
        <f t="shared" si="493"/>
        <v>636</v>
      </c>
      <c r="CK268" s="72" t="str">
        <f t="shared" si="494"/>
        <v>-</v>
      </c>
      <c r="CL268" s="72">
        <f t="shared" si="495"/>
        <v>673</v>
      </c>
      <c r="CM268" s="72" t="str">
        <f t="shared" si="496"/>
        <v>-</v>
      </c>
      <c r="CN268" s="72">
        <f t="shared" si="497"/>
        <v>715</v>
      </c>
      <c r="CO268" s="72">
        <f t="shared" si="498"/>
        <v>735</v>
      </c>
      <c r="CP268" s="72">
        <f t="shared" si="499"/>
        <v>761</v>
      </c>
      <c r="CQ268" s="72">
        <f t="shared" si="500"/>
        <v>794</v>
      </c>
      <c r="CR268" s="72">
        <f t="shared" si="501"/>
        <v>828</v>
      </c>
      <c r="CS268" s="72">
        <f t="shared" si="502"/>
        <v>840</v>
      </c>
      <c r="CT268" s="23">
        <f t="shared" si="503"/>
        <v>1</v>
      </c>
    </row>
    <row r="269" spans="1:1030" x14ac:dyDescent="0.2">
      <c r="A269" s="3" t="str">
        <f t="shared" si="504"/>
        <v>grm5_human_4OO9</v>
      </c>
      <c r="B269" s="3" t="s">
        <v>41</v>
      </c>
      <c r="C269" s="3" t="s">
        <v>57</v>
      </c>
      <c r="D269" s="3" t="str">
        <f>IFERROR(MID(VLOOKUP($B269,Seqs!$A:$B,2,0),E269,1),"")</f>
        <v>P</v>
      </c>
      <c r="E269" s="3">
        <v>578</v>
      </c>
      <c r="F269" s="3" t="str">
        <f>IFERROR(MID(VLOOKUP($B269,Seqs!$A:$B,2,0),G269,1),"")</f>
        <v>Y</v>
      </c>
      <c r="G269" s="3">
        <v>604</v>
      </c>
      <c r="H269" s="3" t="str">
        <f>IFERROR(MID(VLOOKUP($B269,Seqs!$A:$B,2,0),I269,1),"")</f>
        <v>T</v>
      </c>
      <c r="I269" s="23">
        <v>607</v>
      </c>
      <c r="J269" s="3" t="str">
        <f>IFERROR(MID(VLOOKUP($B269,Seqs!$A:$B,2,0),K269,1),"")</f>
        <v>S</v>
      </c>
      <c r="K269" s="23">
        <v>613</v>
      </c>
      <c r="L269" s="3" t="str">
        <f>IFERROR(MID(VLOOKUP($B269,Seqs!$A:$B,2,0),M269,1),"")</f>
        <v>S</v>
      </c>
      <c r="M269" s="3">
        <v>614</v>
      </c>
      <c r="N269" s="3" t="str">
        <f>IFERROR(MID(VLOOKUP($B269,Seqs!$A:$B,2,0),O269,1),"")</f>
        <v>I</v>
      </c>
      <c r="O269" s="3">
        <v>636</v>
      </c>
      <c r="P269" s="3" t="str">
        <f>IFERROR(MID(VLOOKUP($B269,Seqs!$A:$B,2,0),Q269,1),"")</f>
        <v/>
      </c>
      <c r="Q269" s="3" t="s">
        <v>23</v>
      </c>
      <c r="R269" s="3" t="str">
        <f>IFERROR(MID(VLOOKUP($B269,Seqs!$A:$B,2,0),S269,1),"")</f>
        <v/>
      </c>
      <c r="S269" s="3" t="s">
        <v>23</v>
      </c>
      <c r="T269" s="3" t="str">
        <f>IFERROR(MID(VLOOKUP($B269,Seqs!$A:$B,2,0),U269,1),"")</f>
        <v>Q</v>
      </c>
      <c r="U269" s="3">
        <v>641</v>
      </c>
      <c r="V269" s="3" t="str">
        <f>IFERROR(MID(VLOOKUP($B269,Seqs!$A:$B,2,0),W269,1),"")</f>
        <v>K</v>
      </c>
      <c r="W269" s="3">
        <v>678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S</v>
      </c>
      <c r="AC269" s="9">
        <v>689</v>
      </c>
      <c r="AD269" s="3" t="str">
        <f>IFERROR(MID(VLOOKUP($B269,Seqs!$A:$B,2,0),AE269,1),"")</f>
        <v>E</v>
      </c>
      <c r="AE269" s="3">
        <v>715</v>
      </c>
      <c r="AF269" s="3" t="str">
        <f>IFERROR(MID(VLOOKUP($B269,Seqs!$A:$B,2,0),AG269,1),"")</f>
        <v>C</v>
      </c>
      <c r="AG269" s="3">
        <v>733</v>
      </c>
      <c r="AH269" s="3" t="str">
        <f>IFERROR(MID(VLOOKUP($B269,Seqs!$A:$B,2,0),AI269,1),"")</f>
        <v>T</v>
      </c>
      <c r="AI269" s="3">
        <v>735</v>
      </c>
      <c r="AJ269" s="3" t="str">
        <f>IFERROR(MID(VLOOKUP($B269,Seqs!$A:$B,2,0),AK269,1),"")</f>
        <v>N</v>
      </c>
      <c r="AK269" s="3">
        <v>737</v>
      </c>
      <c r="AL269" s="3" t="str">
        <f>IFERROR(MID(VLOOKUP($B269,Seqs!$A:$B,2,0),AM269,1),"")</f>
        <v>T</v>
      </c>
      <c r="AM269" s="3">
        <v>761</v>
      </c>
      <c r="AN269" s="3" t="str">
        <f>IFERROR(MID(VLOOKUP($B269,Seqs!$A:$B,2,0),AO269,1),"")</f>
        <v>E</v>
      </c>
      <c r="AO269" s="3">
        <v>770</v>
      </c>
      <c r="AP269" s="3" t="str">
        <f>IFERROR(MID(VLOOKUP($B269,Seqs!$A:$B,2,0),AQ269,1),"")</f>
        <v>G</v>
      </c>
      <c r="AQ269" s="3">
        <v>794</v>
      </c>
      <c r="AR269" s="3" t="str">
        <f>IFERROR(MID(VLOOKUP($B269,Seqs!$A:$B,2,0),AS269,1),"")</f>
        <v>Y</v>
      </c>
      <c r="AS269" s="105">
        <v>797</v>
      </c>
      <c r="AT269" s="3" t="str">
        <f>IFERROR(MID(VLOOKUP($B269,Seqs!$A:$B,2,0),AU269,1),"")</f>
        <v>K</v>
      </c>
      <c r="AU269" s="3">
        <v>828</v>
      </c>
      <c r="AV269" s="3" t="str">
        <f>IFERROR(MID(VLOOKUP($B269,Seqs!$A:$B,2,0),AW269,1),"")</f>
        <v>P</v>
      </c>
      <c r="AW269" s="3">
        <v>829</v>
      </c>
      <c r="AX269" s="3" t="str">
        <f>IFERROR(MID(VLOOKUP($B269,Seqs!$A:$B,2,0),AY269,1),"")</f>
        <v>N</v>
      </c>
      <c r="AY269" s="3">
        <v>832</v>
      </c>
      <c r="AZ269" s="77" t="str">
        <f>VLOOKUP(B269,Classification!A:D,2,0)</f>
        <v>C</v>
      </c>
      <c r="BA269" s="94" t="str">
        <f>VLOOKUP(B269,Classification!A:D,4,0)</f>
        <v>Metabotropicglutamate</v>
      </c>
      <c r="BB269" s="27" t="b">
        <f t="shared" si="505"/>
        <v>1</v>
      </c>
      <c r="BC269" s="23">
        <f t="shared" si="478"/>
        <v>213</v>
      </c>
      <c r="BD269" s="106" t="s">
        <v>1383</v>
      </c>
      <c r="BE269" s="3" t="s">
        <v>1381</v>
      </c>
      <c r="BF269" s="119">
        <v>2.6</v>
      </c>
      <c r="BG269" s="49" t="s">
        <v>1384</v>
      </c>
      <c r="BH269" s="49" t="s">
        <v>1384</v>
      </c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si="479"/>
        <v>578</v>
      </c>
      <c r="BW269" s="71">
        <f t="shared" si="480"/>
        <v>607</v>
      </c>
      <c r="BX269" s="72">
        <f t="shared" si="481"/>
        <v>614</v>
      </c>
      <c r="BY269" s="71" t="str">
        <f t="shared" si="482"/>
        <v>-</v>
      </c>
      <c r="BZ269" s="72">
        <f t="shared" si="483"/>
        <v>641</v>
      </c>
      <c r="CA269" s="71" t="str">
        <f t="shared" si="484"/>
        <v>-</v>
      </c>
      <c r="CB269" s="72">
        <f t="shared" si="485"/>
        <v>689</v>
      </c>
      <c r="CC269" s="71">
        <f t="shared" si="486"/>
        <v>733</v>
      </c>
      <c r="CD269" s="72">
        <f t="shared" si="487"/>
        <v>737</v>
      </c>
      <c r="CE269" s="71">
        <f t="shared" si="488"/>
        <v>770</v>
      </c>
      <c r="CF269" s="72">
        <f t="shared" si="489"/>
        <v>797</v>
      </c>
      <c r="CG269" s="71">
        <f t="shared" si="490"/>
        <v>829</v>
      </c>
      <c r="CH269" s="70">
        <f t="shared" si="491"/>
        <v>604</v>
      </c>
      <c r="CI269" s="71">
        <f t="shared" si="492"/>
        <v>613</v>
      </c>
      <c r="CJ269" s="72">
        <f t="shared" si="493"/>
        <v>636</v>
      </c>
      <c r="CK269" s="72" t="str">
        <f t="shared" si="494"/>
        <v>-</v>
      </c>
      <c r="CL269" s="72">
        <f t="shared" si="495"/>
        <v>678</v>
      </c>
      <c r="CM269" s="72" t="str">
        <f t="shared" si="496"/>
        <v>-</v>
      </c>
      <c r="CN269" s="72">
        <f t="shared" si="497"/>
        <v>715</v>
      </c>
      <c r="CO269" s="72">
        <f t="shared" si="498"/>
        <v>735</v>
      </c>
      <c r="CP269" s="72">
        <f t="shared" si="499"/>
        <v>761</v>
      </c>
      <c r="CQ269" s="72">
        <f t="shared" si="500"/>
        <v>794</v>
      </c>
      <c r="CR269" s="72">
        <f t="shared" si="501"/>
        <v>828</v>
      </c>
      <c r="CS269" s="72">
        <f t="shared" si="502"/>
        <v>832</v>
      </c>
      <c r="CT269" s="23">
        <f t="shared" si="503"/>
        <v>1</v>
      </c>
    </row>
    <row r="270" spans="1:1030" x14ac:dyDescent="0.2">
      <c r="A270" s="3" t="str">
        <f t="shared" si="504"/>
        <v>grm5_human_5CGC</v>
      </c>
      <c r="B270" s="3" t="s">
        <v>41</v>
      </c>
      <c r="C270" s="3" t="s">
        <v>58</v>
      </c>
      <c r="D270" s="3" t="str">
        <f>IFERROR(MID(VLOOKUP($B270,Seqs!$A:$B,2,0),E270,1),"")</f>
        <v>P</v>
      </c>
      <c r="E270" s="3">
        <v>578</v>
      </c>
      <c r="F270" s="3" t="str">
        <f>IFERROR(MID(VLOOKUP($B270,Seqs!$A:$B,2,0),G270,1),"")</f>
        <v>Y</v>
      </c>
      <c r="G270" s="3">
        <v>604</v>
      </c>
      <c r="H270" s="3" t="str">
        <f>IFERROR(MID(VLOOKUP($B270,Seqs!$A:$B,2,0),I270,1),"")</f>
        <v>T</v>
      </c>
      <c r="I270" s="23">
        <v>607</v>
      </c>
      <c r="J270" s="3" t="str">
        <f>IFERROR(MID(VLOOKUP($B270,Seqs!$A:$B,2,0),K270,1),"")</f>
        <v>S</v>
      </c>
      <c r="K270" s="23">
        <v>613</v>
      </c>
      <c r="L270" s="3" t="str">
        <f>IFERROR(MID(VLOOKUP($B270,Seqs!$A:$B,2,0),M270,1),"")</f>
        <v>S</v>
      </c>
      <c r="M270" s="3">
        <v>614</v>
      </c>
      <c r="N270" s="3" t="str">
        <f>IFERROR(MID(VLOOKUP($B270,Seqs!$A:$B,2,0),O270,1),"")</f>
        <v>I</v>
      </c>
      <c r="O270" s="3">
        <v>636</v>
      </c>
      <c r="P270" s="3" t="str">
        <f>IFERROR(MID(VLOOKUP($B270,Seqs!$A:$B,2,0),Q270,1),"")</f>
        <v/>
      </c>
      <c r="Q270" s="3" t="s">
        <v>23</v>
      </c>
      <c r="R270" s="3" t="str">
        <f>IFERROR(MID(VLOOKUP($B270,Seqs!$A:$B,2,0),S270,1),"")</f>
        <v/>
      </c>
      <c r="S270" s="3" t="s">
        <v>23</v>
      </c>
      <c r="T270" s="3" t="str">
        <f>IFERROR(MID(VLOOKUP($B270,Seqs!$A:$B,2,0),U270,1),"")</f>
        <v>Q</v>
      </c>
      <c r="U270" s="3">
        <v>641</v>
      </c>
      <c r="V270" s="3" t="str">
        <f>IFERROR(MID(VLOOKUP($B270,Seqs!$A:$B,2,0),W270,1),"")</f>
        <v>K</v>
      </c>
      <c r="W270" s="3">
        <v>678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S</v>
      </c>
      <c r="AC270" s="9">
        <v>689</v>
      </c>
      <c r="AD270" s="3" t="str">
        <f>IFERROR(MID(VLOOKUP($B270,Seqs!$A:$B,2,0),AE270,1),"")</f>
        <v>E</v>
      </c>
      <c r="AE270" s="3">
        <v>715</v>
      </c>
      <c r="AF270" s="3" t="str">
        <f>IFERROR(MID(VLOOKUP($B270,Seqs!$A:$B,2,0),AG270,1),"")</f>
        <v>C</v>
      </c>
      <c r="AG270" s="3">
        <v>733</v>
      </c>
      <c r="AH270" s="3" t="str">
        <f>IFERROR(MID(VLOOKUP($B270,Seqs!$A:$B,2,0),AI270,1),"")</f>
        <v>T</v>
      </c>
      <c r="AI270" s="3">
        <v>735</v>
      </c>
      <c r="AJ270" s="3" t="str">
        <f>IFERROR(MID(VLOOKUP($B270,Seqs!$A:$B,2,0),AK270,1),"")</f>
        <v>N</v>
      </c>
      <c r="AK270" s="3">
        <v>737</v>
      </c>
      <c r="AL270" s="3" t="str">
        <f>IFERROR(MID(VLOOKUP($B270,Seqs!$A:$B,2,0),AM270,1),"")</f>
        <v>T</v>
      </c>
      <c r="AM270" s="3">
        <v>761</v>
      </c>
      <c r="AN270" s="3" t="str">
        <f>IFERROR(MID(VLOOKUP($B270,Seqs!$A:$B,2,0),AO270,1),"")</f>
        <v>E</v>
      </c>
      <c r="AO270" s="3">
        <v>770</v>
      </c>
      <c r="AP270" s="3" t="str">
        <f>IFERROR(MID(VLOOKUP($B270,Seqs!$A:$B,2,0),AQ270,1),"")</f>
        <v>G</v>
      </c>
      <c r="AQ270" s="3">
        <v>794</v>
      </c>
      <c r="AR270" s="3" t="str">
        <f>IFERROR(MID(VLOOKUP($B270,Seqs!$A:$B,2,0),AS270,1),"")</f>
        <v>Y</v>
      </c>
      <c r="AS270" s="105">
        <v>797</v>
      </c>
      <c r="AT270" s="3" t="str">
        <f>IFERROR(MID(VLOOKUP($B270,Seqs!$A:$B,2,0),AU270,1),"")</f>
        <v>K</v>
      </c>
      <c r="AU270" s="3">
        <v>828</v>
      </c>
      <c r="AV270" s="3" t="str">
        <f>IFERROR(MID(VLOOKUP($B270,Seqs!$A:$B,2,0),AW270,1),"")</f>
        <v>P</v>
      </c>
      <c r="AW270" s="3">
        <v>829</v>
      </c>
      <c r="AX270" s="3" t="str">
        <f>IFERROR(MID(VLOOKUP($B270,Seqs!$A:$B,2,0),AY270,1),"")</f>
        <v>N</v>
      </c>
      <c r="AY270" s="3">
        <v>832</v>
      </c>
      <c r="AZ270" s="77" t="str">
        <f>VLOOKUP(B270,Classification!A:D,2,0)</f>
        <v>C</v>
      </c>
      <c r="BA270" s="94" t="str">
        <f>VLOOKUP(B270,Classification!A:D,4,0)</f>
        <v>Metabotropicglutamate</v>
      </c>
      <c r="BB270" s="27" t="b">
        <f t="shared" si="505"/>
        <v>1</v>
      </c>
      <c r="BC270" s="23">
        <f t="shared" si="478"/>
        <v>213</v>
      </c>
      <c r="BD270" s="4" t="s">
        <v>23</v>
      </c>
      <c r="BE270" s="3" t="s">
        <v>1381</v>
      </c>
      <c r="BF270" s="119">
        <v>3.1</v>
      </c>
      <c r="BG270" s="49" t="s">
        <v>1384</v>
      </c>
      <c r="BH270" s="49" t="s">
        <v>1384</v>
      </c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479"/>
        <v>578</v>
      </c>
      <c r="BW270" s="71">
        <f t="shared" si="480"/>
        <v>607</v>
      </c>
      <c r="BX270" s="72">
        <f t="shared" si="481"/>
        <v>614</v>
      </c>
      <c r="BY270" s="71" t="str">
        <f t="shared" si="482"/>
        <v>-</v>
      </c>
      <c r="BZ270" s="72">
        <f t="shared" si="483"/>
        <v>641</v>
      </c>
      <c r="CA270" s="71" t="str">
        <f t="shared" si="484"/>
        <v>-</v>
      </c>
      <c r="CB270" s="72">
        <f t="shared" si="485"/>
        <v>689</v>
      </c>
      <c r="CC270" s="71">
        <f t="shared" si="486"/>
        <v>733</v>
      </c>
      <c r="CD270" s="72">
        <f t="shared" si="487"/>
        <v>737</v>
      </c>
      <c r="CE270" s="71">
        <f t="shared" si="488"/>
        <v>770</v>
      </c>
      <c r="CF270" s="72">
        <f t="shared" si="489"/>
        <v>797</v>
      </c>
      <c r="CG270" s="71">
        <f t="shared" si="490"/>
        <v>829</v>
      </c>
      <c r="CH270" s="70">
        <f t="shared" si="491"/>
        <v>604</v>
      </c>
      <c r="CI270" s="71">
        <f t="shared" si="492"/>
        <v>613</v>
      </c>
      <c r="CJ270" s="72">
        <f t="shared" si="493"/>
        <v>636</v>
      </c>
      <c r="CK270" s="72" t="str">
        <f t="shared" si="494"/>
        <v>-</v>
      </c>
      <c r="CL270" s="72">
        <f t="shared" si="495"/>
        <v>678</v>
      </c>
      <c r="CM270" s="72" t="str">
        <f t="shared" si="496"/>
        <v>-</v>
      </c>
      <c r="CN270" s="72">
        <f t="shared" si="497"/>
        <v>715</v>
      </c>
      <c r="CO270" s="72">
        <f t="shared" si="498"/>
        <v>735</v>
      </c>
      <c r="CP270" s="72">
        <f t="shared" si="499"/>
        <v>761</v>
      </c>
      <c r="CQ270" s="72">
        <f t="shared" si="500"/>
        <v>794</v>
      </c>
      <c r="CR270" s="72">
        <f t="shared" si="501"/>
        <v>828</v>
      </c>
      <c r="CS270" s="72">
        <f t="shared" si="502"/>
        <v>832</v>
      </c>
      <c r="CT270" s="23">
        <f t="shared" si="503"/>
        <v>1</v>
      </c>
    </row>
    <row r="271" spans="1:1030" x14ac:dyDescent="0.2">
      <c r="A271" s="3" t="str">
        <f t="shared" si="504"/>
        <v>grm5_human_5CGD</v>
      </c>
      <c r="B271" s="3" t="s">
        <v>41</v>
      </c>
      <c r="C271" s="3" t="s">
        <v>59</v>
      </c>
      <c r="D271" s="3" t="str">
        <f>IFERROR(MID(VLOOKUP($B271,Seqs!$A:$B,2,0),E271,1),"")</f>
        <v>P</v>
      </c>
      <c r="E271" s="3">
        <v>578</v>
      </c>
      <c r="F271" s="3" t="str">
        <f>IFERROR(MID(VLOOKUP($B271,Seqs!$A:$B,2,0),G271,1),"")</f>
        <v>Y</v>
      </c>
      <c r="G271" s="3">
        <v>604</v>
      </c>
      <c r="H271" s="3" t="str">
        <f>IFERROR(MID(VLOOKUP($B271,Seqs!$A:$B,2,0),I271,1),"")</f>
        <v>T</v>
      </c>
      <c r="I271" s="23">
        <v>607</v>
      </c>
      <c r="J271" s="3" t="str">
        <f>IFERROR(MID(VLOOKUP($B271,Seqs!$A:$B,2,0),K271,1),"")</f>
        <v>S</v>
      </c>
      <c r="K271" s="23">
        <v>613</v>
      </c>
      <c r="L271" s="3" t="str">
        <f>IFERROR(MID(VLOOKUP($B271,Seqs!$A:$B,2,0),M271,1),"")</f>
        <v>S</v>
      </c>
      <c r="M271" s="3">
        <v>614</v>
      </c>
      <c r="N271" s="3" t="str">
        <f>IFERROR(MID(VLOOKUP($B271,Seqs!$A:$B,2,0),O271,1),"")</f>
        <v>I</v>
      </c>
      <c r="O271" s="3">
        <v>636</v>
      </c>
      <c r="P271" s="3" t="str">
        <f>IFERROR(MID(VLOOKUP($B271,Seqs!$A:$B,2,0),Q271,1),"")</f>
        <v/>
      </c>
      <c r="Q271" s="3" t="s">
        <v>23</v>
      </c>
      <c r="R271" s="3" t="str">
        <f>IFERROR(MID(VLOOKUP($B271,Seqs!$A:$B,2,0),S271,1),"")</f>
        <v/>
      </c>
      <c r="S271" s="3" t="s">
        <v>23</v>
      </c>
      <c r="T271" s="3" t="str">
        <f>IFERROR(MID(VLOOKUP($B271,Seqs!$A:$B,2,0),U271,1),"")</f>
        <v>Q</v>
      </c>
      <c r="U271" s="3">
        <v>641</v>
      </c>
      <c r="V271" s="3" t="str">
        <f>IFERROR(MID(VLOOKUP($B271,Seqs!$A:$B,2,0),W271,1),"")</f>
        <v>K</v>
      </c>
      <c r="W271" s="3">
        <v>678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S</v>
      </c>
      <c r="AC271" s="9">
        <v>689</v>
      </c>
      <c r="AD271" s="3" t="str">
        <f>IFERROR(MID(VLOOKUP($B271,Seqs!$A:$B,2,0),AE271,1),"")</f>
        <v>E</v>
      </c>
      <c r="AE271" s="3">
        <v>715</v>
      </c>
      <c r="AF271" s="3" t="str">
        <f>IFERROR(MID(VLOOKUP($B271,Seqs!$A:$B,2,0),AG271,1),"")</f>
        <v>C</v>
      </c>
      <c r="AG271" s="3">
        <v>733</v>
      </c>
      <c r="AH271" s="3" t="str">
        <f>IFERROR(MID(VLOOKUP($B271,Seqs!$A:$B,2,0),AI271,1),"")</f>
        <v>T</v>
      </c>
      <c r="AI271" s="3">
        <v>735</v>
      </c>
      <c r="AJ271" s="3" t="str">
        <f>IFERROR(MID(VLOOKUP($B271,Seqs!$A:$B,2,0),AK271,1),"")</f>
        <v>N</v>
      </c>
      <c r="AK271" s="3">
        <v>737</v>
      </c>
      <c r="AL271" s="3" t="str">
        <f>IFERROR(MID(VLOOKUP($B271,Seqs!$A:$B,2,0),AM271,1),"")</f>
        <v>T</v>
      </c>
      <c r="AM271" s="3">
        <v>761</v>
      </c>
      <c r="AN271" s="3" t="str">
        <f>IFERROR(MID(VLOOKUP($B271,Seqs!$A:$B,2,0),AO271,1),"")</f>
        <v>E</v>
      </c>
      <c r="AO271" s="3">
        <v>770</v>
      </c>
      <c r="AP271" s="3" t="str">
        <f>IFERROR(MID(VLOOKUP($B271,Seqs!$A:$B,2,0),AQ271,1),"")</f>
        <v>G</v>
      </c>
      <c r="AQ271" s="3">
        <v>794</v>
      </c>
      <c r="AR271" s="3" t="str">
        <f>IFERROR(MID(VLOOKUP($B271,Seqs!$A:$B,2,0),AS271,1),"")</f>
        <v>Y</v>
      </c>
      <c r="AS271" s="105">
        <v>797</v>
      </c>
      <c r="AT271" s="3" t="str">
        <f>IFERROR(MID(VLOOKUP($B271,Seqs!$A:$B,2,0),AU271,1),"")</f>
        <v>K</v>
      </c>
      <c r="AU271" s="3">
        <v>828</v>
      </c>
      <c r="AV271" s="3" t="str">
        <f>IFERROR(MID(VLOOKUP($B271,Seqs!$A:$B,2,0),AW271,1),"")</f>
        <v>P</v>
      </c>
      <c r="AW271" s="3">
        <v>829</v>
      </c>
      <c r="AX271" s="3" t="str">
        <f>IFERROR(MID(VLOOKUP($B271,Seqs!$A:$B,2,0),AY271,1),"")</f>
        <v>R</v>
      </c>
      <c r="AY271" s="3">
        <v>831</v>
      </c>
      <c r="AZ271" s="77" t="str">
        <f>VLOOKUP(B271,Classification!A:D,2,0)</f>
        <v>C</v>
      </c>
      <c r="BA271" s="94" t="str">
        <f>VLOOKUP(B271,Classification!A:D,4,0)</f>
        <v>Metabotropicglutamate</v>
      </c>
      <c r="BB271" s="27" t="b">
        <f t="shared" si="505"/>
        <v>1</v>
      </c>
      <c r="BC271" s="23">
        <f t="shared" si="478"/>
        <v>212</v>
      </c>
      <c r="BD271" s="4" t="s">
        <v>23</v>
      </c>
      <c r="BE271" s="3" t="s">
        <v>1381</v>
      </c>
      <c r="BF271" s="119">
        <v>2.6</v>
      </c>
      <c r="BG271" s="49" t="s">
        <v>1384</v>
      </c>
      <c r="BH271" s="49" t="s">
        <v>1384</v>
      </c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479"/>
        <v>578</v>
      </c>
      <c r="BW271" s="71">
        <f t="shared" si="480"/>
        <v>607</v>
      </c>
      <c r="BX271" s="72">
        <f t="shared" si="481"/>
        <v>614</v>
      </c>
      <c r="BY271" s="71" t="str">
        <f t="shared" si="482"/>
        <v>-</v>
      </c>
      <c r="BZ271" s="72">
        <f t="shared" si="483"/>
        <v>641</v>
      </c>
      <c r="CA271" s="71" t="str">
        <f t="shared" si="484"/>
        <v>-</v>
      </c>
      <c r="CB271" s="72">
        <f t="shared" si="485"/>
        <v>689</v>
      </c>
      <c r="CC271" s="71">
        <f t="shared" si="486"/>
        <v>733</v>
      </c>
      <c r="CD271" s="72">
        <f t="shared" si="487"/>
        <v>737</v>
      </c>
      <c r="CE271" s="71">
        <f t="shared" si="488"/>
        <v>770</v>
      </c>
      <c r="CF271" s="72">
        <f t="shared" si="489"/>
        <v>797</v>
      </c>
      <c r="CG271" s="71">
        <f t="shared" si="490"/>
        <v>829</v>
      </c>
      <c r="CH271" s="70">
        <f t="shared" si="491"/>
        <v>604</v>
      </c>
      <c r="CI271" s="71">
        <f t="shared" si="492"/>
        <v>613</v>
      </c>
      <c r="CJ271" s="72">
        <f t="shared" si="493"/>
        <v>636</v>
      </c>
      <c r="CK271" s="72" t="str">
        <f t="shared" si="494"/>
        <v>-</v>
      </c>
      <c r="CL271" s="72">
        <f t="shared" si="495"/>
        <v>678</v>
      </c>
      <c r="CM271" s="72" t="str">
        <f t="shared" si="496"/>
        <v>-</v>
      </c>
      <c r="CN271" s="72">
        <f t="shared" si="497"/>
        <v>715</v>
      </c>
      <c r="CO271" s="72">
        <f t="shared" si="498"/>
        <v>735</v>
      </c>
      <c r="CP271" s="72">
        <f t="shared" si="499"/>
        <v>761</v>
      </c>
      <c r="CQ271" s="72">
        <f t="shared" si="500"/>
        <v>794</v>
      </c>
      <c r="CR271" s="72">
        <f t="shared" si="501"/>
        <v>828</v>
      </c>
      <c r="CS271" s="72">
        <f t="shared" si="502"/>
        <v>831</v>
      </c>
      <c r="CT271" s="23">
        <f t="shared" si="503"/>
        <v>1</v>
      </c>
      <c r="AMP271" s="3"/>
    </row>
    <row r="272" spans="1:1030" s="12" customFormat="1" x14ac:dyDescent="0.2">
      <c r="A272" s="9" t="str">
        <f>CONCATENATE(B272,"_",C272)</f>
        <v>grm5_human_6FFH</v>
      </c>
      <c r="B272" s="9" t="s">
        <v>41</v>
      </c>
      <c r="C272" s="9" t="s">
        <v>1487</v>
      </c>
      <c r="D272" s="9" t="str">
        <f>IFERROR(MID(VLOOKUP($B272,Seqs!$A:$B,2,0),E272,1),"")</f>
        <v>P</v>
      </c>
      <c r="E272" s="9">
        <v>578</v>
      </c>
      <c r="F272" s="9" t="str">
        <f>IFERROR(MID(VLOOKUP($B272,Seqs!$A:$B,2,0),G272,1),"")</f>
        <v>Y</v>
      </c>
      <c r="G272" s="9">
        <v>604</v>
      </c>
      <c r="H272" s="9" t="str">
        <f>IFERROR(MID(VLOOKUP($B272,Seqs!$A:$B,2,0),I272,1),"")</f>
        <v>T</v>
      </c>
      <c r="I272" s="109">
        <v>607</v>
      </c>
      <c r="J272" s="9" t="str">
        <f>IFERROR(MID(VLOOKUP($B272,Seqs!$A:$B,2,0),K272,1),"")</f>
        <v>S</v>
      </c>
      <c r="K272" s="109">
        <v>613</v>
      </c>
      <c r="L272" s="9" t="str">
        <f>IFERROR(MID(VLOOKUP($B272,Seqs!$A:$B,2,0),M272,1),"")</f>
        <v>S</v>
      </c>
      <c r="M272" s="9">
        <v>614</v>
      </c>
      <c r="N272" s="9" t="str">
        <f>IFERROR(MID(VLOOKUP($B272,Seqs!$A:$B,2,0),O272,1),"")</f>
        <v>I</v>
      </c>
      <c r="O272" s="9">
        <v>636</v>
      </c>
      <c r="P272" s="9" t="str">
        <f>IFERROR(MID(VLOOKUP($B272,Seqs!$A:$B,2,0),Q272,1),"")</f>
        <v/>
      </c>
      <c r="Q272" s="9" t="s">
        <v>23</v>
      </c>
      <c r="R272" s="9" t="str">
        <f>IFERROR(MID(VLOOKUP($B272,Seqs!$A:$B,2,0),S272,1),"")</f>
        <v/>
      </c>
      <c r="S272" s="9" t="s">
        <v>23</v>
      </c>
      <c r="T272" s="9" t="str">
        <f>IFERROR(MID(VLOOKUP($B272,Seqs!$A:$B,2,0),U272,1),"")</f>
        <v>Q</v>
      </c>
      <c r="U272" s="9">
        <v>641</v>
      </c>
      <c r="V272" s="9" t="str">
        <f>IFERROR(MID(VLOOKUP($B272,Seqs!$A:$B,2,0),W272,1),"")</f>
        <v>K</v>
      </c>
      <c r="W272" s="9">
        <v>678</v>
      </c>
      <c r="X272" s="9" t="str">
        <f>IFERROR(MID(VLOOKUP($B272,Seqs!$A:$B,2,0),Y272,1),"")</f>
        <v/>
      </c>
      <c r="Y272" s="9" t="s">
        <v>23</v>
      </c>
      <c r="Z272" s="9" t="str">
        <f>IFERROR(MID(VLOOKUP($B272,Seqs!$A:$B,2,0),AA272,1),"")</f>
        <v/>
      </c>
      <c r="AA272" s="9" t="s">
        <v>23</v>
      </c>
      <c r="AB272" s="9" t="str">
        <f>IFERROR(MID(VLOOKUP($B272,Seqs!$A:$B,2,0),AC272,1),"")</f>
        <v>S</v>
      </c>
      <c r="AC272" s="9">
        <v>689</v>
      </c>
      <c r="AD272" s="9" t="str">
        <f>IFERROR(MID(VLOOKUP($B272,Seqs!$A:$B,2,0),AE272,1),"")</f>
        <v>E</v>
      </c>
      <c r="AE272" s="9">
        <v>715</v>
      </c>
      <c r="AF272" s="9" t="str">
        <f>IFERROR(MID(VLOOKUP($B272,Seqs!$A:$B,2,0),AG272,1),"")</f>
        <v>C</v>
      </c>
      <c r="AG272" s="9">
        <v>733</v>
      </c>
      <c r="AH272" s="9" t="str">
        <f>IFERROR(MID(VLOOKUP($B272,Seqs!$A:$B,2,0),AI272,1),"")</f>
        <v>T</v>
      </c>
      <c r="AI272" s="9">
        <v>735</v>
      </c>
      <c r="AJ272" s="9" t="str">
        <f>IFERROR(MID(VLOOKUP($B272,Seqs!$A:$B,2,0),AK272,1),"")</f>
        <v>T</v>
      </c>
      <c r="AK272" s="105">
        <v>736</v>
      </c>
      <c r="AL272" s="9" t="str">
        <f>IFERROR(MID(VLOOKUP($B272,Seqs!$A:$B,2,0),AM272,1),"")</f>
        <v>T</v>
      </c>
      <c r="AM272" s="9">
        <v>761</v>
      </c>
      <c r="AN272" s="9" t="str">
        <f>IFERROR(MID(VLOOKUP($B272,Seqs!$A:$B,2,0),AO272,1),"")</f>
        <v>E</v>
      </c>
      <c r="AO272" s="9">
        <v>770</v>
      </c>
      <c r="AP272" s="9" t="str">
        <f>IFERROR(MID(VLOOKUP($B272,Seqs!$A:$B,2,0),AQ272,1),"")</f>
        <v>G</v>
      </c>
      <c r="AQ272" s="9">
        <v>794</v>
      </c>
      <c r="AR272" s="9" t="str">
        <f>IFERROR(MID(VLOOKUP($B272,Seqs!$A:$B,2,0),AS272,1),"")</f>
        <v>Y</v>
      </c>
      <c r="AS272" s="105">
        <v>797</v>
      </c>
      <c r="AT272" s="9" t="str">
        <f>IFERROR(MID(VLOOKUP($B272,Seqs!$A:$B,2,0),AU272,1),"")</f>
        <v>K</v>
      </c>
      <c r="AU272" s="9">
        <v>828</v>
      </c>
      <c r="AV272" s="9" t="str">
        <f>IFERROR(MID(VLOOKUP($B272,Seqs!$A:$B,2,0),AW272,1),"")</f>
        <v>P</v>
      </c>
      <c r="AW272" s="9">
        <v>829</v>
      </c>
      <c r="AX272" s="9" t="str">
        <f>IFERROR(MID(VLOOKUP($B272,Seqs!$A:$B,2,0),AY272,1),"")</f>
        <v>N</v>
      </c>
      <c r="AY272" s="9">
        <v>832</v>
      </c>
      <c r="AZ272" s="110" t="str">
        <f>VLOOKUP(B272,Classification!A:D,2,0)</f>
        <v>C</v>
      </c>
      <c r="BA272" s="98" t="str">
        <f>VLOOKUP(B272,Classification!A:D,4,0)</f>
        <v>Metabotropicglutamate</v>
      </c>
      <c r="BB272" s="36" t="b">
        <f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109">
        <f>_xlfn.AGGREGATE(9,6,CH272:CS272)-_xlfn.AGGREGATE(9,6,BV272:CG272)+12</f>
        <v>214</v>
      </c>
      <c r="BD272" s="11" t="s">
        <v>23</v>
      </c>
      <c r="BE272" s="9" t="s">
        <v>1381</v>
      </c>
      <c r="BF272" s="120">
        <v>2.65</v>
      </c>
      <c r="BG272" s="51" t="s">
        <v>1</v>
      </c>
      <c r="BH272" s="51" t="s">
        <v>1</v>
      </c>
      <c r="BI272" s="9"/>
      <c r="BJ272" s="111" t="s">
        <v>1293</v>
      </c>
      <c r="BK272" s="112" t="s">
        <v>1293</v>
      </c>
      <c r="BL272" s="112" t="s">
        <v>1293</v>
      </c>
      <c r="BM272" s="112" t="s">
        <v>1293</v>
      </c>
      <c r="BN272" s="112" t="s">
        <v>1293</v>
      </c>
      <c r="BO272" s="112" t="s">
        <v>1293</v>
      </c>
      <c r="BP272" s="112" t="s">
        <v>1293</v>
      </c>
      <c r="BQ272" s="112" t="s">
        <v>1293</v>
      </c>
      <c r="BR272" s="112" t="s">
        <v>1293</v>
      </c>
      <c r="BS272" s="112" t="s">
        <v>1293</v>
      </c>
      <c r="BT272" s="112" t="s">
        <v>1293</v>
      </c>
      <c r="BU272" s="112" t="s">
        <v>1293</v>
      </c>
      <c r="BV272" s="111">
        <f>E272</f>
        <v>578</v>
      </c>
      <c r="BW272" s="113">
        <f>I272</f>
        <v>607</v>
      </c>
      <c r="BX272" s="114">
        <f>M272</f>
        <v>614</v>
      </c>
      <c r="BY272" s="113" t="str">
        <f>Q272</f>
        <v>-</v>
      </c>
      <c r="BZ272" s="114">
        <f>U272</f>
        <v>641</v>
      </c>
      <c r="CA272" s="113" t="str">
        <f>Y272</f>
        <v>-</v>
      </c>
      <c r="CB272" s="114">
        <f>AC272</f>
        <v>689</v>
      </c>
      <c r="CC272" s="113">
        <f>AG272</f>
        <v>733</v>
      </c>
      <c r="CD272" s="114">
        <f>AK272</f>
        <v>736</v>
      </c>
      <c r="CE272" s="113">
        <f>AO272</f>
        <v>770</v>
      </c>
      <c r="CF272" s="114">
        <f>AS272</f>
        <v>797</v>
      </c>
      <c r="CG272" s="113">
        <f>AW272</f>
        <v>829</v>
      </c>
      <c r="CH272" s="111">
        <f>G272</f>
        <v>604</v>
      </c>
      <c r="CI272" s="113">
        <f>K272</f>
        <v>613</v>
      </c>
      <c r="CJ272" s="114">
        <f>O272</f>
        <v>636</v>
      </c>
      <c r="CK272" s="114" t="str">
        <f>S272</f>
        <v>-</v>
      </c>
      <c r="CL272" s="114">
        <f>W272</f>
        <v>678</v>
      </c>
      <c r="CM272" s="114" t="str">
        <f>AA272</f>
        <v>-</v>
      </c>
      <c r="CN272" s="114">
        <f>AE272</f>
        <v>715</v>
      </c>
      <c r="CO272" s="114">
        <f>AI272</f>
        <v>735</v>
      </c>
      <c r="CP272" s="114">
        <f>AM272</f>
        <v>761</v>
      </c>
      <c r="CQ272" s="114">
        <f>AQ272</f>
        <v>794</v>
      </c>
      <c r="CR272" s="114">
        <f>AU272</f>
        <v>828</v>
      </c>
      <c r="CS272" s="114">
        <f>AY272</f>
        <v>832</v>
      </c>
      <c r="CT272" s="109">
        <f>M272-K272</f>
        <v>1</v>
      </c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  <c r="ZW272" s="9"/>
      <c r="ZX272" s="9"/>
      <c r="ZY272" s="9"/>
      <c r="ZZ272" s="9"/>
      <c r="AAA272" s="9"/>
      <c r="AAB272" s="9"/>
      <c r="AAC272" s="9"/>
      <c r="AAD272" s="9"/>
      <c r="AAE272" s="9"/>
      <c r="AAF272" s="9"/>
      <c r="AAG272" s="9"/>
      <c r="AAH272" s="9"/>
      <c r="AAI272" s="9"/>
      <c r="AAJ272" s="9"/>
      <c r="AAK272" s="9"/>
      <c r="AAL272" s="9"/>
      <c r="AAM272" s="9"/>
      <c r="AAN272" s="9"/>
      <c r="AAO272" s="9"/>
      <c r="AAP272" s="9"/>
      <c r="AAQ272" s="9"/>
      <c r="AAR272" s="9"/>
      <c r="AAS272" s="9"/>
      <c r="AAT272" s="9"/>
      <c r="AAU272" s="9"/>
      <c r="AAV272" s="9"/>
      <c r="AAW272" s="9"/>
      <c r="AAX272" s="9"/>
      <c r="AAY272" s="9"/>
      <c r="AAZ272" s="9"/>
      <c r="ABA272" s="9"/>
      <c r="ABB272" s="9"/>
      <c r="ABC272" s="9"/>
      <c r="ABD272" s="9"/>
      <c r="ABE272" s="9"/>
      <c r="ABF272" s="9"/>
      <c r="ABG272" s="9"/>
      <c r="ABH272" s="9"/>
      <c r="ABI272" s="9"/>
      <c r="ABJ272" s="9"/>
      <c r="ABK272" s="9"/>
      <c r="ABL272" s="9"/>
      <c r="ABM272" s="9"/>
      <c r="ABN272" s="9"/>
      <c r="ABO272" s="9"/>
      <c r="ABP272" s="9"/>
      <c r="ABQ272" s="9"/>
      <c r="ABR272" s="9"/>
      <c r="ABS272" s="9"/>
      <c r="ABT272" s="9"/>
      <c r="ABU272" s="9"/>
      <c r="ABV272" s="9"/>
      <c r="ABW272" s="9"/>
      <c r="ABX272" s="9"/>
      <c r="ABY272" s="9"/>
      <c r="ABZ272" s="9"/>
      <c r="ACA272" s="9"/>
      <c r="ACB272" s="9"/>
      <c r="ACC272" s="9"/>
      <c r="ACD272" s="9"/>
      <c r="ACE272" s="9"/>
      <c r="ACF272" s="9"/>
      <c r="ACG272" s="9"/>
      <c r="ACH272" s="9"/>
      <c r="ACI272" s="9"/>
      <c r="ACJ272" s="9"/>
      <c r="ACK272" s="9"/>
      <c r="ACL272" s="9"/>
      <c r="ACM272" s="9"/>
      <c r="ACN272" s="9"/>
      <c r="ACO272" s="9"/>
      <c r="ACP272" s="9"/>
      <c r="ACQ272" s="9"/>
      <c r="ACR272" s="9"/>
      <c r="ACS272" s="9"/>
      <c r="ACT272" s="9"/>
      <c r="ACU272" s="9"/>
      <c r="ACV272" s="9"/>
      <c r="ACW272" s="9"/>
      <c r="ACX272" s="9"/>
      <c r="ACY272" s="9"/>
      <c r="ACZ272" s="9"/>
      <c r="ADA272" s="9"/>
      <c r="ADB272" s="9"/>
      <c r="ADC272" s="9"/>
      <c r="ADD272" s="9"/>
      <c r="ADE272" s="9"/>
      <c r="ADF272" s="9"/>
      <c r="ADG272" s="9"/>
      <c r="ADH272" s="9"/>
      <c r="ADI272" s="9"/>
      <c r="ADJ272" s="9"/>
      <c r="ADK272" s="9"/>
      <c r="ADL272" s="9"/>
      <c r="ADM272" s="9"/>
      <c r="ADN272" s="9"/>
      <c r="ADO272" s="9"/>
      <c r="ADP272" s="9"/>
      <c r="ADQ272" s="9"/>
      <c r="ADR272" s="9"/>
      <c r="ADS272" s="9"/>
      <c r="ADT272" s="9"/>
      <c r="ADU272" s="9"/>
      <c r="ADV272" s="9"/>
      <c r="ADW272" s="9"/>
      <c r="ADX272" s="9"/>
      <c r="ADY272" s="9"/>
      <c r="ADZ272" s="9"/>
      <c r="AEA272" s="9"/>
      <c r="AEB272" s="9"/>
      <c r="AEC272" s="9"/>
      <c r="AED272" s="9"/>
      <c r="AEE272" s="9"/>
      <c r="AEF272" s="9"/>
      <c r="AEG272" s="9"/>
      <c r="AEH272" s="9"/>
      <c r="AEI272" s="9"/>
      <c r="AEJ272" s="9"/>
      <c r="AEK272" s="9"/>
      <c r="AEL272" s="9"/>
      <c r="AEM272" s="9"/>
      <c r="AEN272" s="9"/>
      <c r="AEO272" s="9"/>
      <c r="AEP272" s="9"/>
      <c r="AEQ272" s="9"/>
      <c r="AER272" s="9"/>
      <c r="AES272" s="9"/>
      <c r="AET272" s="9"/>
      <c r="AEU272" s="9"/>
      <c r="AEV272" s="9"/>
      <c r="AEW272" s="9"/>
      <c r="AEX272" s="9"/>
      <c r="AEY272" s="9"/>
      <c r="AEZ272" s="9"/>
      <c r="AFA272" s="9"/>
      <c r="AFB272" s="9"/>
      <c r="AFC272" s="9"/>
      <c r="AFD272" s="9"/>
      <c r="AFE272" s="9"/>
      <c r="AFF272" s="9"/>
      <c r="AFG272" s="9"/>
      <c r="AFH272" s="9"/>
      <c r="AFI272" s="9"/>
      <c r="AFJ272" s="9"/>
      <c r="AFK272" s="9"/>
      <c r="AFL272" s="9"/>
      <c r="AFM272" s="9"/>
      <c r="AFN272" s="9"/>
      <c r="AFO272" s="9"/>
      <c r="AFP272" s="9"/>
      <c r="AFQ272" s="9"/>
      <c r="AFR272" s="9"/>
      <c r="AFS272" s="9"/>
      <c r="AFT272" s="9"/>
      <c r="AFU272" s="9"/>
      <c r="AFV272" s="9"/>
      <c r="AFW272" s="9"/>
      <c r="AFX272" s="9"/>
      <c r="AFY272" s="9"/>
      <c r="AFZ272" s="9"/>
      <c r="AGA272" s="9"/>
      <c r="AGB272" s="9"/>
      <c r="AGC272" s="9"/>
      <c r="AGD272" s="9"/>
      <c r="AGE272" s="9"/>
      <c r="AGF272" s="9"/>
      <c r="AGG272" s="9"/>
      <c r="AGH272" s="9"/>
      <c r="AGI272" s="9"/>
      <c r="AGJ272" s="9"/>
      <c r="AGK272" s="9"/>
      <c r="AGL272" s="9"/>
      <c r="AGM272" s="9"/>
      <c r="AGN272" s="9"/>
      <c r="AGO272" s="9"/>
      <c r="AGP272" s="9"/>
      <c r="AGQ272" s="9"/>
      <c r="AGR272" s="9"/>
      <c r="AGS272" s="9"/>
      <c r="AGT272" s="9"/>
      <c r="AGU272" s="9"/>
      <c r="AGV272" s="9"/>
      <c r="AGW272" s="9"/>
      <c r="AGX272" s="9"/>
      <c r="AGY272" s="9"/>
      <c r="AGZ272" s="9"/>
      <c r="AHA272" s="9"/>
      <c r="AHB272" s="9"/>
      <c r="AHC272" s="9"/>
      <c r="AHD272" s="9"/>
      <c r="AHE272" s="9"/>
      <c r="AHF272" s="9"/>
      <c r="AHG272" s="9"/>
      <c r="AHH272" s="9"/>
      <c r="AHI272" s="9"/>
      <c r="AHJ272" s="9"/>
      <c r="AHK272" s="9"/>
      <c r="AHL272" s="9"/>
      <c r="AHM272" s="9"/>
      <c r="AHN272" s="9"/>
      <c r="AHO272" s="9"/>
      <c r="AHP272" s="9"/>
      <c r="AHQ272" s="9"/>
      <c r="AHR272" s="9"/>
      <c r="AHS272" s="9"/>
      <c r="AHT272" s="9"/>
      <c r="AHU272" s="9"/>
      <c r="AHV272" s="9"/>
      <c r="AHW272" s="9"/>
      <c r="AHX272" s="9"/>
      <c r="AHY272" s="9"/>
      <c r="AHZ272" s="9"/>
      <c r="AIA272" s="9"/>
      <c r="AIB272" s="9"/>
      <c r="AIC272" s="9"/>
      <c r="AID272" s="9"/>
      <c r="AIE272" s="9"/>
      <c r="AIF272" s="9"/>
      <c r="AIG272" s="9"/>
      <c r="AIH272" s="9"/>
      <c r="AII272" s="9"/>
      <c r="AIJ272" s="9"/>
      <c r="AIK272" s="9"/>
      <c r="AIL272" s="9"/>
      <c r="AIM272" s="9"/>
      <c r="AIN272" s="9"/>
      <c r="AIO272" s="9"/>
      <c r="AIP272" s="9"/>
      <c r="AIQ272" s="9"/>
      <c r="AIR272" s="9"/>
      <c r="AIS272" s="9"/>
      <c r="AIT272" s="9"/>
      <c r="AIU272" s="9"/>
      <c r="AIV272" s="9"/>
      <c r="AIW272" s="9"/>
      <c r="AIX272" s="9"/>
      <c r="AIY272" s="9"/>
      <c r="AIZ272" s="9"/>
      <c r="AJA272" s="9"/>
      <c r="AJB272" s="9"/>
      <c r="AJC272" s="9"/>
      <c r="AJD272" s="9"/>
      <c r="AJE272" s="9"/>
      <c r="AJF272" s="9"/>
      <c r="AJG272" s="9"/>
      <c r="AJH272" s="9"/>
      <c r="AJI272" s="9"/>
      <c r="AJJ272" s="9"/>
      <c r="AJK272" s="9"/>
      <c r="AJL272" s="9"/>
      <c r="AJM272" s="9"/>
      <c r="AJN272" s="9"/>
      <c r="AJO272" s="9"/>
      <c r="AJP272" s="9"/>
      <c r="AJQ272" s="9"/>
      <c r="AJR272" s="9"/>
      <c r="AJS272" s="9"/>
      <c r="AJT272" s="9"/>
      <c r="AJU272" s="9"/>
      <c r="AJV272" s="9"/>
      <c r="AJW272" s="9"/>
      <c r="AJX272" s="9"/>
      <c r="AJY272" s="9"/>
      <c r="AJZ272" s="9"/>
      <c r="AKA272" s="9"/>
      <c r="AKB272" s="9"/>
      <c r="AKC272" s="9"/>
      <c r="AKD272" s="9"/>
      <c r="AKE272" s="9"/>
      <c r="AKF272" s="9"/>
      <c r="AKG272" s="9"/>
      <c r="AKH272" s="9"/>
      <c r="AKI272" s="9"/>
      <c r="AKJ272" s="9"/>
      <c r="AKK272" s="9"/>
      <c r="AKL272" s="9"/>
      <c r="AKM272" s="9"/>
      <c r="AKN272" s="9"/>
      <c r="AKO272" s="9"/>
      <c r="AKP272" s="9"/>
      <c r="AKQ272" s="9"/>
      <c r="AKR272" s="9"/>
      <c r="AKS272" s="9"/>
      <c r="AKT272" s="9"/>
      <c r="AKU272" s="9"/>
      <c r="AKV272" s="9"/>
      <c r="AKW272" s="9"/>
      <c r="AKX272" s="9"/>
      <c r="AKY272" s="9"/>
      <c r="AKZ272" s="9"/>
      <c r="ALA272" s="9"/>
      <c r="ALB272" s="9"/>
      <c r="ALC272" s="9"/>
      <c r="ALD272" s="9"/>
      <c r="ALE272" s="9"/>
      <c r="ALF272" s="9"/>
      <c r="ALG272" s="9"/>
      <c r="ALH272" s="9"/>
      <c r="ALI272" s="9"/>
      <c r="ALJ272" s="9"/>
      <c r="ALK272" s="9"/>
      <c r="ALL272" s="9"/>
      <c r="ALM272" s="9"/>
      <c r="ALN272" s="9"/>
      <c r="ALO272" s="9"/>
      <c r="ALP272" s="9"/>
      <c r="ALQ272" s="9"/>
      <c r="ALR272" s="9"/>
      <c r="ALS272" s="9"/>
      <c r="ALT272" s="9"/>
      <c r="ALU272" s="9"/>
      <c r="ALV272" s="9"/>
      <c r="ALW272" s="9"/>
      <c r="ALX272" s="9"/>
      <c r="ALY272" s="9"/>
      <c r="ALZ272" s="9"/>
      <c r="AMA272" s="9"/>
      <c r="AMB272" s="9"/>
      <c r="AMC272" s="9"/>
      <c r="AMD272" s="9"/>
      <c r="AME272" s="9"/>
      <c r="AMF272" s="9"/>
      <c r="AMG272" s="9"/>
      <c r="AMH272" s="9"/>
      <c r="AMI272" s="9"/>
      <c r="AMJ272" s="9"/>
      <c r="AMK272" s="9"/>
      <c r="AML272" s="9"/>
      <c r="AMM272" s="9"/>
      <c r="AMN272" s="9"/>
      <c r="AMO272" s="9"/>
      <c r="AMP272" s="9"/>
    </row>
    <row r="273" spans="1:1030" s="12" customFormat="1" x14ac:dyDescent="0.2">
      <c r="A273" s="9" t="str">
        <f>CONCATENATE(B273,"_",C273)</f>
        <v>grm5_human_6FFI</v>
      </c>
      <c r="B273" s="9" t="s">
        <v>41</v>
      </c>
      <c r="C273" s="9" t="s">
        <v>1488</v>
      </c>
      <c r="D273" s="9" t="str">
        <f>IFERROR(MID(VLOOKUP($B273,Seqs!$A:$B,2,0),E273,1),"")</f>
        <v>P</v>
      </c>
      <c r="E273" s="9">
        <v>578</v>
      </c>
      <c r="F273" s="9" t="str">
        <f>IFERROR(MID(VLOOKUP($B273,Seqs!$A:$B,2,0),G273,1),"")</f>
        <v>Y</v>
      </c>
      <c r="G273" s="9">
        <v>604</v>
      </c>
      <c r="H273" s="9" t="str">
        <f>IFERROR(MID(VLOOKUP($B273,Seqs!$A:$B,2,0),I273,1),"")</f>
        <v>T</v>
      </c>
      <c r="I273" s="109">
        <v>607</v>
      </c>
      <c r="J273" s="9" t="str">
        <f>IFERROR(MID(VLOOKUP($B273,Seqs!$A:$B,2,0),K273,1),"")</f>
        <v>S</v>
      </c>
      <c r="K273" s="109">
        <v>613</v>
      </c>
      <c r="L273" s="9" t="str">
        <f>IFERROR(MID(VLOOKUP($B273,Seqs!$A:$B,2,0),M273,1),"")</f>
        <v>S</v>
      </c>
      <c r="M273" s="9">
        <v>614</v>
      </c>
      <c r="N273" s="9" t="str">
        <f>IFERROR(MID(VLOOKUP($B273,Seqs!$A:$B,2,0),O273,1),"")</f>
        <v>I</v>
      </c>
      <c r="O273" s="9">
        <v>636</v>
      </c>
      <c r="P273" s="9" t="str">
        <f>IFERROR(MID(VLOOKUP($B273,Seqs!$A:$B,2,0),Q273,1),"")</f>
        <v/>
      </c>
      <c r="Q273" s="9" t="s">
        <v>23</v>
      </c>
      <c r="R273" s="9" t="str">
        <f>IFERROR(MID(VLOOKUP($B273,Seqs!$A:$B,2,0),S273,1),"")</f>
        <v/>
      </c>
      <c r="S273" s="9" t="s">
        <v>23</v>
      </c>
      <c r="T273" s="9" t="str">
        <f>IFERROR(MID(VLOOKUP($B273,Seqs!$A:$B,2,0),U273,1),"")</f>
        <v>Q</v>
      </c>
      <c r="U273" s="9">
        <v>641</v>
      </c>
      <c r="V273" s="9" t="str">
        <f>IFERROR(MID(VLOOKUP($B273,Seqs!$A:$B,2,0),W273,1),"")</f>
        <v>K</v>
      </c>
      <c r="W273" s="9">
        <v>678</v>
      </c>
      <c r="X273" s="9" t="str">
        <f>IFERROR(MID(VLOOKUP($B273,Seqs!$A:$B,2,0),Y273,1),"")</f>
        <v/>
      </c>
      <c r="Y273" s="9" t="s">
        <v>23</v>
      </c>
      <c r="Z273" s="9" t="str">
        <f>IFERROR(MID(VLOOKUP($B273,Seqs!$A:$B,2,0),AA273,1),"")</f>
        <v/>
      </c>
      <c r="AA273" s="9" t="s">
        <v>23</v>
      </c>
      <c r="AB273" s="9" t="str">
        <f>IFERROR(MID(VLOOKUP($B273,Seqs!$A:$B,2,0),AC273,1),"")</f>
        <v>S</v>
      </c>
      <c r="AC273" s="9">
        <v>689</v>
      </c>
      <c r="AD273" s="9" t="str">
        <f>IFERROR(MID(VLOOKUP($B273,Seqs!$A:$B,2,0),AE273,1),"")</f>
        <v>E</v>
      </c>
      <c r="AE273" s="9">
        <v>715</v>
      </c>
      <c r="AF273" s="9" t="str">
        <f>IFERROR(MID(VLOOKUP($B273,Seqs!$A:$B,2,0),AG273,1),"")</f>
        <v>C</v>
      </c>
      <c r="AG273" s="9">
        <v>733</v>
      </c>
      <c r="AH273" s="9" t="str">
        <f>IFERROR(MID(VLOOKUP($B273,Seqs!$A:$B,2,0),AI273,1),"")</f>
        <v>T</v>
      </c>
      <c r="AI273" s="9">
        <v>735</v>
      </c>
      <c r="AJ273" s="9" t="str">
        <f>IFERROR(MID(VLOOKUP($B273,Seqs!$A:$B,2,0),AK273,1),"")</f>
        <v>T</v>
      </c>
      <c r="AK273" s="105">
        <v>736</v>
      </c>
      <c r="AL273" s="9" t="str">
        <f>IFERROR(MID(VLOOKUP($B273,Seqs!$A:$B,2,0),AM273,1),"")</f>
        <v>T</v>
      </c>
      <c r="AM273" s="9">
        <v>761</v>
      </c>
      <c r="AN273" s="9" t="str">
        <f>IFERROR(MID(VLOOKUP($B273,Seqs!$A:$B,2,0),AO273,1),"")</f>
        <v>E</v>
      </c>
      <c r="AO273" s="9">
        <v>770</v>
      </c>
      <c r="AP273" s="9" t="str">
        <f>IFERROR(MID(VLOOKUP($B273,Seqs!$A:$B,2,0),AQ273,1),"")</f>
        <v>G</v>
      </c>
      <c r="AQ273" s="9">
        <v>794</v>
      </c>
      <c r="AR273" s="9" t="str">
        <f>IFERROR(MID(VLOOKUP($B273,Seqs!$A:$B,2,0),AS273,1),"")</f>
        <v>Y</v>
      </c>
      <c r="AS273" s="105">
        <v>797</v>
      </c>
      <c r="AT273" s="9" t="str">
        <f>IFERROR(MID(VLOOKUP($B273,Seqs!$A:$B,2,0),AU273,1),"")</f>
        <v>K</v>
      </c>
      <c r="AU273" s="9">
        <v>828</v>
      </c>
      <c r="AV273" s="9" t="str">
        <f>IFERROR(MID(VLOOKUP($B273,Seqs!$A:$B,2,0),AW273,1),"")</f>
        <v>P</v>
      </c>
      <c r="AW273" s="9">
        <v>829</v>
      </c>
      <c r="AX273" s="9" t="str">
        <f>IFERROR(MID(VLOOKUP($B273,Seqs!$A:$B,2,0),AY273,1),"")</f>
        <v>N</v>
      </c>
      <c r="AY273" s="9">
        <v>832</v>
      </c>
      <c r="AZ273" s="110" t="str">
        <f>VLOOKUP(B273,Classification!A:D,2,0)</f>
        <v>C</v>
      </c>
      <c r="BA273" s="98" t="str">
        <f>VLOOKUP(B273,Classification!A:D,4,0)</f>
        <v>Metabotropicglutamate</v>
      </c>
      <c r="BB273" s="36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109">
        <f>_xlfn.AGGREGATE(9,6,CH273:CS273)-_xlfn.AGGREGATE(9,6,BV273:CG273)+12</f>
        <v>214</v>
      </c>
      <c r="BD273" s="11" t="s">
        <v>23</v>
      </c>
      <c r="BE273" s="9" t="s">
        <v>1381</v>
      </c>
      <c r="BF273" s="120">
        <v>2.2000000000000002</v>
      </c>
      <c r="BG273" s="51" t="s">
        <v>1</v>
      </c>
      <c r="BH273" s="51" t="s">
        <v>1</v>
      </c>
      <c r="BI273" s="9"/>
      <c r="BJ273" s="111" t="s">
        <v>1293</v>
      </c>
      <c r="BK273" s="112" t="s">
        <v>1293</v>
      </c>
      <c r="BL273" s="112" t="s">
        <v>1293</v>
      </c>
      <c r="BM273" s="112" t="s">
        <v>1293</v>
      </c>
      <c r="BN273" s="112" t="s">
        <v>1293</v>
      </c>
      <c r="BO273" s="112" t="s">
        <v>1293</v>
      </c>
      <c r="BP273" s="112" t="s">
        <v>1293</v>
      </c>
      <c r="BQ273" s="112" t="s">
        <v>1293</v>
      </c>
      <c r="BR273" s="112" t="s">
        <v>1293</v>
      </c>
      <c r="BS273" s="112" t="s">
        <v>1293</v>
      </c>
      <c r="BT273" s="112" t="s">
        <v>1293</v>
      </c>
      <c r="BU273" s="112" t="s">
        <v>1293</v>
      </c>
      <c r="BV273" s="111">
        <f>E273</f>
        <v>578</v>
      </c>
      <c r="BW273" s="113">
        <f>I273</f>
        <v>607</v>
      </c>
      <c r="BX273" s="114">
        <f>M273</f>
        <v>614</v>
      </c>
      <c r="BY273" s="113" t="str">
        <f>Q273</f>
        <v>-</v>
      </c>
      <c r="BZ273" s="114">
        <f>U273</f>
        <v>641</v>
      </c>
      <c r="CA273" s="113" t="str">
        <f>Y273</f>
        <v>-</v>
      </c>
      <c r="CB273" s="114">
        <f>AC273</f>
        <v>689</v>
      </c>
      <c r="CC273" s="113">
        <f>AG273</f>
        <v>733</v>
      </c>
      <c r="CD273" s="114">
        <f>AK273</f>
        <v>736</v>
      </c>
      <c r="CE273" s="113">
        <f>AO273</f>
        <v>770</v>
      </c>
      <c r="CF273" s="114">
        <f>AS273</f>
        <v>797</v>
      </c>
      <c r="CG273" s="113">
        <f>AW273</f>
        <v>829</v>
      </c>
      <c r="CH273" s="111">
        <f>G273</f>
        <v>604</v>
      </c>
      <c r="CI273" s="113">
        <f>K273</f>
        <v>613</v>
      </c>
      <c r="CJ273" s="114">
        <f>O273</f>
        <v>636</v>
      </c>
      <c r="CK273" s="114" t="str">
        <f>S273</f>
        <v>-</v>
      </c>
      <c r="CL273" s="114">
        <f>W273</f>
        <v>678</v>
      </c>
      <c r="CM273" s="114" t="str">
        <f>AA273</f>
        <v>-</v>
      </c>
      <c r="CN273" s="114">
        <f>AE273</f>
        <v>715</v>
      </c>
      <c r="CO273" s="114">
        <f>AI273</f>
        <v>735</v>
      </c>
      <c r="CP273" s="114">
        <f>AM273</f>
        <v>761</v>
      </c>
      <c r="CQ273" s="114">
        <f>AQ273</f>
        <v>794</v>
      </c>
      <c r="CR273" s="114">
        <f>AU273</f>
        <v>828</v>
      </c>
      <c r="CS273" s="114">
        <f>AY273</f>
        <v>832</v>
      </c>
      <c r="CT273" s="109">
        <f>M273-K273</f>
        <v>1</v>
      </c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  <c r="AMJ273" s="9"/>
      <c r="AMK273" s="9"/>
      <c r="AML273" s="9"/>
      <c r="AMM273" s="9"/>
      <c r="AMN273" s="9"/>
      <c r="AMO273" s="9"/>
      <c r="AMP273" s="9"/>
    </row>
    <row r="274" spans="1:1030" x14ac:dyDescent="0.2">
      <c r="A274" s="3" t="str">
        <f t="shared" si="504"/>
        <v>smo_human__wt</v>
      </c>
      <c r="B274" s="3" t="s">
        <v>33</v>
      </c>
      <c r="C274" s="3" t="s">
        <v>100</v>
      </c>
      <c r="D274" s="3" t="str">
        <f>IFERROR(MID(VLOOKUP($B274,Seqs!$A:$B,2,0),E274,1),"")</f>
        <v>T</v>
      </c>
      <c r="E274" s="105">
        <v>223</v>
      </c>
      <c r="F274" s="3" t="str">
        <f>IFERROR(MID(VLOOKUP($B274,Seqs!$A:$B,2,0),G274,1),"")</f>
        <v>D</v>
      </c>
      <c r="G274" s="3">
        <v>255</v>
      </c>
      <c r="H274" s="3" t="str">
        <f>IFERROR(MID(VLOOKUP($B274,Seqs!$A:$B,2,0),I274,1),"")</f>
        <v>W</v>
      </c>
      <c r="I274" s="23">
        <v>256</v>
      </c>
      <c r="J274" s="3" t="str">
        <f>IFERROR(MID(VLOOKUP($B274,Seqs!$A:$B,2,0),K274,1),"")</f>
        <v>N</v>
      </c>
      <c r="K274" s="23">
        <v>260</v>
      </c>
      <c r="L274" s="3" t="str">
        <f>IFERROR(MID(VLOOKUP($B274,Seqs!$A:$B,2,0),M274,1),"")</f>
        <v>R</v>
      </c>
      <c r="M274" s="3">
        <v>261</v>
      </c>
      <c r="N274" s="3" t="str">
        <f>IFERROR(MID(VLOOKUP($B274,Seqs!$A:$B,2,0),O274,1),"")</f>
        <v>F</v>
      </c>
      <c r="O274" s="3">
        <v>285</v>
      </c>
      <c r="P274" s="3" t="str">
        <f>IFERROR(MID(VLOOKUP($B274,Seqs!$A:$B,2,0),Q274,1),"")</f>
        <v/>
      </c>
      <c r="Q274" s="3" t="s">
        <v>23</v>
      </c>
      <c r="R274" s="3" t="str">
        <f>IFERROR(MID(VLOOKUP($B274,Seqs!$A:$B,2,0),S274,1),"")</f>
        <v/>
      </c>
      <c r="S274" s="3" t="s">
        <v>23</v>
      </c>
      <c r="T274" s="3" t="str">
        <f>IFERROR(MID(VLOOKUP($B274,Seqs!$A:$B,2,0),U274,1),"")</f>
        <v>L</v>
      </c>
      <c r="U274" s="3">
        <v>312</v>
      </c>
      <c r="V274" s="3" t="str">
        <f>IFERROR(MID(VLOOKUP($B274,Seqs!$A:$B,2,0),W274,1),"")</f>
        <v>T</v>
      </c>
      <c r="W274" s="3">
        <v>348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L</v>
      </c>
      <c r="AC274" s="9">
        <v>353</v>
      </c>
      <c r="AD274" s="3" t="str">
        <f>IFERROR(MID(VLOOKUP($B274,Seqs!$A:$B,2,0),AE274,1),"")</f>
        <v>V</v>
      </c>
      <c r="AE274" s="3">
        <v>378</v>
      </c>
      <c r="AF274" s="3" t="str">
        <f>IFERROR(MID(VLOOKUP($B274,Seqs!$A:$B,2,0),AG274,1),"")</f>
        <v>C</v>
      </c>
      <c r="AG274" s="3">
        <v>390</v>
      </c>
      <c r="AH274" s="3" t="str">
        <f>IFERROR(MID(VLOOKUP($B274,Seqs!$A:$B,2,0),AI274,1),"")</f>
        <v>V</v>
      </c>
      <c r="AI274" s="3">
        <v>392</v>
      </c>
      <c r="AJ274" s="3" t="str">
        <f>IFERROR(MID(VLOOKUP($B274,Seqs!$A:$B,2,0),AK274,1),"")</f>
        <v>N</v>
      </c>
      <c r="AK274" s="105">
        <v>396</v>
      </c>
      <c r="AL274" s="3" t="str">
        <f>IFERROR(MID(VLOOKUP($B274,Seqs!$A:$B,2,0),AM274,1),"")</f>
        <v>H</v>
      </c>
      <c r="AM274" s="3">
        <v>433</v>
      </c>
      <c r="AN274" s="3" t="str">
        <f>IFERROR(MID(VLOOKUP($B274,Seqs!$A:$B,2,0),AO274,1),"")</f>
        <v>A</v>
      </c>
      <c r="AO274" s="3">
        <v>442</v>
      </c>
      <c r="AP274" s="3" t="str">
        <f>IFERROR(MID(VLOOKUP($B274,Seqs!$A:$B,2,0),AQ274,1),"")</f>
        <v>I</v>
      </c>
      <c r="AQ274" s="3">
        <v>496</v>
      </c>
      <c r="AR274" s="3" t="str">
        <f>IFERROR(MID(VLOOKUP($B274,Seqs!$A:$B,2,0),AS274,1),"")</f>
        <v>S</v>
      </c>
      <c r="AS274" s="105">
        <v>514</v>
      </c>
      <c r="AT274" s="3" t="str">
        <f>IFERROR(MID(VLOOKUP($B274,Seqs!$A:$B,2,0),AU274,1),"")</f>
        <v>W</v>
      </c>
      <c r="AU274" s="3">
        <v>537</v>
      </c>
      <c r="AV274" s="3" t="str">
        <f>IFERROR(MID(VLOOKUP($B274,Seqs!$A:$B,2,0),AW274,1),"")</f>
        <v>T</v>
      </c>
      <c r="AW274" s="3">
        <v>538</v>
      </c>
      <c r="AX274" s="3" t="str">
        <f>IFERROR(MID(VLOOKUP($B274,Seqs!$A:$B,2,0),AY274,1),"")</f>
        <v>T</v>
      </c>
      <c r="AY274" s="3">
        <v>553</v>
      </c>
      <c r="AZ274" s="77" t="str">
        <f>VLOOKUP(B274,Classification!A:D,2,0)</f>
        <v>F</v>
      </c>
      <c r="BA274" s="94" t="str">
        <f>VLOOKUP(B274,Classification!A:D,4,0)</f>
        <v>Frizzled</v>
      </c>
      <c r="BB274" s="27" t="b">
        <f t="shared" si="505"/>
        <v>1</v>
      </c>
      <c r="BC274" s="23">
        <f t="shared" si="478"/>
        <v>264</v>
      </c>
      <c r="BD274" s="56" t="s">
        <v>1379</v>
      </c>
      <c r="BE274" s="3" t="s">
        <v>23</v>
      </c>
      <c r="BF274" s="119" t="s">
        <v>23</v>
      </c>
      <c r="BG274" s="49" t="s">
        <v>1379</v>
      </c>
      <c r="BH274" s="49" t="s">
        <v>1384</v>
      </c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479"/>
        <v>223</v>
      </c>
      <c r="BW274" s="71">
        <f t="shared" si="480"/>
        <v>256</v>
      </c>
      <c r="BX274" s="72">
        <f t="shared" si="481"/>
        <v>261</v>
      </c>
      <c r="BY274" s="71" t="str">
        <f t="shared" si="482"/>
        <v>-</v>
      </c>
      <c r="BZ274" s="72">
        <f t="shared" si="483"/>
        <v>312</v>
      </c>
      <c r="CA274" s="71" t="str">
        <f t="shared" si="484"/>
        <v>-</v>
      </c>
      <c r="CB274" s="72">
        <f t="shared" si="485"/>
        <v>353</v>
      </c>
      <c r="CC274" s="71">
        <f t="shared" si="486"/>
        <v>390</v>
      </c>
      <c r="CD274" s="72">
        <f t="shared" si="487"/>
        <v>396</v>
      </c>
      <c r="CE274" s="71">
        <f t="shared" si="488"/>
        <v>442</v>
      </c>
      <c r="CF274" s="72">
        <f t="shared" si="489"/>
        <v>514</v>
      </c>
      <c r="CG274" s="71">
        <f t="shared" si="490"/>
        <v>538</v>
      </c>
      <c r="CH274" s="70">
        <f t="shared" si="491"/>
        <v>255</v>
      </c>
      <c r="CI274" s="71">
        <f t="shared" si="492"/>
        <v>260</v>
      </c>
      <c r="CJ274" s="72">
        <f t="shared" si="493"/>
        <v>285</v>
      </c>
      <c r="CK274" s="72" t="str">
        <f t="shared" si="494"/>
        <v>-</v>
      </c>
      <c r="CL274" s="72">
        <f t="shared" si="495"/>
        <v>348</v>
      </c>
      <c r="CM274" s="72" t="str">
        <f t="shared" si="496"/>
        <v>-</v>
      </c>
      <c r="CN274" s="72">
        <f t="shared" si="497"/>
        <v>378</v>
      </c>
      <c r="CO274" s="72">
        <f t="shared" si="498"/>
        <v>392</v>
      </c>
      <c r="CP274" s="72">
        <f t="shared" si="499"/>
        <v>433</v>
      </c>
      <c r="CQ274" s="72">
        <f t="shared" si="500"/>
        <v>496</v>
      </c>
      <c r="CR274" s="72">
        <f t="shared" si="501"/>
        <v>537</v>
      </c>
      <c r="CS274" s="72">
        <f t="shared" si="502"/>
        <v>553</v>
      </c>
      <c r="CT274" s="23">
        <f t="shared" si="503"/>
        <v>1</v>
      </c>
    </row>
    <row r="275" spans="1:1030" x14ac:dyDescent="0.2">
      <c r="A275" s="3" t="str">
        <f t="shared" si="504"/>
        <v>smo_human_4JKV</v>
      </c>
      <c r="B275" s="3" t="s">
        <v>33</v>
      </c>
      <c r="C275" s="3" t="s">
        <v>86</v>
      </c>
      <c r="D275" s="3" t="str">
        <f>IFERROR(MID(VLOOKUP($B275,Seqs!$A:$B,2,0),E275,1),"")</f>
        <v>T</v>
      </c>
      <c r="E275" s="105">
        <v>223</v>
      </c>
      <c r="F275" s="3" t="str">
        <f>IFERROR(MID(VLOOKUP($B275,Seqs!$A:$B,2,0),G275,1),"")</f>
        <v>D</v>
      </c>
      <c r="G275" s="3">
        <v>255</v>
      </c>
      <c r="H275" s="3" t="str">
        <f>IFERROR(MID(VLOOKUP($B275,Seqs!$A:$B,2,0),I275,1),"")</f>
        <v>W</v>
      </c>
      <c r="I275" s="23">
        <v>256</v>
      </c>
      <c r="J275" s="3" t="str">
        <f>IFERROR(MID(VLOOKUP($B275,Seqs!$A:$B,2,0),K275,1),"")</f>
        <v>N</v>
      </c>
      <c r="K275" s="23">
        <v>260</v>
      </c>
      <c r="L275" s="3" t="str">
        <f>IFERROR(MID(VLOOKUP($B275,Seqs!$A:$B,2,0),M275,1),"")</f>
        <v>R</v>
      </c>
      <c r="M275" s="3">
        <v>261</v>
      </c>
      <c r="N275" s="3" t="str">
        <f>IFERROR(MID(VLOOKUP($B275,Seqs!$A:$B,2,0),O275,1),"")</f>
        <v>F</v>
      </c>
      <c r="O275" s="3">
        <v>285</v>
      </c>
      <c r="P275" s="3" t="str">
        <f>IFERROR(MID(VLOOKUP($B275,Seqs!$A:$B,2,0),Q275,1),"")</f>
        <v/>
      </c>
      <c r="Q275" s="3" t="s">
        <v>23</v>
      </c>
      <c r="R275" s="3" t="str">
        <f>IFERROR(MID(VLOOKUP($B275,Seqs!$A:$B,2,0),S275,1),"")</f>
        <v/>
      </c>
      <c r="S275" s="3" t="s">
        <v>23</v>
      </c>
      <c r="T275" s="3" t="str">
        <f>IFERROR(MID(VLOOKUP($B275,Seqs!$A:$B,2,0),U275,1),"")</f>
        <v>L</v>
      </c>
      <c r="U275" s="3">
        <v>312</v>
      </c>
      <c r="V275" s="3" t="str">
        <f>IFERROR(MID(VLOOKUP($B275,Seqs!$A:$B,2,0),W275,1),"")</f>
        <v>T</v>
      </c>
      <c r="W275" s="3">
        <v>348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F</v>
      </c>
      <c r="AC275" s="9">
        <v>360</v>
      </c>
      <c r="AD275" s="3" t="str">
        <f>IFERROR(MID(VLOOKUP($B275,Seqs!$A:$B,2,0),AE275,1),"")</f>
        <v>V</v>
      </c>
      <c r="AE275" s="3">
        <v>378</v>
      </c>
      <c r="AF275" s="3" t="str">
        <f>IFERROR(MID(VLOOKUP($B275,Seqs!$A:$B,2,0),AG275,1),"")</f>
        <v>C</v>
      </c>
      <c r="AG275" s="3">
        <v>390</v>
      </c>
      <c r="AH275" s="3" t="str">
        <f>IFERROR(MID(VLOOKUP($B275,Seqs!$A:$B,2,0),AI275,1),"")</f>
        <v>V</v>
      </c>
      <c r="AI275" s="3">
        <v>392</v>
      </c>
      <c r="AJ275" s="3" t="str">
        <f>IFERROR(MID(VLOOKUP($B275,Seqs!$A:$B,2,0),AK275,1),"")</f>
        <v>N</v>
      </c>
      <c r="AK275" s="105">
        <v>396</v>
      </c>
      <c r="AL275" s="3" t="str">
        <f>IFERROR(MID(VLOOKUP($B275,Seqs!$A:$B,2,0),AM275,1),"")</f>
        <v>H</v>
      </c>
      <c r="AM275" s="3">
        <v>433</v>
      </c>
      <c r="AN275" s="3" t="str">
        <f>IFERROR(MID(VLOOKUP($B275,Seqs!$A:$B,2,0),AO275,1),"")</f>
        <v>A</v>
      </c>
      <c r="AO275" s="3">
        <v>442</v>
      </c>
      <c r="AP275" s="3" t="str">
        <f>IFERROR(MID(VLOOKUP($B275,Seqs!$A:$B,2,0),AQ275,1),"")</f>
        <v>N</v>
      </c>
      <c r="AQ275" s="3">
        <v>493</v>
      </c>
      <c r="AR275" s="3" t="str">
        <f>IFERROR(MID(VLOOKUP($B275,Seqs!$A:$B,2,0),AS275,1),"")</f>
        <v>S</v>
      </c>
      <c r="AS275" s="105">
        <v>514</v>
      </c>
      <c r="AT275" s="3" t="str">
        <f>IFERROR(MID(VLOOKUP($B275,Seqs!$A:$B,2,0),AU275,1),"")</f>
        <v>W</v>
      </c>
      <c r="AU275" s="3">
        <v>537</v>
      </c>
      <c r="AV275" s="3" t="str">
        <f>IFERROR(MID(VLOOKUP($B275,Seqs!$A:$B,2,0),AW275,1),"")</f>
        <v>T</v>
      </c>
      <c r="AW275" s="3">
        <v>538</v>
      </c>
      <c r="AX275" s="3" t="str">
        <f>IFERROR(MID(VLOOKUP($B275,Seqs!$A:$B,2,0),AY275,1),"")</f>
        <v>C</v>
      </c>
      <c r="AY275" s="3">
        <v>550</v>
      </c>
      <c r="AZ275" s="77" t="str">
        <f>VLOOKUP(B275,Classification!A:D,2,0)</f>
        <v>F</v>
      </c>
      <c r="BA275" s="94" t="str">
        <f>VLOOKUP(B275,Classification!A:D,4,0)</f>
        <v>Frizzled</v>
      </c>
      <c r="BB275" s="27" t="b">
        <f t="shared" si="505"/>
        <v>1</v>
      </c>
      <c r="BC275" s="23">
        <f t="shared" si="478"/>
        <v>251</v>
      </c>
      <c r="BD275" s="4" t="s">
        <v>23</v>
      </c>
      <c r="BE275" s="3" t="s">
        <v>1381</v>
      </c>
      <c r="BF275" s="119">
        <v>2.4500000000000002</v>
      </c>
      <c r="BG275" s="49" t="s">
        <v>1384</v>
      </c>
      <c r="BH275" s="49" t="s">
        <v>1384</v>
      </c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479"/>
        <v>223</v>
      </c>
      <c r="BW275" s="71">
        <f t="shared" si="480"/>
        <v>256</v>
      </c>
      <c r="BX275" s="72">
        <f t="shared" si="481"/>
        <v>261</v>
      </c>
      <c r="BY275" s="71" t="str">
        <f t="shared" si="482"/>
        <v>-</v>
      </c>
      <c r="BZ275" s="72">
        <f t="shared" si="483"/>
        <v>312</v>
      </c>
      <c r="CA275" s="71" t="str">
        <f t="shared" si="484"/>
        <v>-</v>
      </c>
      <c r="CB275" s="72">
        <f t="shared" si="485"/>
        <v>360</v>
      </c>
      <c r="CC275" s="71">
        <f t="shared" si="486"/>
        <v>390</v>
      </c>
      <c r="CD275" s="72">
        <f t="shared" si="487"/>
        <v>396</v>
      </c>
      <c r="CE275" s="71">
        <f t="shared" si="488"/>
        <v>442</v>
      </c>
      <c r="CF275" s="72">
        <f t="shared" si="489"/>
        <v>514</v>
      </c>
      <c r="CG275" s="71">
        <f t="shared" si="490"/>
        <v>538</v>
      </c>
      <c r="CH275" s="70">
        <f t="shared" si="491"/>
        <v>255</v>
      </c>
      <c r="CI275" s="71">
        <f t="shared" si="492"/>
        <v>260</v>
      </c>
      <c r="CJ275" s="72">
        <f t="shared" si="493"/>
        <v>285</v>
      </c>
      <c r="CK275" s="72" t="str">
        <f t="shared" si="494"/>
        <v>-</v>
      </c>
      <c r="CL275" s="72">
        <f t="shared" si="495"/>
        <v>348</v>
      </c>
      <c r="CM275" s="72" t="str">
        <f t="shared" si="496"/>
        <v>-</v>
      </c>
      <c r="CN275" s="72">
        <f t="shared" si="497"/>
        <v>378</v>
      </c>
      <c r="CO275" s="72">
        <f t="shared" si="498"/>
        <v>392</v>
      </c>
      <c r="CP275" s="72">
        <f t="shared" si="499"/>
        <v>433</v>
      </c>
      <c r="CQ275" s="72">
        <f t="shared" si="500"/>
        <v>493</v>
      </c>
      <c r="CR275" s="72">
        <f t="shared" si="501"/>
        <v>537</v>
      </c>
      <c r="CS275" s="72">
        <f t="shared" si="502"/>
        <v>550</v>
      </c>
      <c r="CT275" s="23">
        <f t="shared" si="503"/>
        <v>1</v>
      </c>
    </row>
    <row r="276" spans="1:1030" x14ac:dyDescent="0.2">
      <c r="A276" s="3" t="str">
        <f t="shared" si="504"/>
        <v>smo_human_4N4W</v>
      </c>
      <c r="B276" s="3" t="s">
        <v>33</v>
      </c>
      <c r="C276" s="3" t="s">
        <v>1048</v>
      </c>
      <c r="D276" s="3" t="str">
        <f>IFERROR(MID(VLOOKUP($B276,Seqs!$A:$B,2,0),E276,1),"")</f>
        <v>T</v>
      </c>
      <c r="E276" s="105">
        <v>223</v>
      </c>
      <c r="F276" s="3" t="str">
        <f>IFERROR(MID(VLOOKUP($B276,Seqs!$A:$B,2,0),G276,1),"")</f>
        <v>D</v>
      </c>
      <c r="G276" s="3">
        <v>255</v>
      </c>
      <c r="H276" s="3" t="str">
        <f>IFERROR(MID(VLOOKUP($B276,Seqs!$A:$B,2,0),I276,1),"")</f>
        <v>W</v>
      </c>
      <c r="I276" s="23">
        <v>256</v>
      </c>
      <c r="J276" s="3" t="str">
        <f>IFERROR(MID(VLOOKUP($B276,Seqs!$A:$B,2,0),K276,1),"")</f>
        <v>N</v>
      </c>
      <c r="K276" s="23">
        <v>260</v>
      </c>
      <c r="L276" s="3" t="str">
        <f>IFERROR(MID(VLOOKUP($B276,Seqs!$A:$B,2,0),M276,1),"")</f>
        <v>R</v>
      </c>
      <c r="M276" s="3">
        <v>261</v>
      </c>
      <c r="N276" s="3" t="str">
        <f>IFERROR(MID(VLOOKUP($B276,Seqs!$A:$B,2,0),O276,1),"")</f>
        <v>F</v>
      </c>
      <c r="O276" s="3">
        <v>285</v>
      </c>
      <c r="P276" s="3" t="str">
        <f>IFERROR(MID(VLOOKUP($B276,Seqs!$A:$B,2,0),Q276,1),"")</f>
        <v/>
      </c>
      <c r="Q276" s="3" t="s">
        <v>23</v>
      </c>
      <c r="R276" s="3" t="str">
        <f>IFERROR(MID(VLOOKUP($B276,Seqs!$A:$B,2,0),S276,1),"")</f>
        <v/>
      </c>
      <c r="S276" s="3" t="s">
        <v>23</v>
      </c>
      <c r="T276" s="3" t="str">
        <f>IFERROR(MID(VLOOKUP($B276,Seqs!$A:$B,2,0),U276,1),"")</f>
        <v>L</v>
      </c>
      <c r="U276" s="3">
        <v>312</v>
      </c>
      <c r="V276" s="3" t="str">
        <f>IFERROR(MID(VLOOKUP($B276,Seqs!$A:$B,2,0),W276,1),"")</f>
        <v>A</v>
      </c>
      <c r="W276" s="3">
        <v>345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K</v>
      </c>
      <c r="AC276" s="9">
        <v>356</v>
      </c>
      <c r="AD276" s="3" t="str">
        <f>IFERROR(MID(VLOOKUP($B276,Seqs!$A:$B,2,0),AE276,1),"")</f>
        <v>V</v>
      </c>
      <c r="AE276" s="3">
        <v>378</v>
      </c>
      <c r="AF276" s="3" t="str">
        <f>IFERROR(MID(VLOOKUP($B276,Seqs!$A:$B,2,0),AG276,1),"")</f>
        <v>C</v>
      </c>
      <c r="AG276" s="3">
        <v>390</v>
      </c>
      <c r="AH276" s="3" t="str">
        <f>IFERROR(MID(VLOOKUP($B276,Seqs!$A:$B,2,0),AI276,1),"")</f>
        <v>V</v>
      </c>
      <c r="AI276" s="3">
        <v>392</v>
      </c>
      <c r="AJ276" s="3" t="str">
        <f>IFERROR(MID(VLOOKUP($B276,Seqs!$A:$B,2,0),AK276,1),"")</f>
        <v>N</v>
      </c>
      <c r="AK276" s="105">
        <v>396</v>
      </c>
      <c r="AL276" s="3" t="str">
        <f>IFERROR(MID(VLOOKUP($B276,Seqs!$A:$B,2,0),AM276,1),"")</f>
        <v>H</v>
      </c>
      <c r="AM276" s="3">
        <v>433</v>
      </c>
      <c r="AN276" s="3" t="str">
        <f>IFERROR(MID(VLOOKUP($B276,Seqs!$A:$B,2,0),AO276,1),"")</f>
        <v>S</v>
      </c>
      <c r="AO276" s="3">
        <v>443</v>
      </c>
      <c r="AP276" s="3" t="str">
        <f>IFERROR(MID(VLOOKUP($B276,Seqs!$A:$B,2,0),AQ276,1),"")</f>
        <v>Q</v>
      </c>
      <c r="AQ276" s="3">
        <v>491</v>
      </c>
      <c r="AR276" s="3" t="str">
        <f>IFERROR(MID(VLOOKUP($B276,Seqs!$A:$B,2,0),AS276,1),"")</f>
        <v>S</v>
      </c>
      <c r="AS276" s="105">
        <v>514</v>
      </c>
      <c r="AT276" s="3" t="str">
        <f>IFERROR(MID(VLOOKUP($B276,Seqs!$A:$B,2,0),AU276,1),"")</f>
        <v>W</v>
      </c>
      <c r="AU276" s="3">
        <v>537</v>
      </c>
      <c r="AV276" s="3" t="str">
        <f>IFERROR(MID(VLOOKUP($B276,Seqs!$A:$B,2,0),AW276,1),"")</f>
        <v>T</v>
      </c>
      <c r="AW276" s="3">
        <v>538</v>
      </c>
      <c r="AX276" s="3" t="str">
        <f>IFERROR(MID(VLOOKUP($B276,Seqs!$A:$B,2,0),AY276,1),"")</f>
        <v>L</v>
      </c>
      <c r="AY276" s="3">
        <v>552</v>
      </c>
      <c r="AZ276" s="77" t="str">
        <f>VLOOKUP(B276,Classification!A:D,2,0)</f>
        <v>F</v>
      </c>
      <c r="BA276" s="94" t="str">
        <f>VLOOKUP(B276,Classification!A:D,4,0)</f>
        <v>Frizzled</v>
      </c>
      <c r="BB276" s="27" t="b">
        <f t="shared" si="505"/>
        <v>1</v>
      </c>
      <c r="BC276" s="23">
        <f t="shared" si="478"/>
        <v>251</v>
      </c>
      <c r="BD276" s="2" t="s">
        <v>23</v>
      </c>
      <c r="BE276" s="3" t="s">
        <v>1381</v>
      </c>
      <c r="BF276" s="119">
        <v>2.8</v>
      </c>
      <c r="BG276" s="49" t="s">
        <v>1384</v>
      </c>
      <c r="BH276" s="49" t="s">
        <v>1384</v>
      </c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479"/>
        <v>223</v>
      </c>
      <c r="BW276" s="71">
        <f t="shared" si="480"/>
        <v>256</v>
      </c>
      <c r="BX276" s="72">
        <f t="shared" si="481"/>
        <v>261</v>
      </c>
      <c r="BY276" s="71" t="str">
        <f t="shared" si="482"/>
        <v>-</v>
      </c>
      <c r="BZ276" s="72">
        <f t="shared" si="483"/>
        <v>312</v>
      </c>
      <c r="CA276" s="71" t="str">
        <f t="shared" si="484"/>
        <v>-</v>
      </c>
      <c r="CB276" s="72">
        <f t="shared" si="485"/>
        <v>356</v>
      </c>
      <c r="CC276" s="71">
        <f t="shared" si="486"/>
        <v>390</v>
      </c>
      <c r="CD276" s="72">
        <f t="shared" si="487"/>
        <v>396</v>
      </c>
      <c r="CE276" s="71">
        <f t="shared" si="488"/>
        <v>443</v>
      </c>
      <c r="CF276" s="72">
        <f t="shared" si="489"/>
        <v>514</v>
      </c>
      <c r="CG276" s="71">
        <f t="shared" si="490"/>
        <v>538</v>
      </c>
      <c r="CH276" s="70">
        <f t="shared" si="491"/>
        <v>255</v>
      </c>
      <c r="CI276" s="71">
        <f t="shared" si="492"/>
        <v>260</v>
      </c>
      <c r="CJ276" s="72">
        <f t="shared" si="493"/>
        <v>285</v>
      </c>
      <c r="CK276" s="72" t="str">
        <f t="shared" si="494"/>
        <v>-</v>
      </c>
      <c r="CL276" s="72">
        <f t="shared" si="495"/>
        <v>345</v>
      </c>
      <c r="CM276" s="72" t="str">
        <f t="shared" si="496"/>
        <v>-</v>
      </c>
      <c r="CN276" s="72">
        <f t="shared" si="497"/>
        <v>378</v>
      </c>
      <c r="CO276" s="72">
        <f t="shared" si="498"/>
        <v>392</v>
      </c>
      <c r="CP276" s="72">
        <f t="shared" si="499"/>
        <v>433</v>
      </c>
      <c r="CQ276" s="72">
        <f t="shared" si="500"/>
        <v>491</v>
      </c>
      <c r="CR276" s="72">
        <f t="shared" si="501"/>
        <v>537</v>
      </c>
      <c r="CS276" s="72">
        <f t="shared" si="502"/>
        <v>552</v>
      </c>
      <c r="CT276" s="23">
        <f t="shared" si="503"/>
        <v>1</v>
      </c>
    </row>
    <row r="277" spans="1:1030" x14ac:dyDescent="0.2">
      <c r="A277" s="3" t="str">
        <f t="shared" si="504"/>
        <v>smo_human_4O9R</v>
      </c>
      <c r="B277" s="3" t="s">
        <v>33</v>
      </c>
      <c r="C277" s="3" t="s">
        <v>1050</v>
      </c>
      <c r="D277" s="3" t="str">
        <f>IFERROR(MID(VLOOKUP($B277,Seqs!$A:$B,2,0),E277,1),"")</f>
        <v>T</v>
      </c>
      <c r="E277" s="105">
        <v>223</v>
      </c>
      <c r="F277" s="3" t="str">
        <f>IFERROR(MID(VLOOKUP($B277,Seqs!$A:$B,2,0),G277,1),"")</f>
        <v>D</v>
      </c>
      <c r="G277" s="3">
        <v>255</v>
      </c>
      <c r="H277" s="3" t="str">
        <f>IFERROR(MID(VLOOKUP($B277,Seqs!$A:$B,2,0),I277,1),"")</f>
        <v>W</v>
      </c>
      <c r="I277" s="23">
        <v>256</v>
      </c>
      <c r="J277" s="3" t="str">
        <f>IFERROR(MID(VLOOKUP($B277,Seqs!$A:$B,2,0),K277,1),"")</f>
        <v>N</v>
      </c>
      <c r="K277" s="23">
        <v>260</v>
      </c>
      <c r="L277" s="3" t="str">
        <f>IFERROR(MID(VLOOKUP($B277,Seqs!$A:$B,2,0),M277,1),"")</f>
        <v>R</v>
      </c>
      <c r="M277" s="3">
        <v>261</v>
      </c>
      <c r="N277" s="3" t="str">
        <f>IFERROR(MID(VLOOKUP($B277,Seqs!$A:$B,2,0),O277,1),"")</f>
        <v>F</v>
      </c>
      <c r="O277" s="3">
        <v>285</v>
      </c>
      <c r="P277" s="3" t="str">
        <f>IFERROR(MID(VLOOKUP($B277,Seqs!$A:$B,2,0),Q277,1),"")</f>
        <v/>
      </c>
      <c r="Q277" s="3" t="s">
        <v>23</v>
      </c>
      <c r="R277" s="3" t="str">
        <f>IFERROR(MID(VLOOKUP($B277,Seqs!$A:$B,2,0),S277,1),"")</f>
        <v/>
      </c>
      <c r="S277" s="3" t="s">
        <v>23</v>
      </c>
      <c r="T277" s="3" t="str">
        <f>IFERROR(MID(VLOOKUP($B277,Seqs!$A:$B,2,0),U277,1),"")</f>
        <v>L</v>
      </c>
      <c r="U277" s="3">
        <v>312</v>
      </c>
      <c r="V277" s="3" t="str">
        <f>IFERROR(MID(VLOOKUP($B277,Seqs!$A:$B,2,0),W277,1),"")</f>
        <v>F</v>
      </c>
      <c r="W277" s="3">
        <v>343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F</v>
      </c>
      <c r="AC277" s="9">
        <v>360</v>
      </c>
      <c r="AD277" s="3" t="str">
        <f>IFERROR(MID(VLOOKUP($B277,Seqs!$A:$B,2,0),AE277,1),"")</f>
        <v>V</v>
      </c>
      <c r="AE277" s="3">
        <v>378</v>
      </c>
      <c r="AF277" s="3" t="str">
        <f>IFERROR(MID(VLOOKUP($B277,Seqs!$A:$B,2,0),AG277,1),"")</f>
        <v>C</v>
      </c>
      <c r="AG277" s="3">
        <v>390</v>
      </c>
      <c r="AH277" s="3" t="str">
        <f>IFERROR(MID(VLOOKUP($B277,Seqs!$A:$B,2,0),AI277,1),"")</f>
        <v>V</v>
      </c>
      <c r="AI277" s="3">
        <v>392</v>
      </c>
      <c r="AJ277" s="3" t="str">
        <f>IFERROR(MID(VLOOKUP($B277,Seqs!$A:$B,2,0),AK277,1),"")</f>
        <v>N</v>
      </c>
      <c r="AK277" s="105">
        <v>396</v>
      </c>
      <c r="AL277" s="3" t="str">
        <f>IFERROR(MID(VLOOKUP($B277,Seqs!$A:$B,2,0),AM277,1),"")</f>
        <v>H</v>
      </c>
      <c r="AM277" s="3">
        <v>433</v>
      </c>
      <c r="AN277" s="3" t="str">
        <f>IFERROR(MID(VLOOKUP($B277,Seqs!$A:$B,2,0),AO277,1),"")</f>
        <v>E</v>
      </c>
      <c r="AO277" s="3">
        <v>447</v>
      </c>
      <c r="AP277" s="3" t="str">
        <f>IFERROR(MID(VLOOKUP($B277,Seqs!$A:$B,2,0),AQ277,1),"")</f>
        <v>N</v>
      </c>
      <c r="AQ277" s="3">
        <v>493</v>
      </c>
      <c r="AR277" s="3" t="str">
        <f>IFERROR(MID(VLOOKUP($B277,Seqs!$A:$B,2,0),AS277,1),"")</f>
        <v>S</v>
      </c>
      <c r="AS277" s="105">
        <v>514</v>
      </c>
      <c r="AT277" s="3" t="str">
        <f>IFERROR(MID(VLOOKUP($B277,Seqs!$A:$B,2,0),AU277,1),"")</f>
        <v>W</v>
      </c>
      <c r="AU277" s="3">
        <v>537</v>
      </c>
      <c r="AV277" s="3" t="str">
        <f>IFERROR(MID(VLOOKUP($B277,Seqs!$A:$B,2,0),AW277,1),"")</f>
        <v>T</v>
      </c>
      <c r="AW277" s="3">
        <v>538</v>
      </c>
      <c r="AX277" s="3" t="str">
        <f>IFERROR(MID(VLOOKUP($B277,Seqs!$A:$B,2,0),AY277,1),"")</f>
        <v>W</v>
      </c>
      <c r="AY277" s="3">
        <v>549</v>
      </c>
      <c r="AZ277" s="78" t="str">
        <f>VLOOKUP(B277,Classification!A:D,2,0)</f>
        <v>F</v>
      </c>
      <c r="BA277" s="94" t="str">
        <f>VLOOKUP(B277,Classification!A:D,4,0)</f>
        <v>Frizzled</v>
      </c>
      <c r="BB277" s="92" t="b">
        <f t="shared" si="505"/>
        <v>1</v>
      </c>
      <c r="BC277" s="23">
        <f t="shared" si="478"/>
        <v>240</v>
      </c>
      <c r="BD277" s="74" t="s">
        <v>23</v>
      </c>
      <c r="BE277" s="3" t="s">
        <v>1381</v>
      </c>
      <c r="BF277" s="119">
        <v>3.2</v>
      </c>
      <c r="BG277" s="49" t="s">
        <v>1384</v>
      </c>
      <c r="BH277" s="49" t="s">
        <v>1384</v>
      </c>
      <c r="BJ277" s="75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5">
        <f t="shared" si="479"/>
        <v>223</v>
      </c>
      <c r="BW277" s="71">
        <f t="shared" si="480"/>
        <v>256</v>
      </c>
      <c r="BX277" s="72">
        <f t="shared" si="481"/>
        <v>261</v>
      </c>
      <c r="BY277" s="71" t="str">
        <f t="shared" si="482"/>
        <v>-</v>
      </c>
      <c r="BZ277" s="72">
        <f t="shared" si="483"/>
        <v>312</v>
      </c>
      <c r="CA277" s="71" t="str">
        <f t="shared" si="484"/>
        <v>-</v>
      </c>
      <c r="CB277" s="72">
        <f t="shared" si="485"/>
        <v>360</v>
      </c>
      <c r="CC277" s="71">
        <f t="shared" si="486"/>
        <v>390</v>
      </c>
      <c r="CD277" s="72">
        <f t="shared" si="487"/>
        <v>396</v>
      </c>
      <c r="CE277" s="71">
        <f t="shared" si="488"/>
        <v>447</v>
      </c>
      <c r="CF277" s="72">
        <f t="shared" si="489"/>
        <v>514</v>
      </c>
      <c r="CG277" s="71">
        <f t="shared" si="490"/>
        <v>538</v>
      </c>
      <c r="CH277" s="75">
        <f t="shared" si="491"/>
        <v>255</v>
      </c>
      <c r="CI277" s="71">
        <f t="shared" si="492"/>
        <v>260</v>
      </c>
      <c r="CJ277" s="72">
        <f t="shared" si="493"/>
        <v>285</v>
      </c>
      <c r="CK277" s="72" t="str">
        <f t="shared" si="494"/>
        <v>-</v>
      </c>
      <c r="CL277" s="72">
        <f t="shared" si="495"/>
        <v>343</v>
      </c>
      <c r="CM277" s="72" t="str">
        <f t="shared" si="496"/>
        <v>-</v>
      </c>
      <c r="CN277" s="72">
        <f t="shared" si="497"/>
        <v>378</v>
      </c>
      <c r="CO277" s="72">
        <f t="shared" si="498"/>
        <v>392</v>
      </c>
      <c r="CP277" s="72">
        <f t="shared" si="499"/>
        <v>433</v>
      </c>
      <c r="CQ277" s="72">
        <f t="shared" si="500"/>
        <v>493</v>
      </c>
      <c r="CR277" s="72">
        <f t="shared" si="501"/>
        <v>537</v>
      </c>
      <c r="CS277" s="72">
        <f t="shared" si="502"/>
        <v>549</v>
      </c>
      <c r="CT277" s="23">
        <f t="shared" si="503"/>
        <v>1</v>
      </c>
    </row>
    <row r="278" spans="1:1030" s="6" customFormat="1" x14ac:dyDescent="0.2">
      <c r="A278" s="3" t="str">
        <f t="shared" si="504"/>
        <v>smo_human_4QIM</v>
      </c>
      <c r="B278" s="3" t="s">
        <v>33</v>
      </c>
      <c r="C278" s="3" t="s">
        <v>1052</v>
      </c>
      <c r="D278" s="3" t="str">
        <f>IFERROR(MID(VLOOKUP($B278,Seqs!$A:$B,2,0),E278,1),"")</f>
        <v>T</v>
      </c>
      <c r="E278" s="105">
        <v>223</v>
      </c>
      <c r="F278" s="3" t="str">
        <f>IFERROR(MID(VLOOKUP($B278,Seqs!$A:$B,2,0),G278,1),"")</f>
        <v>D</v>
      </c>
      <c r="G278" s="3">
        <v>255</v>
      </c>
      <c r="H278" s="3" t="str">
        <f>IFERROR(MID(VLOOKUP($B278,Seqs!$A:$B,2,0),I278,1),"")</f>
        <v>W</v>
      </c>
      <c r="I278" s="23">
        <v>256</v>
      </c>
      <c r="J278" s="3" t="str">
        <f>IFERROR(MID(VLOOKUP($B278,Seqs!$A:$B,2,0),K278,1),"")</f>
        <v>N</v>
      </c>
      <c r="K278" s="23">
        <v>260</v>
      </c>
      <c r="L278" s="3" t="str">
        <f>IFERROR(MID(VLOOKUP($B278,Seqs!$A:$B,2,0),M278,1),"")</f>
        <v>R</v>
      </c>
      <c r="M278" s="3">
        <v>261</v>
      </c>
      <c r="N278" s="3" t="str">
        <f>IFERROR(MID(VLOOKUP($B278,Seqs!$A:$B,2,0),O278,1),"")</f>
        <v>F</v>
      </c>
      <c r="O278" s="3">
        <v>285</v>
      </c>
      <c r="P278" s="3" t="str">
        <f>IFERROR(MID(VLOOKUP($B278,Seqs!$A:$B,2,0),Q278,1),"")</f>
        <v/>
      </c>
      <c r="Q278" s="3" t="s">
        <v>23</v>
      </c>
      <c r="R278" s="3" t="str">
        <f>IFERROR(MID(VLOOKUP($B278,Seqs!$A:$B,2,0),S278,1),"")</f>
        <v/>
      </c>
      <c r="S278" s="3" t="s">
        <v>23</v>
      </c>
      <c r="T278" s="3" t="str">
        <f>IFERROR(MID(VLOOKUP($B278,Seqs!$A:$B,2,0),U278,1),"")</f>
        <v>L</v>
      </c>
      <c r="U278" s="3">
        <v>312</v>
      </c>
      <c r="V278" s="3" t="str">
        <f>IFERROR(MID(VLOOKUP($B278,Seqs!$A:$B,2,0),W278,1),"")</f>
        <v>A</v>
      </c>
      <c r="W278" s="3">
        <v>345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K</v>
      </c>
      <c r="AC278" s="9">
        <v>356</v>
      </c>
      <c r="AD278" s="3" t="str">
        <f>IFERROR(MID(VLOOKUP($B278,Seqs!$A:$B,2,0),AE278,1),"")</f>
        <v>V</v>
      </c>
      <c r="AE278" s="3">
        <v>378</v>
      </c>
      <c r="AF278" s="3" t="str">
        <f>IFERROR(MID(VLOOKUP($B278,Seqs!$A:$B,2,0),AG278,1),"")</f>
        <v>C</v>
      </c>
      <c r="AG278" s="3">
        <v>390</v>
      </c>
      <c r="AH278" s="3" t="str">
        <f>IFERROR(MID(VLOOKUP($B278,Seqs!$A:$B,2,0),AI278,1),"")</f>
        <v>V</v>
      </c>
      <c r="AI278" s="3">
        <v>392</v>
      </c>
      <c r="AJ278" s="3" t="str">
        <f>IFERROR(MID(VLOOKUP($B278,Seqs!$A:$B,2,0),AK278,1),"")</f>
        <v>N</v>
      </c>
      <c r="AK278" s="105">
        <v>396</v>
      </c>
      <c r="AL278" s="3" t="str">
        <f>IFERROR(MID(VLOOKUP($B278,Seqs!$A:$B,2,0),AM278,1),"")</f>
        <v>H</v>
      </c>
      <c r="AM278" s="3">
        <v>433</v>
      </c>
      <c r="AN278" s="3" t="str">
        <f>IFERROR(MID(VLOOKUP($B278,Seqs!$A:$B,2,0),AO278,1),"")</f>
        <v>E</v>
      </c>
      <c r="AO278" s="3">
        <v>447</v>
      </c>
      <c r="AP278" s="3" t="str">
        <f>IFERROR(MID(VLOOKUP($B278,Seqs!$A:$B,2,0),AQ278,1),"")</f>
        <v>N</v>
      </c>
      <c r="AQ278" s="3">
        <v>493</v>
      </c>
      <c r="AR278" s="3" t="str">
        <f>IFERROR(MID(VLOOKUP($B278,Seqs!$A:$B,2,0),AS278,1),"")</f>
        <v>S</v>
      </c>
      <c r="AS278" s="105">
        <v>514</v>
      </c>
      <c r="AT278" s="3" t="str">
        <f>IFERROR(MID(VLOOKUP($B278,Seqs!$A:$B,2,0),AU278,1),"")</f>
        <v>W</v>
      </c>
      <c r="AU278" s="3">
        <v>537</v>
      </c>
      <c r="AV278" s="3" t="str">
        <f>IFERROR(MID(VLOOKUP($B278,Seqs!$A:$B,2,0),AW278,1),"")</f>
        <v>T</v>
      </c>
      <c r="AW278" s="3">
        <v>538</v>
      </c>
      <c r="AX278" s="3" t="str">
        <f>IFERROR(MID(VLOOKUP($B278,Seqs!$A:$B,2,0),AY278,1),"")</f>
        <v>T</v>
      </c>
      <c r="AY278" s="3">
        <v>553</v>
      </c>
      <c r="AZ278" s="78" t="str">
        <f>VLOOKUP(B278,Classification!A:D,2,0)</f>
        <v>F</v>
      </c>
      <c r="BA278" s="94" t="str">
        <f>VLOOKUP(B278,Classification!A:D,4,0)</f>
        <v>Frizzled</v>
      </c>
      <c r="BB278" s="92" t="b">
        <f t="shared" si="505"/>
        <v>1</v>
      </c>
      <c r="BC278" s="23">
        <f t="shared" si="478"/>
        <v>250</v>
      </c>
      <c r="BD278" s="74" t="s">
        <v>23</v>
      </c>
      <c r="BE278" s="3" t="s">
        <v>1381</v>
      </c>
      <c r="BF278" s="119">
        <v>2.61</v>
      </c>
      <c r="BG278" s="49" t="s">
        <v>1384</v>
      </c>
      <c r="BH278" s="49" t="s">
        <v>1384</v>
      </c>
      <c r="BI278" s="3"/>
      <c r="BJ278" s="75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5">
        <f t="shared" si="479"/>
        <v>223</v>
      </c>
      <c r="BW278" s="71">
        <f t="shared" si="480"/>
        <v>256</v>
      </c>
      <c r="BX278" s="72">
        <f t="shared" si="481"/>
        <v>261</v>
      </c>
      <c r="BY278" s="71" t="str">
        <f t="shared" si="482"/>
        <v>-</v>
      </c>
      <c r="BZ278" s="72">
        <f t="shared" si="483"/>
        <v>312</v>
      </c>
      <c r="CA278" s="71" t="str">
        <f t="shared" si="484"/>
        <v>-</v>
      </c>
      <c r="CB278" s="72">
        <f t="shared" si="485"/>
        <v>356</v>
      </c>
      <c r="CC278" s="71">
        <f t="shared" si="486"/>
        <v>390</v>
      </c>
      <c r="CD278" s="72">
        <f t="shared" si="487"/>
        <v>396</v>
      </c>
      <c r="CE278" s="71">
        <f t="shared" si="488"/>
        <v>447</v>
      </c>
      <c r="CF278" s="72">
        <f t="shared" si="489"/>
        <v>514</v>
      </c>
      <c r="CG278" s="71">
        <f t="shared" si="490"/>
        <v>538</v>
      </c>
      <c r="CH278" s="75">
        <f t="shared" si="491"/>
        <v>255</v>
      </c>
      <c r="CI278" s="71">
        <f t="shared" si="492"/>
        <v>260</v>
      </c>
      <c r="CJ278" s="72">
        <f t="shared" si="493"/>
        <v>285</v>
      </c>
      <c r="CK278" s="72" t="str">
        <f t="shared" si="494"/>
        <v>-</v>
      </c>
      <c r="CL278" s="72">
        <f t="shared" si="495"/>
        <v>345</v>
      </c>
      <c r="CM278" s="72" t="str">
        <f t="shared" si="496"/>
        <v>-</v>
      </c>
      <c r="CN278" s="72">
        <f t="shared" si="497"/>
        <v>378</v>
      </c>
      <c r="CO278" s="72">
        <f t="shared" si="498"/>
        <v>392</v>
      </c>
      <c r="CP278" s="72">
        <f t="shared" si="499"/>
        <v>433</v>
      </c>
      <c r="CQ278" s="72">
        <f t="shared" si="500"/>
        <v>493</v>
      </c>
      <c r="CR278" s="72">
        <f t="shared" si="501"/>
        <v>537</v>
      </c>
      <c r="CS278" s="72">
        <f t="shared" si="502"/>
        <v>553</v>
      </c>
      <c r="CT278" s="23">
        <f t="shared" si="503"/>
        <v>1</v>
      </c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1"/>
    </row>
    <row r="279" spans="1:1030" s="6" customFormat="1" x14ac:dyDescent="0.2">
      <c r="A279" s="3" t="str">
        <f t="shared" si="504"/>
        <v>smo_human_4QIN</v>
      </c>
      <c r="B279" s="3" t="s">
        <v>33</v>
      </c>
      <c r="C279" s="3" t="s">
        <v>56</v>
      </c>
      <c r="D279" s="3" t="str">
        <f>IFERROR(MID(VLOOKUP($B279,Seqs!$A:$B,2,0),E279,1),"")</f>
        <v>T</v>
      </c>
      <c r="E279" s="105">
        <v>223</v>
      </c>
      <c r="F279" s="3" t="str">
        <f>IFERROR(MID(VLOOKUP($B279,Seqs!$A:$B,2,0),G279,1),"")</f>
        <v>D</v>
      </c>
      <c r="G279" s="3">
        <v>255</v>
      </c>
      <c r="H279" s="3" t="str">
        <f>IFERROR(MID(VLOOKUP($B279,Seqs!$A:$B,2,0),I279,1),"")</f>
        <v>W</v>
      </c>
      <c r="I279" s="23">
        <v>256</v>
      </c>
      <c r="J279" s="3" t="str">
        <f>IFERROR(MID(VLOOKUP($B279,Seqs!$A:$B,2,0),K279,1),"")</f>
        <v>N</v>
      </c>
      <c r="K279" s="23">
        <v>260</v>
      </c>
      <c r="L279" s="3" t="str">
        <f>IFERROR(MID(VLOOKUP($B279,Seqs!$A:$B,2,0),M279,1),"")</f>
        <v>R</v>
      </c>
      <c r="M279" s="3">
        <v>261</v>
      </c>
      <c r="N279" s="3" t="str">
        <f>IFERROR(MID(VLOOKUP($B279,Seqs!$A:$B,2,0),O279,1),"")</f>
        <v>F</v>
      </c>
      <c r="O279" s="3">
        <v>285</v>
      </c>
      <c r="P279" s="3" t="str">
        <f>IFERROR(MID(VLOOKUP($B279,Seqs!$A:$B,2,0),Q279,1),"")</f>
        <v/>
      </c>
      <c r="Q279" s="3" t="s">
        <v>23</v>
      </c>
      <c r="R279" s="3" t="str">
        <f>IFERROR(MID(VLOOKUP($B279,Seqs!$A:$B,2,0),S279,1),"")</f>
        <v/>
      </c>
      <c r="S279" s="3" t="s">
        <v>23</v>
      </c>
      <c r="T279" s="3" t="str">
        <f>IFERROR(MID(VLOOKUP($B279,Seqs!$A:$B,2,0),U279,1),"")</f>
        <v>L</v>
      </c>
      <c r="U279" s="3">
        <v>312</v>
      </c>
      <c r="V279" s="3" t="str">
        <f>IFERROR(MID(VLOOKUP($B279,Seqs!$A:$B,2,0),W279,1),"")</f>
        <v>A</v>
      </c>
      <c r="W279" s="3">
        <v>345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L</v>
      </c>
      <c r="AC279" s="9">
        <v>353</v>
      </c>
      <c r="AD279" s="3" t="str">
        <f>IFERROR(MID(VLOOKUP($B279,Seqs!$A:$B,2,0),AE279,1),"")</f>
        <v>V</v>
      </c>
      <c r="AE279" s="3">
        <v>378</v>
      </c>
      <c r="AF279" s="3" t="str">
        <f>IFERROR(MID(VLOOKUP($B279,Seqs!$A:$B,2,0),AG279,1),"")</f>
        <v>C</v>
      </c>
      <c r="AG279" s="3">
        <v>390</v>
      </c>
      <c r="AH279" s="3" t="str">
        <f>IFERROR(MID(VLOOKUP($B279,Seqs!$A:$B,2,0),AI279,1),"")</f>
        <v>V</v>
      </c>
      <c r="AI279" s="3">
        <v>392</v>
      </c>
      <c r="AJ279" s="3" t="str">
        <f>IFERROR(MID(VLOOKUP($B279,Seqs!$A:$B,2,0),AK279,1),"")</f>
        <v>N</v>
      </c>
      <c r="AK279" s="105">
        <v>396</v>
      </c>
      <c r="AL279" s="3" t="str">
        <f>IFERROR(MID(VLOOKUP($B279,Seqs!$A:$B,2,0),AM279,1),"")</f>
        <v>H</v>
      </c>
      <c r="AM279" s="3">
        <v>433</v>
      </c>
      <c r="AN279" s="3" t="str">
        <f>IFERROR(MID(VLOOKUP($B279,Seqs!$A:$B,2,0),AO279,1),"")</f>
        <v>E</v>
      </c>
      <c r="AO279" s="3">
        <v>447</v>
      </c>
      <c r="AP279" s="3" t="str">
        <f>IFERROR(MID(VLOOKUP($B279,Seqs!$A:$B,2,0),AQ279,1),"")</f>
        <v>A</v>
      </c>
      <c r="AQ279" s="3">
        <v>492</v>
      </c>
      <c r="AR279" s="3" t="str">
        <f>IFERROR(MID(VLOOKUP($B279,Seqs!$A:$B,2,0),AS279,1),"")</f>
        <v>S</v>
      </c>
      <c r="AS279" s="105">
        <v>514</v>
      </c>
      <c r="AT279" s="3" t="str">
        <f>IFERROR(MID(VLOOKUP($B279,Seqs!$A:$B,2,0),AU279,1),"")</f>
        <v>W</v>
      </c>
      <c r="AU279" s="3">
        <v>537</v>
      </c>
      <c r="AV279" s="3" t="str">
        <f>IFERROR(MID(VLOOKUP($B279,Seqs!$A:$B,2,0),AW279,1),"")</f>
        <v>T</v>
      </c>
      <c r="AW279" s="3">
        <v>538</v>
      </c>
      <c r="AX279" s="3" t="str">
        <f>IFERROR(MID(VLOOKUP($B279,Seqs!$A:$B,2,0),AY279,1),"")</f>
        <v>R</v>
      </c>
      <c r="AY279" s="3">
        <v>551</v>
      </c>
      <c r="AZ279" s="78" t="str">
        <f>VLOOKUP(B279,Classification!A:D,2,0)</f>
        <v>F</v>
      </c>
      <c r="BA279" s="94" t="str">
        <f>VLOOKUP(B279,Classification!A:D,4,0)</f>
        <v>Frizzled</v>
      </c>
      <c r="BB279" s="92" t="b">
        <f t="shared" si="505"/>
        <v>1</v>
      </c>
      <c r="BC279" s="23">
        <f t="shared" si="478"/>
        <v>250</v>
      </c>
      <c r="BD279" s="74" t="s">
        <v>23</v>
      </c>
      <c r="BE279" s="3" t="s">
        <v>1381</v>
      </c>
      <c r="BF279" s="119">
        <v>2.6</v>
      </c>
      <c r="BG279" s="49" t="s">
        <v>1384</v>
      </c>
      <c r="BH279" s="49" t="s">
        <v>1384</v>
      </c>
      <c r="BI279" s="3"/>
      <c r="BJ279" s="75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5">
        <f t="shared" si="479"/>
        <v>223</v>
      </c>
      <c r="BW279" s="71">
        <f t="shared" si="480"/>
        <v>256</v>
      </c>
      <c r="BX279" s="72">
        <f t="shared" si="481"/>
        <v>261</v>
      </c>
      <c r="BY279" s="71" t="str">
        <f t="shared" si="482"/>
        <v>-</v>
      </c>
      <c r="BZ279" s="72">
        <f t="shared" si="483"/>
        <v>312</v>
      </c>
      <c r="CA279" s="71" t="str">
        <f t="shared" si="484"/>
        <v>-</v>
      </c>
      <c r="CB279" s="72">
        <f t="shared" si="485"/>
        <v>353</v>
      </c>
      <c r="CC279" s="71">
        <f t="shared" si="486"/>
        <v>390</v>
      </c>
      <c r="CD279" s="72">
        <f t="shared" si="487"/>
        <v>396</v>
      </c>
      <c r="CE279" s="71">
        <f t="shared" si="488"/>
        <v>447</v>
      </c>
      <c r="CF279" s="72">
        <f t="shared" si="489"/>
        <v>514</v>
      </c>
      <c r="CG279" s="71">
        <f t="shared" si="490"/>
        <v>538</v>
      </c>
      <c r="CH279" s="75">
        <f t="shared" si="491"/>
        <v>255</v>
      </c>
      <c r="CI279" s="71">
        <f t="shared" si="492"/>
        <v>260</v>
      </c>
      <c r="CJ279" s="72">
        <f t="shared" si="493"/>
        <v>285</v>
      </c>
      <c r="CK279" s="72" t="str">
        <f t="shared" si="494"/>
        <v>-</v>
      </c>
      <c r="CL279" s="72">
        <f t="shared" si="495"/>
        <v>345</v>
      </c>
      <c r="CM279" s="72" t="str">
        <f t="shared" si="496"/>
        <v>-</v>
      </c>
      <c r="CN279" s="72">
        <f t="shared" si="497"/>
        <v>378</v>
      </c>
      <c r="CO279" s="72">
        <f t="shared" si="498"/>
        <v>392</v>
      </c>
      <c r="CP279" s="72">
        <f t="shared" si="499"/>
        <v>433</v>
      </c>
      <c r="CQ279" s="72">
        <f t="shared" si="500"/>
        <v>492</v>
      </c>
      <c r="CR279" s="72">
        <f t="shared" si="501"/>
        <v>537</v>
      </c>
      <c r="CS279" s="72">
        <f t="shared" si="502"/>
        <v>551</v>
      </c>
      <c r="CT279" s="23">
        <f t="shared" si="503"/>
        <v>1</v>
      </c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1"/>
    </row>
    <row r="280" spans="1:1030" s="6" customFormat="1" x14ac:dyDescent="0.2">
      <c r="A280" s="3" t="str">
        <f t="shared" si="504"/>
        <v>smo_human_5L7D</v>
      </c>
      <c r="B280" s="3" t="s">
        <v>33</v>
      </c>
      <c r="C280" s="3" t="s">
        <v>1358</v>
      </c>
      <c r="D280" s="3" t="str">
        <f>IFERROR(MID(VLOOKUP($B280,Seqs!$A:$B,2,0),E280,1),"")</f>
        <v>T</v>
      </c>
      <c r="E280" s="105">
        <v>223</v>
      </c>
      <c r="F280" s="3" t="str">
        <f>IFERROR(MID(VLOOKUP($B280,Seqs!$A:$B,2,0),G280,1),"")</f>
        <v>D</v>
      </c>
      <c r="G280" s="3">
        <v>255</v>
      </c>
      <c r="H280" s="3" t="str">
        <f>IFERROR(MID(VLOOKUP($B280,Seqs!$A:$B,2,0),I280,1),"")</f>
        <v>W</v>
      </c>
      <c r="I280" s="23">
        <v>256</v>
      </c>
      <c r="J280" s="3" t="str">
        <f>IFERROR(MID(VLOOKUP($B280,Seqs!$A:$B,2,0),K280,1),"")</f>
        <v>N</v>
      </c>
      <c r="K280" s="23">
        <v>260</v>
      </c>
      <c r="L280" s="3" t="str">
        <f>IFERROR(MID(VLOOKUP($B280,Seqs!$A:$B,2,0),M280,1),"")</f>
        <v>R</v>
      </c>
      <c r="M280" s="3">
        <v>261</v>
      </c>
      <c r="N280" s="3" t="str">
        <f>IFERROR(MID(VLOOKUP($B280,Seqs!$A:$B,2,0),O280,1),"")</f>
        <v>F</v>
      </c>
      <c r="O280" s="3">
        <v>285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L</v>
      </c>
      <c r="U280" s="3">
        <v>312</v>
      </c>
      <c r="V280" s="3" t="str">
        <f>IFERROR(MID(VLOOKUP($B280,Seqs!$A:$B,2,0),W280,1),"")</f>
        <v>L</v>
      </c>
      <c r="W280" s="3">
        <v>346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L</v>
      </c>
      <c r="AC280" s="9">
        <v>353</v>
      </c>
      <c r="AD280" s="3" t="str">
        <f>IFERROR(MID(VLOOKUP($B280,Seqs!$A:$B,2,0),AE280,1),"")</f>
        <v>V</v>
      </c>
      <c r="AE280" s="3">
        <v>378</v>
      </c>
      <c r="AF280" s="3" t="str">
        <f>IFERROR(MID(VLOOKUP($B280,Seqs!$A:$B,2,0),AG280,1),"")</f>
        <v>C</v>
      </c>
      <c r="AG280" s="3">
        <v>390</v>
      </c>
      <c r="AH280" s="3" t="str">
        <f>IFERROR(MID(VLOOKUP($B280,Seqs!$A:$B,2,0),AI280,1),"")</f>
        <v>V</v>
      </c>
      <c r="AI280" s="3">
        <v>392</v>
      </c>
      <c r="AJ280" s="3" t="str">
        <f>IFERROR(MID(VLOOKUP($B280,Seqs!$A:$B,2,0),AK280,1),"")</f>
        <v>N</v>
      </c>
      <c r="AK280" s="105">
        <v>396</v>
      </c>
      <c r="AL280" s="3" t="str">
        <f>IFERROR(MID(VLOOKUP($B280,Seqs!$A:$B,2,0),AM280,1),"")</f>
        <v>S</v>
      </c>
      <c r="AM280" s="3">
        <v>428</v>
      </c>
      <c r="AN280" s="3" t="str">
        <f>IFERROR(MID(VLOOKUP($B280,Seqs!$A:$B,2,0),AO280,1),"")</f>
        <v>E</v>
      </c>
      <c r="AO280" s="3">
        <v>447</v>
      </c>
      <c r="AP280" s="3" t="str">
        <f>IFERROR(MID(VLOOKUP($B280,Seqs!$A:$B,2,0),AQ280,1),"")</f>
        <v>I</v>
      </c>
      <c r="AQ280" s="3">
        <v>496</v>
      </c>
      <c r="AR280" s="3" t="str">
        <f>IFERROR(MID(VLOOKUP($B280,Seqs!$A:$B,2,0),AS280,1),"")</f>
        <v>S</v>
      </c>
      <c r="AS280" s="105">
        <v>514</v>
      </c>
      <c r="AT280" s="3" t="str">
        <f>IFERROR(MID(VLOOKUP($B280,Seqs!$A:$B,2,0),AU280,1),"")</f>
        <v>W</v>
      </c>
      <c r="AU280" s="3">
        <v>537</v>
      </c>
      <c r="AV280" s="3" t="str">
        <f>IFERROR(MID(VLOOKUP($B280,Seqs!$A:$B,2,0),AW280,1),"")</f>
        <v>T</v>
      </c>
      <c r="AW280" s="3">
        <v>538</v>
      </c>
      <c r="AX280" s="3" t="str">
        <f>IFERROR(MID(VLOOKUP($B280,Seqs!$A:$B,2,0),AY280,1),"")</f>
        <v>T</v>
      </c>
      <c r="AY280" s="3">
        <v>553</v>
      </c>
      <c r="AZ280" s="78" t="str">
        <f>VLOOKUP(B280,Classification!A:D,2,0)</f>
        <v>F</v>
      </c>
      <c r="BA280" s="94" t="str">
        <f>VLOOKUP(B280,Classification!A:D,4,0)</f>
        <v>Frizzled</v>
      </c>
      <c r="BB280" s="92" t="b">
        <f t="shared" si="505"/>
        <v>1</v>
      </c>
      <c r="BC280" s="23">
        <f t="shared" si="478"/>
        <v>252</v>
      </c>
      <c r="BD280" s="74" t="s">
        <v>1383</v>
      </c>
      <c r="BE280" s="3" t="s">
        <v>1381</v>
      </c>
      <c r="BF280" s="119">
        <v>3.2</v>
      </c>
      <c r="BG280" s="49" t="s">
        <v>1</v>
      </c>
      <c r="BH280" s="49" t="s">
        <v>1384</v>
      </c>
      <c r="BI280" s="3" t="s">
        <v>1367</v>
      </c>
      <c r="BJ280" s="75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5">
        <f t="shared" si="479"/>
        <v>223</v>
      </c>
      <c r="BW280" s="71">
        <f t="shared" si="480"/>
        <v>256</v>
      </c>
      <c r="BX280" s="72">
        <f t="shared" si="481"/>
        <v>261</v>
      </c>
      <c r="BY280" s="71" t="str">
        <f t="shared" si="482"/>
        <v>-</v>
      </c>
      <c r="BZ280" s="72">
        <f t="shared" si="483"/>
        <v>312</v>
      </c>
      <c r="CA280" s="71" t="str">
        <f t="shared" si="484"/>
        <v>-</v>
      </c>
      <c r="CB280" s="72">
        <f t="shared" si="485"/>
        <v>353</v>
      </c>
      <c r="CC280" s="71">
        <f t="shared" si="486"/>
        <v>390</v>
      </c>
      <c r="CD280" s="72">
        <f t="shared" si="487"/>
        <v>396</v>
      </c>
      <c r="CE280" s="71">
        <f t="shared" si="488"/>
        <v>447</v>
      </c>
      <c r="CF280" s="72">
        <f t="shared" si="489"/>
        <v>514</v>
      </c>
      <c r="CG280" s="71">
        <f t="shared" si="490"/>
        <v>538</v>
      </c>
      <c r="CH280" s="75">
        <f t="shared" si="491"/>
        <v>255</v>
      </c>
      <c r="CI280" s="71">
        <f t="shared" si="492"/>
        <v>260</v>
      </c>
      <c r="CJ280" s="72">
        <f t="shared" si="493"/>
        <v>285</v>
      </c>
      <c r="CK280" s="72" t="str">
        <f t="shared" si="494"/>
        <v>-</v>
      </c>
      <c r="CL280" s="72">
        <f t="shared" si="495"/>
        <v>346</v>
      </c>
      <c r="CM280" s="72" t="str">
        <f t="shared" si="496"/>
        <v>-</v>
      </c>
      <c r="CN280" s="72">
        <f t="shared" si="497"/>
        <v>378</v>
      </c>
      <c r="CO280" s="72">
        <f t="shared" si="498"/>
        <v>392</v>
      </c>
      <c r="CP280" s="72">
        <f t="shared" si="499"/>
        <v>428</v>
      </c>
      <c r="CQ280" s="72">
        <f t="shared" si="500"/>
        <v>496</v>
      </c>
      <c r="CR280" s="72">
        <f t="shared" si="501"/>
        <v>537</v>
      </c>
      <c r="CS280" s="72">
        <f t="shared" si="502"/>
        <v>553</v>
      </c>
      <c r="CT280" s="23">
        <f t="shared" si="503"/>
        <v>1</v>
      </c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1"/>
    </row>
    <row r="281" spans="1:1030" s="6" customFormat="1" x14ac:dyDescent="0.2">
      <c r="A281" s="3" t="str">
        <f t="shared" si="504"/>
        <v>smo_human_5L7I</v>
      </c>
      <c r="B281" s="3" t="s">
        <v>33</v>
      </c>
      <c r="C281" s="3" t="s">
        <v>1359</v>
      </c>
      <c r="D281" s="3" t="str">
        <f>IFERROR(MID(VLOOKUP($B281,Seqs!$A:$B,2,0),E281,1),"")</f>
        <v>T</v>
      </c>
      <c r="E281" s="105">
        <v>223</v>
      </c>
      <c r="F281" s="3" t="str">
        <f>IFERROR(MID(VLOOKUP($B281,Seqs!$A:$B,2,0),G281,1),"")</f>
        <v>D</v>
      </c>
      <c r="G281" s="3">
        <v>255</v>
      </c>
      <c r="H281" s="3" t="str">
        <f>IFERROR(MID(VLOOKUP($B281,Seqs!$A:$B,2,0),I281,1),"")</f>
        <v>W</v>
      </c>
      <c r="I281" s="23">
        <v>256</v>
      </c>
      <c r="J281" s="3" t="str">
        <f>IFERROR(MID(VLOOKUP($B281,Seqs!$A:$B,2,0),K281,1),"")</f>
        <v>N</v>
      </c>
      <c r="K281" s="23">
        <v>260</v>
      </c>
      <c r="L281" s="3" t="str">
        <f>IFERROR(MID(VLOOKUP($B281,Seqs!$A:$B,2,0),M281,1),"")</f>
        <v>R</v>
      </c>
      <c r="M281" s="3">
        <v>261</v>
      </c>
      <c r="N281" s="3" t="str">
        <f>IFERROR(MID(VLOOKUP($B281,Seqs!$A:$B,2,0),O281,1),"")</f>
        <v>F</v>
      </c>
      <c r="O281" s="3">
        <v>285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L</v>
      </c>
      <c r="U281" s="3">
        <v>312</v>
      </c>
      <c r="V281" s="3" t="str">
        <f>IFERROR(MID(VLOOKUP($B281,Seqs!$A:$B,2,0),W281,1),"")</f>
        <v>L</v>
      </c>
      <c r="W281" s="3">
        <v>346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9">
        <v>354</v>
      </c>
      <c r="AD281" s="3" t="str">
        <f>IFERROR(MID(VLOOKUP($B281,Seqs!$A:$B,2,0),AE281,1),"")</f>
        <v>V</v>
      </c>
      <c r="AE281" s="3">
        <v>378</v>
      </c>
      <c r="AF281" s="3" t="str">
        <f>IFERROR(MID(VLOOKUP($B281,Seqs!$A:$B,2,0),AG281,1),"")</f>
        <v>C</v>
      </c>
      <c r="AG281" s="3">
        <v>390</v>
      </c>
      <c r="AH281" s="3" t="str">
        <f>IFERROR(MID(VLOOKUP($B281,Seqs!$A:$B,2,0),AI281,1),"")</f>
        <v>V</v>
      </c>
      <c r="AI281" s="3">
        <v>392</v>
      </c>
      <c r="AJ281" s="3" t="str">
        <f>IFERROR(MID(VLOOKUP($B281,Seqs!$A:$B,2,0),AK281,1),"")</f>
        <v>N</v>
      </c>
      <c r="AK281" s="105">
        <v>396</v>
      </c>
      <c r="AL281" s="3" t="str">
        <f>IFERROR(MID(VLOOKUP($B281,Seqs!$A:$B,2,0),AM281,1),"")</f>
        <v>S</v>
      </c>
      <c r="AM281" s="3">
        <v>428</v>
      </c>
      <c r="AN281" s="3" t="str">
        <f>IFERROR(MID(VLOOKUP($B281,Seqs!$A:$B,2,0),AO281,1),"")</f>
        <v>E</v>
      </c>
      <c r="AO281" s="3">
        <v>447</v>
      </c>
      <c r="AP281" s="3" t="str">
        <f>IFERROR(MID(VLOOKUP($B281,Seqs!$A:$B,2,0),AQ281,1),"")</f>
        <v>N</v>
      </c>
      <c r="AQ281" s="3">
        <v>493</v>
      </c>
      <c r="AR281" s="3" t="str">
        <f>IFERROR(MID(VLOOKUP($B281,Seqs!$A:$B,2,0),AS281,1),"")</f>
        <v>S</v>
      </c>
      <c r="AS281" s="105">
        <v>514</v>
      </c>
      <c r="AT281" s="3" t="str">
        <f>IFERROR(MID(VLOOKUP($B281,Seqs!$A:$B,2,0),AU281,1),"")</f>
        <v>W</v>
      </c>
      <c r="AU281" s="3">
        <v>537</v>
      </c>
      <c r="AV281" s="3" t="str">
        <f>IFERROR(MID(VLOOKUP($B281,Seqs!$A:$B,2,0),AW281,1),"")</f>
        <v>T</v>
      </c>
      <c r="AW281" s="3">
        <v>538</v>
      </c>
      <c r="AX281" s="3" t="str">
        <f>IFERROR(MID(VLOOKUP($B281,Seqs!$A:$B,2,0),AY281,1),"")</f>
        <v>R</v>
      </c>
      <c r="AY281" s="3">
        <v>551</v>
      </c>
      <c r="AZ281" s="78" t="str">
        <f>VLOOKUP(B281,Classification!A:D,2,0)</f>
        <v>F</v>
      </c>
      <c r="BA281" s="94" t="str">
        <f>VLOOKUP(B281,Classification!A:D,4,0)</f>
        <v>Frizzled</v>
      </c>
      <c r="BB281" s="92" t="b">
        <f t="shared" si="505"/>
        <v>1</v>
      </c>
      <c r="BC281" s="23">
        <f t="shared" si="478"/>
        <v>246</v>
      </c>
      <c r="BD281" s="74" t="s">
        <v>23</v>
      </c>
      <c r="BE281" s="3" t="s">
        <v>1381</v>
      </c>
      <c r="BF281" s="119">
        <v>3.3</v>
      </c>
      <c r="BG281" s="49" t="s">
        <v>1287</v>
      </c>
      <c r="BH281" s="49" t="s">
        <v>1384</v>
      </c>
      <c r="BI281" s="3" t="s">
        <v>1368</v>
      </c>
      <c r="BJ281" s="75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5">
        <f t="shared" si="479"/>
        <v>223</v>
      </c>
      <c r="BW281" s="71">
        <f t="shared" si="480"/>
        <v>256</v>
      </c>
      <c r="BX281" s="72">
        <f t="shared" si="481"/>
        <v>261</v>
      </c>
      <c r="BY281" s="71" t="str">
        <f t="shared" si="482"/>
        <v>-</v>
      </c>
      <c r="BZ281" s="72">
        <f t="shared" si="483"/>
        <v>312</v>
      </c>
      <c r="CA281" s="71" t="str">
        <f t="shared" si="484"/>
        <v>-</v>
      </c>
      <c r="CB281" s="72">
        <f t="shared" si="485"/>
        <v>354</v>
      </c>
      <c r="CC281" s="71">
        <f t="shared" si="486"/>
        <v>390</v>
      </c>
      <c r="CD281" s="72">
        <f t="shared" si="487"/>
        <v>396</v>
      </c>
      <c r="CE281" s="71">
        <f t="shared" si="488"/>
        <v>447</v>
      </c>
      <c r="CF281" s="72">
        <f t="shared" si="489"/>
        <v>514</v>
      </c>
      <c r="CG281" s="71">
        <f t="shared" si="490"/>
        <v>538</v>
      </c>
      <c r="CH281" s="75">
        <f t="shared" si="491"/>
        <v>255</v>
      </c>
      <c r="CI281" s="71">
        <f t="shared" si="492"/>
        <v>260</v>
      </c>
      <c r="CJ281" s="72">
        <f t="shared" si="493"/>
        <v>285</v>
      </c>
      <c r="CK281" s="72" t="str">
        <f t="shared" si="494"/>
        <v>-</v>
      </c>
      <c r="CL281" s="72">
        <f t="shared" si="495"/>
        <v>346</v>
      </c>
      <c r="CM281" s="72" t="str">
        <f t="shared" si="496"/>
        <v>-</v>
      </c>
      <c r="CN281" s="72">
        <f t="shared" si="497"/>
        <v>378</v>
      </c>
      <c r="CO281" s="72">
        <f t="shared" si="498"/>
        <v>392</v>
      </c>
      <c r="CP281" s="72">
        <f t="shared" si="499"/>
        <v>428</v>
      </c>
      <c r="CQ281" s="72">
        <f t="shared" si="500"/>
        <v>493</v>
      </c>
      <c r="CR281" s="72">
        <f t="shared" si="501"/>
        <v>537</v>
      </c>
      <c r="CS281" s="72">
        <f t="shared" si="502"/>
        <v>551</v>
      </c>
      <c r="CT281" s="23">
        <f t="shared" si="503"/>
        <v>1</v>
      </c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1"/>
    </row>
    <row r="282" spans="1:1030" x14ac:dyDescent="0.2">
      <c r="A282" s="3" t="str">
        <f>CONCATENATE(B282,"_",C282)</f>
        <v>smo_human_5V56</v>
      </c>
      <c r="B282" s="3" t="s">
        <v>33</v>
      </c>
      <c r="C282" s="3" t="s">
        <v>1490</v>
      </c>
      <c r="D282" s="3" t="str">
        <f>IFERROR(MID(VLOOKUP($B282,Seqs!$A:$B,2,0),E282,1),"")</f>
        <v>T</v>
      </c>
      <c r="E282" s="3">
        <v>223</v>
      </c>
      <c r="F282" s="3" t="str">
        <f>IFERROR(MID(VLOOKUP($B282,Seqs!$A:$B,2,0),G282,1),"")</f>
        <v>D</v>
      </c>
      <c r="G282" s="3">
        <v>255</v>
      </c>
      <c r="H282" s="3" t="str">
        <f>IFERROR(MID(VLOOKUP($B282,Seqs!$A:$B,2,0),I282,1),"")</f>
        <v>W</v>
      </c>
      <c r="I282" s="23">
        <v>256</v>
      </c>
      <c r="J282" s="3" t="str">
        <f>IFERROR(MID(VLOOKUP($B282,Seqs!$A:$B,2,0),K282,1),"")</f>
        <v>N</v>
      </c>
      <c r="K282" s="23">
        <v>260</v>
      </c>
      <c r="L282" s="3" t="str">
        <f>IFERROR(MID(VLOOKUP($B282,Seqs!$A:$B,2,0),M282,1),"")</f>
        <v>R</v>
      </c>
      <c r="M282" s="3">
        <v>261</v>
      </c>
      <c r="N282" s="3" t="str">
        <f>IFERROR(MID(VLOOKUP($B282,Seqs!$A:$B,2,0),O282,1),"")</f>
        <v>F</v>
      </c>
      <c r="O282" s="3">
        <v>285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L</v>
      </c>
      <c r="U282" s="3">
        <v>312</v>
      </c>
      <c r="V282" s="3" t="str">
        <f>IFERROR(MID(VLOOKUP($B282,Seqs!$A:$B,2,0),W282,1),"")</f>
        <v>S</v>
      </c>
      <c r="W282" s="3">
        <v>342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K</v>
      </c>
      <c r="AC282" s="3">
        <v>356</v>
      </c>
      <c r="AD282" s="3" t="str">
        <f>IFERROR(MID(VLOOKUP($B282,Seqs!$A:$B,2,0),AE282,1),"")</f>
        <v>V</v>
      </c>
      <c r="AE282" s="3">
        <v>378</v>
      </c>
      <c r="AF282" s="3" t="str">
        <f>IFERROR(MID(VLOOKUP($B282,Seqs!$A:$B,2,0),AG282,1),"")</f>
        <v>C</v>
      </c>
      <c r="AG282" s="3">
        <v>390</v>
      </c>
      <c r="AH282" s="3" t="str">
        <f>IFERROR(MID(VLOOKUP($B282,Seqs!$A:$B,2,0),AI282,1),"")</f>
        <v>V</v>
      </c>
      <c r="AI282" s="3">
        <v>392</v>
      </c>
      <c r="AJ282" s="3" t="str">
        <f>IFERROR(MID(VLOOKUP($B282,Seqs!$A:$B,2,0),AK282,1),"")</f>
        <v>N</v>
      </c>
      <c r="AK282" s="3">
        <v>396</v>
      </c>
      <c r="AL282" s="3" t="str">
        <f>IFERROR(MID(VLOOKUP($B282,Seqs!$A:$B,2,0),AM282,1),"")</f>
        <v>I</v>
      </c>
      <c r="AM282" s="3">
        <v>429</v>
      </c>
      <c r="AN282" s="3" t="str">
        <f>IFERROR(MID(VLOOKUP($B282,Seqs!$A:$B,2,0),AO282,1),"")</f>
        <v>N</v>
      </c>
      <c r="AO282" s="3">
        <v>446</v>
      </c>
      <c r="AP282" s="3" t="str">
        <f>IFERROR(MID(VLOOKUP($B282,Seqs!$A:$B,2,0),AQ282,1),"")</f>
        <v>N</v>
      </c>
      <c r="AQ282" s="3">
        <v>493</v>
      </c>
      <c r="AR282" s="3" t="str">
        <f>IFERROR(MID(VLOOKUP($B282,Seqs!$A:$B,2,0),AS282,1),"")</f>
        <v>S</v>
      </c>
      <c r="AS282" s="3">
        <v>514</v>
      </c>
      <c r="AT282" s="3" t="str">
        <f>IFERROR(MID(VLOOKUP($B282,Seqs!$A:$B,2,0),AU282,1),"")</f>
        <v>W</v>
      </c>
      <c r="AU282" s="3">
        <v>537</v>
      </c>
      <c r="AV282" s="3" t="str">
        <f>IFERROR(MID(VLOOKUP($B282,Seqs!$A:$B,2,0),AW282,1),"")</f>
        <v>T</v>
      </c>
      <c r="AW282" s="3">
        <v>538</v>
      </c>
      <c r="AX282" s="3" t="str">
        <f>IFERROR(MID(VLOOKUP($B282,Seqs!$A:$B,2,0),AY282,1),"")</f>
        <v>T</v>
      </c>
      <c r="AY282" s="3">
        <v>553</v>
      </c>
      <c r="AZ282" s="78" t="str">
        <f>VLOOKUP(B282,Classification!A:D,2,0)</f>
        <v>F</v>
      </c>
      <c r="BA282" s="94" t="str">
        <f>VLOOKUP(B282,Classification!A:D,4,0)</f>
        <v>Frizzled</v>
      </c>
      <c r="BB282" s="92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244</v>
      </c>
      <c r="BD282" s="74" t="s">
        <v>23</v>
      </c>
      <c r="BE282" s="3" t="s">
        <v>1381</v>
      </c>
      <c r="BF282" s="119">
        <v>2.9</v>
      </c>
      <c r="BG282" s="49" t="s">
        <v>1287</v>
      </c>
      <c r="BH282" s="49" t="s">
        <v>1287</v>
      </c>
      <c r="BJ282" s="75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5">
        <f>E282</f>
        <v>223</v>
      </c>
      <c r="BW282" s="71">
        <f>I282</f>
        <v>256</v>
      </c>
      <c r="BX282" s="72">
        <f>M282</f>
        <v>261</v>
      </c>
      <c r="BY282" s="71" t="str">
        <f>Q282</f>
        <v>-</v>
      </c>
      <c r="BZ282" s="72">
        <f>U282</f>
        <v>312</v>
      </c>
      <c r="CA282" s="71" t="str">
        <f>Y282</f>
        <v>-</v>
      </c>
      <c r="CB282" s="72">
        <f>AC282</f>
        <v>356</v>
      </c>
      <c r="CC282" s="71">
        <f>AG282</f>
        <v>390</v>
      </c>
      <c r="CD282" s="72">
        <f>AK282</f>
        <v>396</v>
      </c>
      <c r="CE282" s="71">
        <f>AO282</f>
        <v>446</v>
      </c>
      <c r="CF282" s="72">
        <f>AS282</f>
        <v>514</v>
      </c>
      <c r="CG282" s="71">
        <f>AW282</f>
        <v>538</v>
      </c>
      <c r="CH282" s="75">
        <f>G282</f>
        <v>255</v>
      </c>
      <c r="CI282" s="71">
        <f>K282</f>
        <v>260</v>
      </c>
      <c r="CJ282" s="72">
        <f>O282</f>
        <v>285</v>
      </c>
      <c r="CK282" s="72" t="str">
        <f>S282</f>
        <v>-</v>
      </c>
      <c r="CL282" s="72">
        <f>W282</f>
        <v>342</v>
      </c>
      <c r="CM282" s="72" t="str">
        <f>AA282</f>
        <v>-</v>
      </c>
      <c r="CN282" s="72">
        <f>AE282</f>
        <v>378</v>
      </c>
      <c r="CO282" s="72">
        <f>AI282</f>
        <v>392</v>
      </c>
      <c r="CP282" s="72">
        <f>AM282</f>
        <v>429</v>
      </c>
      <c r="CQ282" s="72">
        <f>AQ282</f>
        <v>493</v>
      </c>
      <c r="CR282" s="72">
        <f>AU282</f>
        <v>537</v>
      </c>
      <c r="CS282" s="72">
        <f>AY282</f>
        <v>553</v>
      </c>
      <c r="CT282" s="23">
        <f>M282-K282</f>
        <v>1</v>
      </c>
    </row>
    <row r="283" spans="1:1030" x14ac:dyDescent="0.2">
      <c r="A283" s="3" t="str">
        <f>CONCATENATE(B283,"_",C283)</f>
        <v>smo_human_5V57</v>
      </c>
      <c r="B283" s="3" t="s">
        <v>33</v>
      </c>
      <c r="C283" s="3" t="s">
        <v>1491</v>
      </c>
      <c r="D283" s="3" t="str">
        <f>IFERROR(MID(VLOOKUP($B283,Seqs!$A:$B,2,0),E283,1),"")</f>
        <v>T</v>
      </c>
      <c r="E283" s="3">
        <v>223</v>
      </c>
      <c r="F283" s="3" t="str">
        <f>IFERROR(MID(VLOOKUP($B283,Seqs!$A:$B,2,0),G283,1),"")</f>
        <v>D</v>
      </c>
      <c r="G283" s="3">
        <v>255</v>
      </c>
      <c r="H283" s="3" t="str">
        <f>IFERROR(MID(VLOOKUP($B283,Seqs!$A:$B,2,0),I283,1),"")</f>
        <v>W</v>
      </c>
      <c r="I283" s="23">
        <v>256</v>
      </c>
      <c r="J283" s="3" t="str">
        <f>IFERROR(MID(VLOOKUP($B283,Seqs!$A:$B,2,0),K283,1),"")</f>
        <v>N</v>
      </c>
      <c r="K283" s="23">
        <v>260</v>
      </c>
      <c r="L283" s="3" t="str">
        <f>IFERROR(MID(VLOOKUP($B283,Seqs!$A:$B,2,0),M283,1),"")</f>
        <v>R</v>
      </c>
      <c r="M283" s="3">
        <v>261</v>
      </c>
      <c r="N283" s="3" t="str">
        <f>IFERROR(MID(VLOOKUP($B283,Seqs!$A:$B,2,0),O283,1),"")</f>
        <v>F</v>
      </c>
      <c r="O283" s="3">
        <v>285</v>
      </c>
      <c r="P283" s="3" t="str">
        <f>IFERROR(MID(VLOOKUP($B283,Seqs!$A:$B,2,0),Q283,1),"")</f>
        <v/>
      </c>
      <c r="Q283" s="3" t="s">
        <v>23</v>
      </c>
      <c r="R283" s="3" t="str">
        <f>IFERROR(MID(VLOOKUP($B283,Seqs!$A:$B,2,0),S283,1),"")</f>
        <v/>
      </c>
      <c r="S283" s="3" t="s">
        <v>23</v>
      </c>
      <c r="T283" s="3" t="str">
        <f>IFERROR(MID(VLOOKUP($B283,Seqs!$A:$B,2,0),U283,1),"")</f>
        <v>L</v>
      </c>
      <c r="U283" s="3">
        <v>312</v>
      </c>
      <c r="V283" s="3" t="str">
        <f>IFERROR(MID(VLOOKUP($B283,Seqs!$A:$B,2,0),W283,1),"")</f>
        <v>S</v>
      </c>
      <c r="W283" s="3">
        <v>342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T</v>
      </c>
      <c r="AC283" s="3">
        <v>357</v>
      </c>
      <c r="AD283" s="3" t="str">
        <f>IFERROR(MID(VLOOKUP($B283,Seqs!$A:$B,2,0),AE283,1),"")</f>
        <v>V</v>
      </c>
      <c r="AE283" s="3">
        <v>378</v>
      </c>
      <c r="AF283" s="3" t="str">
        <f>IFERROR(MID(VLOOKUP($B283,Seqs!$A:$B,2,0),AG283,1),"")</f>
        <v>C</v>
      </c>
      <c r="AG283" s="3">
        <v>390</v>
      </c>
      <c r="AH283" s="3" t="str">
        <f>IFERROR(MID(VLOOKUP($B283,Seqs!$A:$B,2,0),AI283,1),"")</f>
        <v>V</v>
      </c>
      <c r="AI283" s="3">
        <v>392</v>
      </c>
      <c r="AJ283" s="3" t="str">
        <f>IFERROR(MID(VLOOKUP($B283,Seqs!$A:$B,2,0),AK283,1),"")</f>
        <v>N</v>
      </c>
      <c r="AK283" s="3">
        <v>396</v>
      </c>
      <c r="AL283" s="3" t="str">
        <f>IFERROR(MID(VLOOKUP($B283,Seqs!$A:$B,2,0),AM283,1),"")</f>
        <v>N</v>
      </c>
      <c r="AM283" s="3">
        <v>432</v>
      </c>
      <c r="AN283" s="3" t="str">
        <f>IFERROR(MID(VLOOKUP($B283,Seqs!$A:$B,2,0),AO283,1),"")</f>
        <v>E</v>
      </c>
      <c r="AO283" s="3">
        <v>447</v>
      </c>
      <c r="AP283" s="3" t="str">
        <f>IFERROR(MID(VLOOKUP($B283,Seqs!$A:$B,2,0),AQ283,1),"")</f>
        <v>N</v>
      </c>
      <c r="AQ283" s="3">
        <v>493</v>
      </c>
      <c r="AR283" s="3" t="str">
        <f>IFERROR(MID(VLOOKUP($B283,Seqs!$A:$B,2,0),AS283,1),"")</f>
        <v>S</v>
      </c>
      <c r="AS283" s="3">
        <v>514</v>
      </c>
      <c r="AT283" s="3" t="str">
        <f>IFERROR(MID(VLOOKUP($B283,Seqs!$A:$B,2,0),AU283,1),"")</f>
        <v>W</v>
      </c>
      <c r="AU283" s="3">
        <v>537</v>
      </c>
      <c r="AV283" s="3" t="str">
        <f>IFERROR(MID(VLOOKUP($B283,Seqs!$A:$B,2,0),AW283,1),"")</f>
        <v>T</v>
      </c>
      <c r="AW283" s="3">
        <v>538</v>
      </c>
      <c r="AX283" s="3" t="str">
        <f>IFERROR(MID(VLOOKUP($B283,Seqs!$A:$B,2,0),AY283,1),"")</f>
        <v>G</v>
      </c>
      <c r="AY283" s="3">
        <v>554</v>
      </c>
      <c r="AZ283" s="78" t="str">
        <f>VLOOKUP(B283,Classification!A:D,2,0)</f>
        <v>F</v>
      </c>
      <c r="BA283" s="94" t="str">
        <f>VLOOKUP(B283,Classification!A:D,4,0)</f>
        <v>Frizzled</v>
      </c>
      <c r="BB283" s="92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246</v>
      </c>
      <c r="BD283" s="74" t="s">
        <v>23</v>
      </c>
      <c r="BE283" s="3" t="s">
        <v>1381</v>
      </c>
      <c r="BF283" s="119">
        <v>3</v>
      </c>
      <c r="BG283" s="49" t="s">
        <v>1</v>
      </c>
      <c r="BH283" s="49" t="s">
        <v>1</v>
      </c>
      <c r="BJ283" s="75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5">
        <f>E283</f>
        <v>223</v>
      </c>
      <c r="BW283" s="71">
        <f>I283</f>
        <v>256</v>
      </c>
      <c r="BX283" s="72">
        <f>M283</f>
        <v>261</v>
      </c>
      <c r="BY283" s="71" t="str">
        <f>Q283</f>
        <v>-</v>
      </c>
      <c r="BZ283" s="72">
        <f>U283</f>
        <v>312</v>
      </c>
      <c r="CA283" s="71" t="str">
        <f>Y283</f>
        <v>-</v>
      </c>
      <c r="CB283" s="72">
        <f>AC283</f>
        <v>357</v>
      </c>
      <c r="CC283" s="71">
        <f>AG283</f>
        <v>390</v>
      </c>
      <c r="CD283" s="72">
        <f>AK283</f>
        <v>396</v>
      </c>
      <c r="CE283" s="71">
        <f>AO283</f>
        <v>447</v>
      </c>
      <c r="CF283" s="72">
        <f>AS283</f>
        <v>514</v>
      </c>
      <c r="CG283" s="71">
        <f>AW283</f>
        <v>538</v>
      </c>
      <c r="CH283" s="75">
        <f>G283</f>
        <v>255</v>
      </c>
      <c r="CI283" s="71">
        <f>K283</f>
        <v>260</v>
      </c>
      <c r="CJ283" s="72">
        <f>O283</f>
        <v>285</v>
      </c>
      <c r="CK283" s="72" t="str">
        <f>S283</f>
        <v>-</v>
      </c>
      <c r="CL283" s="72">
        <f>W283</f>
        <v>342</v>
      </c>
      <c r="CM283" s="72" t="str">
        <f>AA283</f>
        <v>-</v>
      </c>
      <c r="CN283" s="72">
        <f>AE283</f>
        <v>378</v>
      </c>
      <c r="CO283" s="72">
        <f>AI283</f>
        <v>392</v>
      </c>
      <c r="CP283" s="72">
        <f>AM283</f>
        <v>432</v>
      </c>
      <c r="CQ283" s="72">
        <f>AQ283</f>
        <v>493</v>
      </c>
      <c r="CR283" s="72">
        <f>AU283</f>
        <v>537</v>
      </c>
      <c r="CS283" s="72">
        <f>AY283</f>
        <v>554</v>
      </c>
      <c r="CT283" s="23">
        <f>M283-K283</f>
        <v>1</v>
      </c>
    </row>
    <row r="284" spans="1:1030" x14ac:dyDescent="0.2">
      <c r="A284" s="9" t="str">
        <f>CONCATENATE(B284,"_",C284)</f>
        <v>q98sw5_xenla__wt</v>
      </c>
      <c r="B284" s="9" t="s">
        <v>1510</v>
      </c>
      <c r="C284" s="9" t="s">
        <v>100</v>
      </c>
      <c r="D284" s="9" t="str">
        <f>IFERROR(MID(VLOOKUP($B284,Seqs!$A:$B,2,0),E284,1),"")</f>
        <v>T</v>
      </c>
      <c r="E284" s="9">
        <v>196</v>
      </c>
      <c r="F284" s="9" t="str">
        <f>IFERROR(MID(VLOOKUP($B284,Seqs!$A:$B,2,0),G284,1),"")</f>
        <v>D</v>
      </c>
      <c r="G284" s="9">
        <v>228</v>
      </c>
      <c r="H284" s="9" t="str">
        <f>IFERROR(MID(VLOOKUP($B284,Seqs!$A:$B,2,0),I284,1),"")</f>
        <v>W</v>
      </c>
      <c r="I284" s="109">
        <v>229</v>
      </c>
      <c r="J284" s="9" t="str">
        <f>IFERROR(MID(VLOOKUP($B284,Seqs!$A:$B,2,0),K284,1),"")</f>
        <v>N</v>
      </c>
      <c r="K284" s="109">
        <v>233</v>
      </c>
      <c r="L284" s="9" t="str">
        <f>IFERROR(MID(VLOOKUP($B284,Seqs!$A:$B,2,0),M284,1),"")</f>
        <v>R</v>
      </c>
      <c r="M284" s="9">
        <v>234</v>
      </c>
      <c r="N284" s="9" t="str">
        <f>IFERROR(MID(VLOOKUP($B284,Seqs!$A:$B,2,0),O284,1),"")</f>
        <v>A</v>
      </c>
      <c r="O284" s="9">
        <v>256</v>
      </c>
      <c r="P284" s="9" t="str">
        <f>IFERROR(MID(VLOOKUP($B284,Seqs!$A:$B,2,0),Q284,1),"")</f>
        <v/>
      </c>
      <c r="Q284" s="9" t="s">
        <v>23</v>
      </c>
      <c r="R284" s="9" t="str">
        <f>IFERROR(MID(VLOOKUP($B284,Seqs!$A:$B,2,0),S284,1),"")</f>
        <v/>
      </c>
      <c r="S284" s="9" t="s">
        <v>23</v>
      </c>
      <c r="T284" s="9" t="str">
        <f>IFERROR(MID(VLOOKUP($B284,Seqs!$A:$B,2,0),U284,1),"")</f>
        <v>L</v>
      </c>
      <c r="U284" s="9">
        <v>285</v>
      </c>
      <c r="V284" s="9" t="str">
        <f>IFERROR(MID(VLOOKUP($B284,Seqs!$A:$B,2,0),W284,1),"")</f>
        <v>T</v>
      </c>
      <c r="W284" s="9">
        <v>321</v>
      </c>
      <c r="X284" s="9" t="str">
        <f>IFERROR(MID(VLOOKUP($B284,Seqs!$A:$B,2,0),Y284,1),"")</f>
        <v/>
      </c>
      <c r="Y284" s="9" t="s">
        <v>23</v>
      </c>
      <c r="Z284" s="9" t="str">
        <f>IFERROR(MID(VLOOKUP($B284,Seqs!$A:$B,2,0),AA284,1),"")</f>
        <v/>
      </c>
      <c r="AA284" s="9" t="s">
        <v>23</v>
      </c>
      <c r="AB284" s="9" t="str">
        <f>IFERROR(MID(VLOOKUP($B284,Seqs!$A:$B,2,0),AC284,1),"")</f>
        <v>L</v>
      </c>
      <c r="AC284" s="9">
        <v>326</v>
      </c>
      <c r="AD284" s="9" t="str">
        <f>IFERROR(MID(VLOOKUP($B284,Seqs!$A:$B,2,0),AE284,1),"")</f>
        <v>V</v>
      </c>
      <c r="AE284" s="9">
        <v>351</v>
      </c>
      <c r="AF284" s="9" t="str">
        <f>IFERROR(MID(VLOOKUP($B284,Seqs!$A:$B,2,0),AG284,1),"")</f>
        <v>C</v>
      </c>
      <c r="AG284" s="9">
        <v>363</v>
      </c>
      <c r="AH284" s="9" t="str">
        <f>IFERROR(MID(VLOOKUP($B284,Seqs!$A:$B,2,0),AI284,1),"")</f>
        <v>V</v>
      </c>
      <c r="AI284" s="9">
        <v>365</v>
      </c>
      <c r="AJ284" s="9" t="str">
        <f>IFERROR(MID(VLOOKUP($B284,Seqs!$A:$B,2,0),AK284,1),"")</f>
        <v>N</v>
      </c>
      <c r="AK284" s="9">
        <v>369</v>
      </c>
      <c r="AL284" s="9" t="str">
        <f>IFERROR(MID(VLOOKUP($B284,Seqs!$A:$B,2,0),AM284,1),"")</f>
        <v>H</v>
      </c>
      <c r="AM284" s="9">
        <v>406</v>
      </c>
      <c r="AN284" s="9" t="str">
        <f>IFERROR(MID(VLOOKUP($B284,Seqs!$A:$B,2,0),AO284,1),"")</f>
        <v>A</v>
      </c>
      <c r="AO284" s="9">
        <v>415</v>
      </c>
      <c r="AP284" s="9" t="str">
        <f>IFERROR(MID(VLOOKUP($B284,Seqs!$A:$B,2,0),AQ284,1),"")</f>
        <v>Q</v>
      </c>
      <c r="AQ284" s="9">
        <v>472</v>
      </c>
      <c r="AR284" s="9" t="str">
        <f>IFERROR(MID(VLOOKUP($B284,Seqs!$A:$B,2,0),AS284,1),"")</f>
        <v>S</v>
      </c>
      <c r="AS284" s="9">
        <v>487</v>
      </c>
      <c r="AT284" s="9" t="str">
        <f>IFERROR(MID(VLOOKUP($B284,Seqs!$A:$B,2,0),AU284,1),"")</f>
        <v>W</v>
      </c>
      <c r="AU284" s="9">
        <v>510</v>
      </c>
      <c r="AV284" s="9" t="str">
        <f>IFERROR(MID(VLOOKUP($B284,Seqs!$A:$B,2,0),AW284,1),"")</f>
        <v>T</v>
      </c>
      <c r="AW284" s="9">
        <v>511</v>
      </c>
      <c r="AX284" s="9" t="str">
        <f>IFERROR(MID(VLOOKUP($B284,Seqs!$A:$B,2,0),AY284,1),"")</f>
        <v>L</v>
      </c>
      <c r="AY284" s="9">
        <v>526</v>
      </c>
      <c r="AZ284" s="124" t="str">
        <f>VLOOKUP(B284,Classification!A:D,2,0)</f>
        <v>F</v>
      </c>
      <c r="BA284" s="98" t="str">
        <f>VLOOKUP(B284,Classification!A:D,4,0)</f>
        <v>Frizzled</v>
      </c>
      <c r="BB284" s="125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109">
        <f>_xlfn.AGGREGATE(9,6,CH284:CS284)-_xlfn.AGGREGATE(9,6,BV284:CG284)+12</f>
        <v>265</v>
      </c>
      <c r="BD284" s="126" t="s">
        <v>23</v>
      </c>
      <c r="BE284" s="9" t="s">
        <v>1381</v>
      </c>
      <c r="BF284" s="120" t="s">
        <v>23</v>
      </c>
      <c r="BG284" s="51" t="s">
        <v>1</v>
      </c>
      <c r="BH284" s="51" t="s">
        <v>1</v>
      </c>
      <c r="BI284" s="9"/>
      <c r="BJ284" s="127" t="s">
        <v>1293</v>
      </c>
      <c r="BK284" s="112" t="s">
        <v>1293</v>
      </c>
      <c r="BL284" s="112" t="s">
        <v>1293</v>
      </c>
      <c r="BM284" s="112" t="s">
        <v>1293</v>
      </c>
      <c r="BN284" s="112" t="s">
        <v>1293</v>
      </c>
      <c r="BO284" s="112" t="s">
        <v>1293</v>
      </c>
      <c r="BP284" s="112" t="s">
        <v>1293</v>
      </c>
      <c r="BQ284" s="112" t="s">
        <v>1293</v>
      </c>
      <c r="BR284" s="112" t="s">
        <v>1293</v>
      </c>
      <c r="BS284" s="112" t="s">
        <v>1293</v>
      </c>
      <c r="BT284" s="112" t="s">
        <v>1293</v>
      </c>
      <c r="BU284" s="112" t="s">
        <v>1293</v>
      </c>
      <c r="BV284" s="127">
        <f>E284</f>
        <v>196</v>
      </c>
      <c r="BW284" s="113">
        <f>I284</f>
        <v>229</v>
      </c>
      <c r="BX284" s="114">
        <f>M284</f>
        <v>234</v>
      </c>
      <c r="BY284" s="113" t="str">
        <f>Q284</f>
        <v>-</v>
      </c>
      <c r="BZ284" s="114">
        <f>U284</f>
        <v>285</v>
      </c>
      <c r="CA284" s="113" t="str">
        <f>Y284</f>
        <v>-</v>
      </c>
      <c r="CB284" s="114">
        <f>AC284</f>
        <v>326</v>
      </c>
      <c r="CC284" s="113">
        <f>AG284</f>
        <v>363</v>
      </c>
      <c r="CD284" s="114">
        <f>AK284</f>
        <v>369</v>
      </c>
      <c r="CE284" s="113">
        <f>AO284</f>
        <v>415</v>
      </c>
      <c r="CF284" s="114">
        <f>AS284</f>
        <v>487</v>
      </c>
      <c r="CG284" s="113">
        <f>AW284</f>
        <v>511</v>
      </c>
      <c r="CH284" s="127">
        <f>G284</f>
        <v>228</v>
      </c>
      <c r="CI284" s="113">
        <f>K284</f>
        <v>233</v>
      </c>
      <c r="CJ284" s="114">
        <f>O284</f>
        <v>256</v>
      </c>
      <c r="CK284" s="114" t="str">
        <f>S284</f>
        <v>-</v>
      </c>
      <c r="CL284" s="114">
        <f>W284</f>
        <v>321</v>
      </c>
      <c r="CM284" s="114" t="str">
        <f>AA284</f>
        <v>-</v>
      </c>
      <c r="CN284" s="114">
        <f>AE284</f>
        <v>351</v>
      </c>
      <c r="CO284" s="114">
        <f>AI284</f>
        <v>365</v>
      </c>
      <c r="CP284" s="114">
        <f>AM284</f>
        <v>406</v>
      </c>
      <c r="CQ284" s="114">
        <f>AQ284</f>
        <v>472</v>
      </c>
      <c r="CR284" s="114">
        <f>AU284</f>
        <v>510</v>
      </c>
      <c r="CS284" s="114">
        <f>AY284</f>
        <v>526</v>
      </c>
      <c r="CT284" s="109">
        <f>M284-K284</f>
        <v>1</v>
      </c>
    </row>
    <row r="285" spans="1:1030" x14ac:dyDescent="0.2">
      <c r="A285" s="9" t="str">
        <f>CONCATENATE(B285,"_",C285)</f>
        <v>q98sw5_xenla_6D32</v>
      </c>
      <c r="B285" s="9" t="s">
        <v>1510</v>
      </c>
      <c r="C285" s="9" t="s">
        <v>1509</v>
      </c>
      <c r="D285" s="9" t="str">
        <f>IFERROR(MID(VLOOKUP($B285,Seqs!$A:$B,2,0),E285,1),"")</f>
        <v>T</v>
      </c>
      <c r="E285" s="9">
        <v>196</v>
      </c>
      <c r="F285" s="9" t="str">
        <f>IFERROR(MID(VLOOKUP($B285,Seqs!$A:$B,2,0),G285,1),"")</f>
        <v>D</v>
      </c>
      <c r="G285" s="9">
        <v>228</v>
      </c>
      <c r="H285" s="9" t="str">
        <f>IFERROR(MID(VLOOKUP($B285,Seqs!$A:$B,2,0),I285,1),"")</f>
        <v>W</v>
      </c>
      <c r="I285" s="109">
        <v>229</v>
      </c>
      <c r="J285" s="9" t="str">
        <f>IFERROR(MID(VLOOKUP($B285,Seqs!$A:$B,2,0),K285,1),"")</f>
        <v>N</v>
      </c>
      <c r="K285" s="109">
        <v>233</v>
      </c>
      <c r="L285" s="9" t="str">
        <f>IFERROR(MID(VLOOKUP($B285,Seqs!$A:$B,2,0),M285,1),"")</f>
        <v>R</v>
      </c>
      <c r="M285" s="9">
        <v>234</v>
      </c>
      <c r="N285" s="9" t="str">
        <f>IFERROR(MID(VLOOKUP($B285,Seqs!$A:$B,2,0),O285,1),"")</f>
        <v>A</v>
      </c>
      <c r="O285" s="9">
        <v>256</v>
      </c>
      <c r="P285" s="9" t="str">
        <f>IFERROR(MID(VLOOKUP($B285,Seqs!$A:$B,2,0),Q285,1),"")</f>
        <v/>
      </c>
      <c r="Q285" s="9" t="s">
        <v>23</v>
      </c>
      <c r="R285" s="9" t="str">
        <f>IFERROR(MID(VLOOKUP($B285,Seqs!$A:$B,2,0),S285,1),"")</f>
        <v/>
      </c>
      <c r="S285" s="9" t="s">
        <v>23</v>
      </c>
      <c r="T285" s="9" t="str">
        <f>IFERROR(MID(VLOOKUP($B285,Seqs!$A:$B,2,0),U285,1),"")</f>
        <v>L</v>
      </c>
      <c r="U285" s="9">
        <v>285</v>
      </c>
      <c r="V285" s="9" t="str">
        <f>IFERROR(MID(VLOOKUP($B285,Seqs!$A:$B,2,0),W285,1),"")</f>
        <v>K</v>
      </c>
      <c r="W285" s="9">
        <v>317</v>
      </c>
      <c r="X285" s="9" t="str">
        <f>IFERROR(MID(VLOOKUP($B285,Seqs!$A:$B,2,0),Y285,1),"")</f>
        <v/>
      </c>
      <c r="Y285" s="9" t="s">
        <v>23</v>
      </c>
      <c r="Z285" s="9" t="str">
        <f>IFERROR(MID(VLOOKUP($B285,Seqs!$A:$B,2,0),AA285,1),"")</f>
        <v/>
      </c>
      <c r="AA285" s="9" t="s">
        <v>23</v>
      </c>
      <c r="AB285" s="9" t="str">
        <f>IFERROR(MID(VLOOKUP($B285,Seqs!$A:$B,2,0),AC285,1),"")</f>
        <v>K</v>
      </c>
      <c r="AC285" s="9">
        <v>329</v>
      </c>
      <c r="AD285" s="9" t="str">
        <f>IFERROR(MID(VLOOKUP($B285,Seqs!$A:$B,2,0),AE285,1),"")</f>
        <v>V</v>
      </c>
      <c r="AE285" s="9">
        <v>351</v>
      </c>
      <c r="AF285" s="9" t="str">
        <f>IFERROR(MID(VLOOKUP($B285,Seqs!$A:$B,2,0),AG285,1),"")</f>
        <v>C</v>
      </c>
      <c r="AG285" s="9">
        <v>363</v>
      </c>
      <c r="AH285" s="9" t="str">
        <f>IFERROR(MID(VLOOKUP($B285,Seqs!$A:$B,2,0),AI285,1),"")</f>
        <v>V</v>
      </c>
      <c r="AI285" s="9">
        <v>365</v>
      </c>
      <c r="AJ285" s="9" t="str">
        <f>IFERROR(MID(VLOOKUP($B285,Seqs!$A:$B,2,0),AK285,1),"")</f>
        <v>N</v>
      </c>
      <c r="AK285" s="9">
        <v>369</v>
      </c>
      <c r="AL285" s="9" t="str">
        <f>IFERROR(MID(VLOOKUP($B285,Seqs!$A:$B,2,0),AM285,1),"")</f>
        <v>S</v>
      </c>
      <c r="AM285" s="9">
        <v>401</v>
      </c>
      <c r="AN285" s="9" t="str">
        <f>IFERROR(MID(VLOOKUP($B285,Seqs!$A:$B,2,0),AO285,1),"")</f>
        <v>S</v>
      </c>
      <c r="AO285" s="9">
        <v>416</v>
      </c>
      <c r="AP285" s="9" t="str">
        <f>IFERROR(MID(VLOOKUP($B285,Seqs!$A:$B,2,0),AQ285,1),"")</f>
        <v>Q</v>
      </c>
      <c r="AQ285" s="9">
        <v>472</v>
      </c>
      <c r="AR285" s="9" t="str">
        <f>IFERROR(MID(VLOOKUP($B285,Seqs!$A:$B,2,0),AS285,1),"")</f>
        <v>S</v>
      </c>
      <c r="AS285" s="9">
        <v>487</v>
      </c>
      <c r="AT285" s="9" t="str">
        <f>IFERROR(MID(VLOOKUP($B285,Seqs!$A:$B,2,0),AU285,1),"")</f>
        <v>W</v>
      </c>
      <c r="AU285" s="9">
        <v>510</v>
      </c>
      <c r="AV285" s="9" t="str">
        <f>IFERROR(MID(VLOOKUP($B285,Seqs!$A:$B,2,0),AW285,1),"")</f>
        <v>T</v>
      </c>
      <c r="AW285" s="9">
        <v>511</v>
      </c>
      <c r="AX285" s="9" t="str">
        <f>IFERROR(MID(VLOOKUP($B285,Seqs!$A:$B,2,0),AY285,1),"")</f>
        <v>R</v>
      </c>
      <c r="AY285" s="9">
        <v>520</v>
      </c>
      <c r="AZ285" s="124" t="str">
        <f>VLOOKUP(B285,Classification!A:D,2,0)</f>
        <v>F</v>
      </c>
      <c r="BA285" s="98" t="str">
        <f>VLOOKUP(B285,Classification!A:D,4,0)</f>
        <v>Frizzled</v>
      </c>
      <c r="BB285" s="125" t="b">
        <f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109">
        <f>_xlfn.AGGREGATE(9,6,CH285:CS285)-_xlfn.AGGREGATE(9,6,BV285:CG285)+12</f>
        <v>246</v>
      </c>
      <c r="BD285" s="126" t="s">
        <v>1383</v>
      </c>
      <c r="BE285" s="9" t="s">
        <v>1381</v>
      </c>
      <c r="BF285" s="120">
        <v>3.7509999999999999</v>
      </c>
      <c r="BG285" s="51" t="s">
        <v>1</v>
      </c>
      <c r="BH285" s="51" t="s">
        <v>1</v>
      </c>
      <c r="BI285" s="9"/>
      <c r="BJ285" s="127" t="s">
        <v>1293</v>
      </c>
      <c r="BK285" s="112" t="s">
        <v>1293</v>
      </c>
      <c r="BL285" s="112" t="s">
        <v>1293</v>
      </c>
      <c r="BM285" s="112" t="s">
        <v>1293</v>
      </c>
      <c r="BN285" s="112" t="s">
        <v>1293</v>
      </c>
      <c r="BO285" s="112" t="s">
        <v>1293</v>
      </c>
      <c r="BP285" s="112" t="s">
        <v>1293</v>
      </c>
      <c r="BQ285" s="112" t="s">
        <v>1293</v>
      </c>
      <c r="BR285" s="112" t="s">
        <v>1293</v>
      </c>
      <c r="BS285" s="112" t="s">
        <v>1293</v>
      </c>
      <c r="BT285" s="112" t="s">
        <v>1293</v>
      </c>
      <c r="BU285" s="112" t="s">
        <v>1293</v>
      </c>
      <c r="BV285" s="127">
        <f>E285</f>
        <v>196</v>
      </c>
      <c r="BW285" s="113">
        <f>I285</f>
        <v>229</v>
      </c>
      <c r="BX285" s="114">
        <f>M285</f>
        <v>234</v>
      </c>
      <c r="BY285" s="113" t="str">
        <f>Q285</f>
        <v>-</v>
      </c>
      <c r="BZ285" s="114">
        <f>U285</f>
        <v>285</v>
      </c>
      <c r="CA285" s="113" t="str">
        <f>Y285</f>
        <v>-</v>
      </c>
      <c r="CB285" s="114">
        <f>AC285</f>
        <v>329</v>
      </c>
      <c r="CC285" s="113">
        <f>AG285</f>
        <v>363</v>
      </c>
      <c r="CD285" s="114">
        <f>AK285</f>
        <v>369</v>
      </c>
      <c r="CE285" s="113">
        <f>AO285</f>
        <v>416</v>
      </c>
      <c r="CF285" s="114">
        <f>AS285</f>
        <v>487</v>
      </c>
      <c r="CG285" s="113">
        <f>AW285</f>
        <v>511</v>
      </c>
      <c r="CH285" s="127">
        <f>G285</f>
        <v>228</v>
      </c>
      <c r="CI285" s="113">
        <f>K285</f>
        <v>233</v>
      </c>
      <c r="CJ285" s="114">
        <f>O285</f>
        <v>256</v>
      </c>
      <c r="CK285" s="114" t="str">
        <f>S285</f>
        <v>-</v>
      </c>
      <c r="CL285" s="114">
        <f>W285</f>
        <v>317</v>
      </c>
      <c r="CM285" s="114" t="str">
        <f>AA285</f>
        <v>-</v>
      </c>
      <c r="CN285" s="114">
        <f>AE285</f>
        <v>351</v>
      </c>
      <c r="CO285" s="114">
        <f>AI285</f>
        <v>365</v>
      </c>
      <c r="CP285" s="114">
        <f>AM285</f>
        <v>401</v>
      </c>
      <c r="CQ285" s="114">
        <f>AQ285</f>
        <v>472</v>
      </c>
      <c r="CR285" s="114">
        <f>AU285</f>
        <v>510</v>
      </c>
      <c r="CS285" s="114">
        <f>AY285</f>
        <v>520</v>
      </c>
      <c r="CT285" s="109">
        <f>M285-K285</f>
        <v>1</v>
      </c>
    </row>
    <row r="286" spans="1:1030" x14ac:dyDescent="0.2">
      <c r="A286" s="9" t="str">
        <f>CONCATENATE(B286,"_",C286)</f>
        <v>q98sw5_xenla_6D35</v>
      </c>
      <c r="B286" s="9" t="s">
        <v>1510</v>
      </c>
      <c r="C286" s="9" t="s">
        <v>1513</v>
      </c>
      <c r="D286" s="9" t="str">
        <f>IFERROR(MID(VLOOKUP($B286,Seqs!$A:$B,2,0),E286,1),"")</f>
        <v>T</v>
      </c>
      <c r="E286" s="9">
        <v>196</v>
      </c>
      <c r="F286" s="9" t="str">
        <f>IFERROR(MID(VLOOKUP($B286,Seqs!$A:$B,2,0),G286,1),"")</f>
        <v>D</v>
      </c>
      <c r="G286" s="9">
        <v>228</v>
      </c>
      <c r="H286" s="9" t="str">
        <f>IFERROR(MID(VLOOKUP($B286,Seqs!$A:$B,2,0),I286,1),"")</f>
        <v>W</v>
      </c>
      <c r="I286" s="109">
        <v>229</v>
      </c>
      <c r="J286" s="9" t="str">
        <f>IFERROR(MID(VLOOKUP($B286,Seqs!$A:$B,2,0),K286,1),"")</f>
        <v>N</v>
      </c>
      <c r="K286" s="109">
        <v>233</v>
      </c>
      <c r="L286" s="9" t="str">
        <f>IFERROR(MID(VLOOKUP($B286,Seqs!$A:$B,2,0),M286,1),"")</f>
        <v>R</v>
      </c>
      <c r="M286" s="9">
        <v>234</v>
      </c>
      <c r="N286" s="9" t="str">
        <f>IFERROR(MID(VLOOKUP($B286,Seqs!$A:$B,2,0),O286,1),"")</f>
        <v>A</v>
      </c>
      <c r="O286" s="9">
        <v>256</v>
      </c>
      <c r="P286" s="9" t="str">
        <f>IFERROR(MID(VLOOKUP($B286,Seqs!$A:$B,2,0),Q286,1),"")</f>
        <v/>
      </c>
      <c r="Q286" s="9" t="s">
        <v>23</v>
      </c>
      <c r="R286" s="9" t="str">
        <f>IFERROR(MID(VLOOKUP($B286,Seqs!$A:$B,2,0),S286,1),"")</f>
        <v/>
      </c>
      <c r="S286" s="9" t="s">
        <v>23</v>
      </c>
      <c r="T286" s="9" t="str">
        <f>IFERROR(MID(VLOOKUP($B286,Seqs!$A:$B,2,0),U286,1),"")</f>
        <v>L</v>
      </c>
      <c r="U286" s="9">
        <v>285</v>
      </c>
      <c r="V286" s="9" t="str">
        <f>IFERROR(MID(VLOOKUP($B286,Seqs!$A:$B,2,0),W286,1),"")</f>
        <v>K</v>
      </c>
      <c r="W286" s="9">
        <v>317</v>
      </c>
      <c r="X286" s="9" t="str">
        <f>IFERROR(MID(VLOOKUP($B286,Seqs!$A:$B,2,0),Y286,1),"")</f>
        <v/>
      </c>
      <c r="Y286" s="9" t="s">
        <v>23</v>
      </c>
      <c r="Z286" s="9" t="str">
        <f>IFERROR(MID(VLOOKUP($B286,Seqs!$A:$B,2,0),AA286,1),"")</f>
        <v/>
      </c>
      <c r="AA286" s="9" t="s">
        <v>23</v>
      </c>
      <c r="AB286" s="9" t="str">
        <f>IFERROR(MID(VLOOKUP($B286,Seqs!$A:$B,2,0),AC286,1),"")</f>
        <v>K</v>
      </c>
      <c r="AC286" s="9">
        <v>329</v>
      </c>
      <c r="AD286" s="9" t="str">
        <f>IFERROR(MID(VLOOKUP($B286,Seqs!$A:$B,2,0),AE286,1),"")</f>
        <v>V</v>
      </c>
      <c r="AE286" s="9">
        <v>351</v>
      </c>
      <c r="AF286" s="9" t="str">
        <f>IFERROR(MID(VLOOKUP($B286,Seqs!$A:$B,2,0),AG286,1),"")</f>
        <v>C</v>
      </c>
      <c r="AG286" s="9">
        <v>363</v>
      </c>
      <c r="AH286" s="9" t="str">
        <f>IFERROR(MID(VLOOKUP($B286,Seqs!$A:$B,2,0),AI286,1),"")</f>
        <v>V</v>
      </c>
      <c r="AI286" s="9">
        <v>365</v>
      </c>
      <c r="AJ286" s="9" t="str">
        <f>IFERROR(MID(VLOOKUP($B286,Seqs!$A:$B,2,0),AK286,1),"")</f>
        <v>N</v>
      </c>
      <c r="AK286" s="9">
        <v>369</v>
      </c>
      <c r="AL286" s="9" t="str">
        <f>IFERROR(MID(VLOOKUP($B286,Seqs!$A:$B,2,0),AM286,1),"")</f>
        <v>S</v>
      </c>
      <c r="AM286" s="9">
        <v>401</v>
      </c>
      <c r="AN286" s="9" t="str">
        <f>IFERROR(MID(VLOOKUP($B286,Seqs!$A:$B,2,0),AO286,1),"")</f>
        <v>S</v>
      </c>
      <c r="AO286" s="9">
        <v>416</v>
      </c>
      <c r="AP286" s="9" t="str">
        <f>IFERROR(MID(VLOOKUP($B286,Seqs!$A:$B,2,0),AQ286,1),"")</f>
        <v>Q</v>
      </c>
      <c r="AQ286" s="9">
        <v>472</v>
      </c>
      <c r="AR286" s="9" t="str">
        <f>IFERROR(MID(VLOOKUP($B286,Seqs!$A:$B,2,0),AS286,1),"")</f>
        <v>S</v>
      </c>
      <c r="AS286" s="9">
        <v>487</v>
      </c>
      <c r="AT286" s="9" t="str">
        <f>IFERROR(MID(VLOOKUP($B286,Seqs!$A:$B,2,0),AU286,1),"")</f>
        <v>W</v>
      </c>
      <c r="AU286" s="9">
        <v>510</v>
      </c>
      <c r="AV286" s="9" t="str">
        <f>IFERROR(MID(VLOOKUP($B286,Seqs!$A:$B,2,0),AW286,1),"")</f>
        <v>T</v>
      </c>
      <c r="AW286" s="9">
        <v>511</v>
      </c>
      <c r="AX286" s="9" t="str">
        <f>IFERROR(MID(VLOOKUP($B286,Seqs!$A:$B,2,0),AY286,1),"")</f>
        <v>R</v>
      </c>
      <c r="AY286" s="9">
        <v>520</v>
      </c>
      <c r="AZ286" s="124" t="str">
        <f>VLOOKUP(B286,Classification!A:D,2,0)</f>
        <v>F</v>
      </c>
      <c r="BA286" s="98" t="str">
        <f>VLOOKUP(B286,Classification!A:D,4,0)</f>
        <v>Frizzled</v>
      </c>
      <c r="BB286" s="125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>_xlfn.AGGREGATE(9,6,CH286:CS286)-_xlfn.AGGREGATE(9,6,BV286:CG286)+12</f>
        <v>246</v>
      </c>
      <c r="BD286" s="126" t="s">
        <v>23</v>
      </c>
      <c r="BE286" s="9" t="s">
        <v>1381</v>
      </c>
      <c r="BF286" s="120">
        <v>3.9</v>
      </c>
      <c r="BG286" s="51" t="s">
        <v>1</v>
      </c>
      <c r="BH286" s="51" t="s">
        <v>1</v>
      </c>
      <c r="BI286" s="9"/>
      <c r="BJ286" s="127" t="s">
        <v>1293</v>
      </c>
      <c r="BK286" s="112" t="s">
        <v>1293</v>
      </c>
      <c r="BL286" s="112" t="s">
        <v>1293</v>
      </c>
      <c r="BM286" s="112" t="s">
        <v>1293</v>
      </c>
      <c r="BN286" s="112" t="s">
        <v>1293</v>
      </c>
      <c r="BO286" s="112" t="s">
        <v>1293</v>
      </c>
      <c r="BP286" s="112" t="s">
        <v>1293</v>
      </c>
      <c r="BQ286" s="112" t="s">
        <v>1293</v>
      </c>
      <c r="BR286" s="112" t="s">
        <v>1293</v>
      </c>
      <c r="BS286" s="112" t="s">
        <v>1293</v>
      </c>
      <c r="BT286" s="112" t="s">
        <v>1293</v>
      </c>
      <c r="BU286" s="112" t="s">
        <v>1293</v>
      </c>
      <c r="BV286" s="127">
        <f>E286</f>
        <v>196</v>
      </c>
      <c r="BW286" s="113">
        <f>I286</f>
        <v>229</v>
      </c>
      <c r="BX286" s="114">
        <f>M286</f>
        <v>234</v>
      </c>
      <c r="BY286" s="113" t="str">
        <f>Q286</f>
        <v>-</v>
      </c>
      <c r="BZ286" s="114">
        <f>U286</f>
        <v>285</v>
      </c>
      <c r="CA286" s="113" t="str">
        <f>Y286</f>
        <v>-</v>
      </c>
      <c r="CB286" s="114">
        <f>AC286</f>
        <v>329</v>
      </c>
      <c r="CC286" s="113">
        <f>AG286</f>
        <v>363</v>
      </c>
      <c r="CD286" s="114">
        <f>AK286</f>
        <v>369</v>
      </c>
      <c r="CE286" s="113">
        <f>AO286</f>
        <v>416</v>
      </c>
      <c r="CF286" s="114">
        <f>AS286</f>
        <v>487</v>
      </c>
      <c r="CG286" s="113">
        <f>AW286</f>
        <v>511</v>
      </c>
      <c r="CH286" s="127">
        <f>G286</f>
        <v>228</v>
      </c>
      <c r="CI286" s="113">
        <f>K286</f>
        <v>233</v>
      </c>
      <c r="CJ286" s="114">
        <f>O286</f>
        <v>256</v>
      </c>
      <c r="CK286" s="114" t="str">
        <f>S286</f>
        <v>-</v>
      </c>
      <c r="CL286" s="114">
        <f>W286</f>
        <v>317</v>
      </c>
      <c r="CM286" s="114" t="str">
        <f>AA286</f>
        <v>-</v>
      </c>
      <c r="CN286" s="114">
        <f>AE286</f>
        <v>351</v>
      </c>
      <c r="CO286" s="114">
        <f>AI286</f>
        <v>365</v>
      </c>
      <c r="CP286" s="114">
        <f>AM286</f>
        <v>401</v>
      </c>
      <c r="CQ286" s="114">
        <f>AQ286</f>
        <v>472</v>
      </c>
      <c r="CR286" s="114">
        <f>AU286</f>
        <v>510</v>
      </c>
      <c r="CS286" s="114">
        <f>AY286</f>
        <v>520</v>
      </c>
      <c r="CT286" s="109">
        <f>M286-K286</f>
        <v>1</v>
      </c>
    </row>
    <row r="360" spans="52:86" x14ac:dyDescent="0.2">
      <c r="AZ360" s="77"/>
      <c r="BA360" s="28"/>
      <c r="BB360" s="16"/>
      <c r="BD360" s="2"/>
      <c r="BJ360" s="70"/>
      <c r="BV360" s="70"/>
      <c r="CH360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02 BB60 BB22:BB26 BB29:BB33">
    <cfRule type="cellIs" dxfId="70" priority="10" operator="equal">
      <formula>0</formula>
    </cfRule>
  </conditionalFormatting>
  <conditionalFormatting sqref="BB221:BB222">
    <cfRule type="cellIs" dxfId="69" priority="11" operator="equal">
      <formula>0</formula>
    </cfRule>
  </conditionalFormatting>
  <conditionalFormatting sqref="BB9">
    <cfRule type="cellIs" dxfId="68" priority="12" operator="equal">
      <formula>0</formula>
    </cfRule>
  </conditionalFormatting>
  <conditionalFormatting sqref="BB237">
    <cfRule type="cellIs" dxfId="67" priority="13" operator="equal">
      <formula>0</formula>
    </cfRule>
  </conditionalFormatting>
  <conditionalFormatting sqref="E237 AW237 AU237 AS237 AQ237 AO237 AM237 AK237 AI237 AG237 AE237 AC237 AA237 Y237 W237 U237 S237 Q237 O237 M237 K237 I237 G237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1">
    <cfRule type="cellIs" dxfId="64" priority="16" operator="equal">
      <formula>0</formula>
    </cfRule>
  </conditionalFormatting>
  <conditionalFormatting sqref="BB8">
    <cfRule type="cellIs" dxfId="63" priority="20" operator="equal">
      <formula>0</formula>
    </cfRule>
  </conditionalFormatting>
  <conditionalFormatting sqref="E8 AW8 AU8 AS8 AQ8 AO8 AM8 AK8 AI8 AG8 AE8 AC8 AA8 Y8 W8 U8 S8 Q8 O8 M8 K8 I8 G8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26 BB29:BB1048576">
    <cfRule type="cellIs" dxfId="60" priority="8" operator="equal">
      <formula>FALSE</formula>
    </cfRule>
  </conditionalFormatting>
  <conditionalFormatting sqref="BG29:BG40 BG20:BG26 BH20:BH40 BG1:BH19 BG41:BH1048576">
    <cfRule type="cellIs" dxfId="59" priority="7" operator="equal">
      <formula>"?"</formula>
    </cfRule>
  </conditionalFormatting>
  <conditionalFormatting sqref="BB27:BB28">
    <cfRule type="cellIs" dxfId="58" priority="6" operator="equal">
      <formula>FALSE</formula>
    </cfRule>
  </conditionalFormatting>
  <conditionalFormatting sqref="BG27:BG28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BE2:BE360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0"/>
  <sheetViews>
    <sheetView workbookViewId="0">
      <pane ySplit="1" topLeftCell="A17" activePane="bottomLeft" state="frozenSplit"/>
      <selection pane="bottomLeft" activeCell="B57" sqref="B57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32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2</v>
      </c>
      <c r="AG11" s="49">
        <f>VLOOKUP(B11,'SegEnds_NonXtal_Prot#'!A:AL,13,FALSE)-VLOOKUP(B11,'SegEnds_NonXtal_Prot#'!A:AL,11,FALSE)</f>
        <v>3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35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2</v>
      </c>
      <c r="AG13" s="49">
        <f>VLOOKUP(B13,'SegEnds_NonXtal_Prot#'!A:AL,13,FALSE)-VLOOKUP(B13,'SegEnds_NonXtal_Prot#'!A:AL,11,FALSE)</f>
        <v>3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35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21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64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64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64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64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64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64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48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67</v>
      </c>
      <c r="U54" s="2">
        <f>IFERROR(50+VLOOKUP($A54,'SegEnds_Xtal_Prot#'!$A:$AY,41,FALSE)-VLOOKUP($B54,'SegEnds_NonXtal_Prot#'!$A:$AL,31,FALSE),"-")</f>
        <v>29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64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64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64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64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64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64" x14ac:dyDescent="0.2">
      <c r="A60" s="4"/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49"/>
      <c r="AB60" s="96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2"/>
      <c r="AN60" s="38"/>
      <c r="AO60" s="30" t="s">
        <v>1061</v>
      </c>
      <c r="AP60" s="30" t="s">
        <v>1062</v>
      </c>
      <c r="AQ60" s="30" t="s">
        <v>1078</v>
      </c>
      <c r="AR60" s="30" t="s">
        <v>1079</v>
      </c>
      <c r="AS60" s="30" t="s">
        <v>1063</v>
      </c>
      <c r="AT60" s="30" t="s">
        <v>1064</v>
      </c>
      <c r="AU60" s="30" t="s">
        <v>1080</v>
      </c>
      <c r="AV60" s="30" t="s">
        <v>1081</v>
      </c>
      <c r="AW60" s="30" t="s">
        <v>1065</v>
      </c>
      <c r="AX60" s="30" t="s">
        <v>1066</v>
      </c>
      <c r="AY60" s="30" t="s">
        <v>1093</v>
      </c>
      <c r="AZ60" s="30" t="s">
        <v>1094</v>
      </c>
      <c r="BA60" s="30" t="s">
        <v>1067</v>
      </c>
      <c r="BB60" s="30" t="s">
        <v>1068</v>
      </c>
      <c r="BC60" s="30" t="s">
        <v>1096</v>
      </c>
      <c r="BD60" s="30" t="s">
        <v>1097</v>
      </c>
      <c r="BE60" s="30" t="s">
        <v>1069</v>
      </c>
      <c r="BF60" s="30" t="s">
        <v>1070</v>
      </c>
      <c r="BG60" s="30" t="s">
        <v>1071</v>
      </c>
      <c r="BH60" s="30" t="s">
        <v>1072</v>
      </c>
      <c r="BI60" s="30" t="s">
        <v>1073</v>
      </c>
      <c r="BJ60" s="30" t="s">
        <v>1074</v>
      </c>
      <c r="BK60" s="30" t="s">
        <v>1075</v>
      </c>
      <c r="BL60" s="30" t="s">
        <v>1076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8" t="s">
        <v>1</v>
      </c>
      <c r="AO61" s="4">
        <f t="shared" ref="AO61:BL61" si="0">MAX(C2:C42)</f>
        <v>34</v>
      </c>
      <c r="AP61" s="4">
        <f t="shared" si="0"/>
        <v>64</v>
      </c>
      <c r="AQ61" s="4">
        <f t="shared" si="0"/>
        <v>48</v>
      </c>
      <c r="AR61" s="4">
        <f t="shared" si="0"/>
        <v>52</v>
      </c>
      <c r="AS61" s="4">
        <f t="shared" si="0"/>
        <v>38</v>
      </c>
      <c r="AT61" s="4">
        <f t="shared" si="0"/>
        <v>69</v>
      </c>
      <c r="AU61" s="4">
        <f t="shared" si="0"/>
        <v>50</v>
      </c>
      <c r="AV61" s="4">
        <f t="shared" si="0"/>
        <v>53</v>
      </c>
      <c r="AW61" s="4">
        <f t="shared" si="0"/>
        <v>21</v>
      </c>
      <c r="AX61" s="4">
        <f t="shared" si="0"/>
        <v>56</v>
      </c>
      <c r="AY61" s="4">
        <f t="shared" si="0"/>
        <v>50</v>
      </c>
      <c r="AZ61" s="4">
        <f t="shared" si="0"/>
        <v>58</v>
      </c>
      <c r="BA61" s="4">
        <f t="shared" si="0"/>
        <v>38</v>
      </c>
      <c r="BB61" s="4">
        <f t="shared" si="0"/>
        <v>69</v>
      </c>
      <c r="BC61" s="4">
        <f t="shared" si="0"/>
        <v>50</v>
      </c>
      <c r="BD61" s="4">
        <f t="shared" si="0"/>
        <v>52</v>
      </c>
      <c r="BE61" s="4">
        <f t="shared" si="0"/>
        <v>36</v>
      </c>
      <c r="BF61" s="4">
        <f t="shared" si="0"/>
        <v>77</v>
      </c>
      <c r="BG61" s="4">
        <f t="shared" si="0"/>
        <v>30</v>
      </c>
      <c r="BH61" s="4">
        <f t="shared" si="0"/>
        <v>65</v>
      </c>
      <c r="BI61" s="4">
        <f t="shared" si="0"/>
        <v>32</v>
      </c>
      <c r="BJ61" s="4">
        <f t="shared" si="0"/>
        <v>56</v>
      </c>
      <c r="BK61" s="4">
        <f t="shared" si="0"/>
        <v>47</v>
      </c>
      <c r="BL61" s="4">
        <f t="shared" si="0"/>
        <v>69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">MIN(C2:C42)</f>
        <v>22</v>
      </c>
      <c r="AP62" s="4">
        <f t="shared" si="1"/>
        <v>60</v>
      </c>
      <c r="AQ62" s="4">
        <f t="shared" si="1"/>
        <v>48</v>
      </c>
      <c r="AR62" s="4">
        <f t="shared" si="1"/>
        <v>51</v>
      </c>
      <c r="AS62" s="4">
        <f t="shared" si="1"/>
        <v>34</v>
      </c>
      <c r="AT62" s="4">
        <f t="shared" si="1"/>
        <v>63</v>
      </c>
      <c r="AU62" s="4">
        <f t="shared" si="1"/>
        <v>47</v>
      </c>
      <c r="AV62" s="4">
        <f t="shared" si="1"/>
        <v>52</v>
      </c>
      <c r="AW62" s="4">
        <f t="shared" si="1"/>
        <v>18</v>
      </c>
      <c r="AX62" s="4">
        <f t="shared" si="1"/>
        <v>55</v>
      </c>
      <c r="AY62" s="4">
        <f t="shared" si="1"/>
        <v>50</v>
      </c>
      <c r="AZ62" s="4">
        <f t="shared" si="1"/>
        <v>53</v>
      </c>
      <c r="BA62" s="4">
        <f t="shared" si="1"/>
        <v>35</v>
      </c>
      <c r="BB62" s="4">
        <f t="shared" si="1"/>
        <v>62</v>
      </c>
      <c r="BC62" s="4">
        <f t="shared" si="1"/>
        <v>50</v>
      </c>
      <c r="BD62" s="4">
        <f t="shared" si="1"/>
        <v>52</v>
      </c>
      <c r="BE62" s="4">
        <f t="shared" si="1"/>
        <v>28</v>
      </c>
      <c r="BF62" s="4">
        <f t="shared" si="1"/>
        <v>67</v>
      </c>
      <c r="BG62" s="4">
        <f t="shared" si="1"/>
        <v>18</v>
      </c>
      <c r="BH62" s="4">
        <f t="shared" si="1"/>
        <v>60</v>
      </c>
      <c r="BI62" s="4">
        <f t="shared" si="1"/>
        <v>24</v>
      </c>
      <c r="BJ62" s="4">
        <f t="shared" si="1"/>
        <v>55</v>
      </c>
      <c r="BK62" s="4">
        <f t="shared" si="1"/>
        <v>47</v>
      </c>
      <c r="BL62" s="4">
        <f t="shared" si="1"/>
        <v>57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2">AO61-AO62</f>
        <v>12</v>
      </c>
      <c r="AP63" s="4">
        <f t="shared" si="2"/>
        <v>4</v>
      </c>
      <c r="AQ63" s="4">
        <f t="shared" si="2"/>
        <v>0</v>
      </c>
      <c r="AR63" s="4">
        <f t="shared" si="2"/>
        <v>1</v>
      </c>
      <c r="AS63" s="4">
        <f t="shared" si="2"/>
        <v>4</v>
      </c>
      <c r="AT63" s="4">
        <f t="shared" si="2"/>
        <v>6</v>
      </c>
      <c r="AU63" s="4">
        <f t="shared" si="2"/>
        <v>3</v>
      </c>
      <c r="AV63" s="4">
        <f t="shared" si="2"/>
        <v>1</v>
      </c>
      <c r="AW63" s="4">
        <f t="shared" si="2"/>
        <v>3</v>
      </c>
      <c r="AX63" s="4">
        <f t="shared" si="2"/>
        <v>1</v>
      </c>
      <c r="AY63" s="4">
        <f t="shared" si="2"/>
        <v>0</v>
      </c>
      <c r="AZ63" s="4">
        <f t="shared" si="2"/>
        <v>5</v>
      </c>
      <c r="BA63" s="4">
        <f t="shared" si="2"/>
        <v>3</v>
      </c>
      <c r="BB63" s="4">
        <f t="shared" si="2"/>
        <v>7</v>
      </c>
      <c r="BC63" s="4">
        <f t="shared" si="2"/>
        <v>0</v>
      </c>
      <c r="BD63" s="4">
        <f t="shared" si="2"/>
        <v>0</v>
      </c>
      <c r="BE63" s="4">
        <f t="shared" si="2"/>
        <v>8</v>
      </c>
      <c r="BF63" s="4">
        <f t="shared" si="2"/>
        <v>10</v>
      </c>
      <c r="BG63" s="4">
        <f t="shared" si="2"/>
        <v>12</v>
      </c>
      <c r="BH63" s="4">
        <f t="shared" si="2"/>
        <v>5</v>
      </c>
      <c r="BI63" s="4">
        <f t="shared" si="2"/>
        <v>8</v>
      </c>
      <c r="BJ63" s="4">
        <f t="shared" si="2"/>
        <v>1</v>
      </c>
      <c r="BK63" s="4">
        <f t="shared" si="2"/>
        <v>0</v>
      </c>
      <c r="BL63" s="4">
        <f t="shared" si="2"/>
        <v>12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N64" s="38" t="s">
        <v>1287</v>
      </c>
      <c r="AO64" s="4">
        <f t="shared" ref="AO64:BL64" si="3">MAX(C43:C46)</f>
        <v>29</v>
      </c>
      <c r="AP64" s="4">
        <f t="shared" si="3"/>
        <v>60</v>
      </c>
      <c r="AQ64" s="4">
        <f t="shared" si="3"/>
        <v>48</v>
      </c>
      <c r="AR64" s="4">
        <f t="shared" si="3"/>
        <v>51</v>
      </c>
      <c r="AS64" s="4">
        <f t="shared" si="3"/>
        <v>37</v>
      </c>
      <c r="AT64" s="4">
        <f t="shared" si="3"/>
        <v>66</v>
      </c>
      <c r="AU64" s="4">
        <f t="shared" si="3"/>
        <v>49</v>
      </c>
      <c r="AV64" s="4">
        <f t="shared" si="3"/>
        <v>52</v>
      </c>
      <c r="AW64" s="4">
        <f t="shared" si="3"/>
        <v>22</v>
      </c>
      <c r="AX64" s="4">
        <f t="shared" si="3"/>
        <v>56</v>
      </c>
      <c r="AY64" s="4">
        <f t="shared" si="3"/>
        <v>50</v>
      </c>
      <c r="AZ64" s="4">
        <f t="shared" si="3"/>
        <v>57</v>
      </c>
      <c r="BA64" s="4">
        <f t="shared" si="3"/>
        <v>41</v>
      </c>
      <c r="BB64" s="4">
        <f t="shared" si="3"/>
        <v>68</v>
      </c>
      <c r="BC64" s="4">
        <f t="shared" si="3"/>
        <v>50</v>
      </c>
      <c r="BD64" s="4">
        <f t="shared" si="3"/>
        <v>52</v>
      </c>
      <c r="BE64" s="4">
        <f t="shared" si="3"/>
        <v>40</v>
      </c>
      <c r="BF64" s="4">
        <f t="shared" si="3"/>
        <v>70</v>
      </c>
      <c r="BG64" s="4">
        <f t="shared" si="3"/>
        <v>30</v>
      </c>
      <c r="BH64" s="4">
        <f t="shared" si="3"/>
        <v>65</v>
      </c>
      <c r="BI64" s="4">
        <f t="shared" si="3"/>
        <v>31</v>
      </c>
      <c r="BJ64" s="4">
        <f t="shared" si="3"/>
        <v>56</v>
      </c>
      <c r="BK64" s="4">
        <f t="shared" si="3"/>
        <v>47</v>
      </c>
      <c r="BL64" s="4">
        <f t="shared" si="3"/>
        <v>72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4">MIN(C43:C46)</f>
        <v>19</v>
      </c>
      <c r="AP65" s="4">
        <f t="shared" si="4"/>
        <v>60</v>
      </c>
      <c r="AQ65" s="4">
        <f t="shared" si="4"/>
        <v>48</v>
      </c>
      <c r="AR65" s="4">
        <f t="shared" si="4"/>
        <v>51</v>
      </c>
      <c r="AS65" s="4">
        <f t="shared" si="4"/>
        <v>37</v>
      </c>
      <c r="AT65" s="4">
        <f t="shared" si="4"/>
        <v>63</v>
      </c>
      <c r="AU65" s="4">
        <f t="shared" si="4"/>
        <v>47</v>
      </c>
      <c r="AV65" s="4">
        <f t="shared" si="4"/>
        <v>52</v>
      </c>
      <c r="AW65" s="4">
        <f t="shared" si="4"/>
        <v>21</v>
      </c>
      <c r="AX65" s="4">
        <f t="shared" si="4"/>
        <v>56</v>
      </c>
      <c r="AY65" s="4">
        <f t="shared" si="4"/>
        <v>50</v>
      </c>
      <c r="AZ65" s="4">
        <f t="shared" si="4"/>
        <v>56</v>
      </c>
      <c r="BA65" s="4">
        <f t="shared" si="4"/>
        <v>38</v>
      </c>
      <c r="BB65" s="4">
        <f t="shared" si="4"/>
        <v>62</v>
      </c>
      <c r="BC65" s="4">
        <f t="shared" si="4"/>
        <v>50</v>
      </c>
      <c r="BD65" s="4">
        <f t="shared" si="4"/>
        <v>52</v>
      </c>
      <c r="BE65" s="4">
        <f t="shared" si="4"/>
        <v>31</v>
      </c>
      <c r="BF65" s="4">
        <f t="shared" si="4"/>
        <v>67</v>
      </c>
      <c r="BG65" s="4">
        <f t="shared" si="4"/>
        <v>25</v>
      </c>
      <c r="BH65" s="4">
        <f t="shared" si="4"/>
        <v>53</v>
      </c>
      <c r="BI65" s="4">
        <f t="shared" si="4"/>
        <v>28</v>
      </c>
      <c r="BJ65" s="4">
        <f t="shared" si="4"/>
        <v>56</v>
      </c>
      <c r="BK65" s="4">
        <f t="shared" si="4"/>
        <v>47</v>
      </c>
      <c r="BL65" s="4">
        <f t="shared" si="4"/>
        <v>61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5">AO64-AO65</f>
        <v>10</v>
      </c>
      <c r="AP66" s="4">
        <f t="shared" si="5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3</v>
      </c>
      <c r="AU66" s="4">
        <f t="shared" si="5"/>
        <v>2</v>
      </c>
      <c r="AV66" s="4">
        <f t="shared" si="5"/>
        <v>0</v>
      </c>
      <c r="AW66" s="4">
        <f t="shared" si="5"/>
        <v>1</v>
      </c>
      <c r="AX66" s="4">
        <f t="shared" si="5"/>
        <v>0</v>
      </c>
      <c r="AY66" s="4">
        <f t="shared" si="5"/>
        <v>0</v>
      </c>
      <c r="AZ66" s="4">
        <f t="shared" si="5"/>
        <v>1</v>
      </c>
      <c r="BA66" s="4">
        <f t="shared" si="5"/>
        <v>3</v>
      </c>
      <c r="BB66" s="4">
        <f t="shared" si="5"/>
        <v>6</v>
      </c>
      <c r="BC66" s="4">
        <f t="shared" si="5"/>
        <v>0</v>
      </c>
      <c r="BD66" s="4">
        <f t="shared" si="5"/>
        <v>0</v>
      </c>
      <c r="BE66" s="4">
        <f t="shared" si="5"/>
        <v>9</v>
      </c>
      <c r="BF66" s="4">
        <f t="shared" si="5"/>
        <v>3</v>
      </c>
      <c r="BG66" s="4">
        <f t="shared" si="5"/>
        <v>5</v>
      </c>
      <c r="BH66" s="4">
        <f t="shared" si="5"/>
        <v>12</v>
      </c>
      <c r="BI66" s="4">
        <f t="shared" si="5"/>
        <v>3</v>
      </c>
      <c r="BJ66" s="4">
        <f t="shared" si="5"/>
        <v>0</v>
      </c>
      <c r="BK66" s="4">
        <f t="shared" si="5"/>
        <v>0</v>
      </c>
      <c r="BL66" s="4">
        <f t="shared" si="5"/>
        <v>11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N67" s="38" t="s">
        <v>27</v>
      </c>
      <c r="AO67" s="4">
        <f t="shared" ref="AO67:BL67" si="6">MAX(C47:C50)</f>
        <v>34</v>
      </c>
      <c r="AP67" s="4">
        <f t="shared" si="6"/>
        <v>60</v>
      </c>
      <c r="AQ67" s="4">
        <f t="shared" si="6"/>
        <v>48</v>
      </c>
      <c r="AR67" s="4">
        <f t="shared" si="6"/>
        <v>53</v>
      </c>
      <c r="AS67" s="4">
        <f t="shared" si="6"/>
        <v>39</v>
      </c>
      <c r="AT67" s="4">
        <f t="shared" si="6"/>
        <v>74</v>
      </c>
      <c r="AU67" s="4">
        <f t="shared" si="6"/>
        <v>0</v>
      </c>
      <c r="AV67" s="4">
        <f t="shared" si="6"/>
        <v>0</v>
      </c>
      <c r="AW67" s="4">
        <f t="shared" si="6"/>
        <v>23</v>
      </c>
      <c r="AX67" s="4">
        <f t="shared" si="6"/>
        <v>56</v>
      </c>
      <c r="AY67" s="4">
        <f t="shared" si="6"/>
        <v>0</v>
      </c>
      <c r="AZ67" s="4">
        <f t="shared" si="6"/>
        <v>0</v>
      </c>
      <c r="BA67" s="4">
        <f t="shared" si="6"/>
        <v>40</v>
      </c>
      <c r="BB67" s="4">
        <f t="shared" si="6"/>
        <v>68</v>
      </c>
      <c r="BC67" s="4">
        <f t="shared" si="6"/>
        <v>50</v>
      </c>
      <c r="BD67" s="4">
        <f t="shared" si="6"/>
        <v>52</v>
      </c>
      <c r="BE67" s="4">
        <f t="shared" si="6"/>
        <v>39</v>
      </c>
      <c r="BF67" s="4">
        <f t="shared" si="6"/>
        <v>71</v>
      </c>
      <c r="BG67" s="4">
        <f t="shared" si="6"/>
        <v>33</v>
      </c>
      <c r="BH67" s="4">
        <f t="shared" si="6"/>
        <v>57</v>
      </c>
      <c r="BI67" s="4">
        <f t="shared" si="6"/>
        <v>33</v>
      </c>
      <c r="BJ67" s="4">
        <f t="shared" si="6"/>
        <v>64</v>
      </c>
      <c r="BK67" s="4">
        <f t="shared" si="6"/>
        <v>47</v>
      </c>
      <c r="BL67" s="4">
        <f t="shared" si="6"/>
        <v>72</v>
      </c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O68" s="4">
        <f t="shared" ref="AO68:BL68" si="7">MIN(C47:C50)</f>
        <v>25</v>
      </c>
      <c r="AP68" s="4">
        <f t="shared" si="7"/>
        <v>60</v>
      </c>
      <c r="AQ68" s="4">
        <f t="shared" si="7"/>
        <v>47</v>
      </c>
      <c r="AR68" s="4">
        <f t="shared" si="7"/>
        <v>51</v>
      </c>
      <c r="AS68" s="4">
        <f t="shared" si="7"/>
        <v>37</v>
      </c>
      <c r="AT68" s="4">
        <f t="shared" si="7"/>
        <v>61</v>
      </c>
      <c r="AU68" s="4">
        <f t="shared" si="7"/>
        <v>0</v>
      </c>
      <c r="AV68" s="4">
        <f t="shared" si="7"/>
        <v>0</v>
      </c>
      <c r="AW68" s="4">
        <f t="shared" si="7"/>
        <v>21</v>
      </c>
      <c r="AX68" s="4">
        <f t="shared" si="7"/>
        <v>54</v>
      </c>
      <c r="AY68" s="4">
        <f t="shared" si="7"/>
        <v>0</v>
      </c>
      <c r="AZ68" s="4">
        <f t="shared" si="7"/>
        <v>0</v>
      </c>
      <c r="BA68" s="4">
        <f t="shared" si="7"/>
        <v>37</v>
      </c>
      <c r="BB68" s="4">
        <f t="shared" si="7"/>
        <v>64</v>
      </c>
      <c r="BC68" s="4">
        <f t="shared" si="7"/>
        <v>50</v>
      </c>
      <c r="BD68" s="4">
        <f t="shared" si="7"/>
        <v>52</v>
      </c>
      <c r="BE68" s="4">
        <f t="shared" si="7"/>
        <v>36</v>
      </c>
      <c r="BF68" s="4">
        <f t="shared" si="7"/>
        <v>61</v>
      </c>
      <c r="BG68" s="4">
        <f t="shared" si="7"/>
        <v>28</v>
      </c>
      <c r="BH68" s="4">
        <f t="shared" si="7"/>
        <v>53</v>
      </c>
      <c r="BI68" s="4">
        <f t="shared" si="7"/>
        <v>27</v>
      </c>
      <c r="BJ68" s="4">
        <f t="shared" si="7"/>
        <v>56</v>
      </c>
      <c r="BK68" s="4">
        <f t="shared" si="7"/>
        <v>46</v>
      </c>
      <c r="BL68" s="4">
        <f t="shared" si="7"/>
        <v>57</v>
      </c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8">AO67-AO68</f>
        <v>9</v>
      </c>
      <c r="AP69" s="4">
        <f t="shared" si="8"/>
        <v>0</v>
      </c>
      <c r="AQ69" s="4">
        <f t="shared" si="8"/>
        <v>1</v>
      </c>
      <c r="AR69" s="4">
        <f t="shared" si="8"/>
        <v>2</v>
      </c>
      <c r="AS69" s="4">
        <f t="shared" si="8"/>
        <v>2</v>
      </c>
      <c r="AT69" s="4">
        <f t="shared" si="8"/>
        <v>13</v>
      </c>
      <c r="AU69" s="4">
        <f t="shared" si="8"/>
        <v>0</v>
      </c>
      <c r="AV69" s="4">
        <f t="shared" si="8"/>
        <v>0</v>
      </c>
      <c r="AW69" s="4">
        <f t="shared" si="8"/>
        <v>2</v>
      </c>
      <c r="AX69" s="4">
        <f t="shared" si="8"/>
        <v>2</v>
      </c>
      <c r="AY69" s="4">
        <f t="shared" si="8"/>
        <v>0</v>
      </c>
      <c r="AZ69" s="4">
        <f t="shared" si="8"/>
        <v>0</v>
      </c>
      <c r="BA69" s="4">
        <f t="shared" si="8"/>
        <v>3</v>
      </c>
      <c r="BB69" s="4">
        <f t="shared" si="8"/>
        <v>4</v>
      </c>
      <c r="BC69" s="4">
        <f t="shared" si="8"/>
        <v>0</v>
      </c>
      <c r="BD69" s="4">
        <f t="shared" si="8"/>
        <v>0</v>
      </c>
      <c r="BE69" s="4">
        <f t="shared" si="8"/>
        <v>3</v>
      </c>
      <c r="BF69" s="4">
        <f t="shared" si="8"/>
        <v>10</v>
      </c>
      <c r="BG69" s="4">
        <f t="shared" si="8"/>
        <v>5</v>
      </c>
      <c r="BH69" s="4">
        <f t="shared" si="8"/>
        <v>4</v>
      </c>
      <c r="BI69" s="4">
        <f t="shared" si="8"/>
        <v>6</v>
      </c>
      <c r="BJ69" s="4">
        <f t="shared" si="8"/>
        <v>8</v>
      </c>
      <c r="BK69" s="4">
        <f t="shared" si="8"/>
        <v>1</v>
      </c>
      <c r="BL69" s="4">
        <f t="shared" si="8"/>
        <v>15</v>
      </c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N70" s="38" t="s">
        <v>28</v>
      </c>
      <c r="AO70" s="4">
        <f t="shared" ref="AO70:BL70" si="9">MAX(C51)</f>
        <v>34</v>
      </c>
      <c r="AP70" s="4">
        <f t="shared" si="9"/>
        <v>60</v>
      </c>
      <c r="AQ70" s="4">
        <f t="shared" si="9"/>
        <v>47</v>
      </c>
      <c r="AR70" s="4">
        <f t="shared" si="9"/>
        <v>53</v>
      </c>
      <c r="AS70" s="4">
        <f t="shared" si="9"/>
        <v>39</v>
      </c>
      <c r="AT70" s="4">
        <f t="shared" si="9"/>
        <v>61</v>
      </c>
      <c r="AU70" s="4">
        <f t="shared" si="9"/>
        <v>0</v>
      </c>
      <c r="AV70" s="4">
        <f t="shared" si="9"/>
        <v>0</v>
      </c>
      <c r="AW70" s="4">
        <f t="shared" si="9"/>
        <v>22</v>
      </c>
      <c r="AX70" s="4">
        <f t="shared" si="9"/>
        <v>54</v>
      </c>
      <c r="AY70" s="4">
        <f t="shared" si="9"/>
        <v>0</v>
      </c>
      <c r="AZ70" s="4">
        <f t="shared" si="9"/>
        <v>0</v>
      </c>
      <c r="BA70" s="4">
        <f t="shared" si="9"/>
        <v>38</v>
      </c>
      <c r="BB70" s="4">
        <f t="shared" si="9"/>
        <v>64</v>
      </c>
      <c r="BC70" s="4">
        <f t="shared" si="9"/>
        <v>50</v>
      </c>
      <c r="BD70" s="4">
        <f t="shared" si="9"/>
        <v>52</v>
      </c>
      <c r="BE70" s="4">
        <f t="shared" si="9"/>
        <v>36</v>
      </c>
      <c r="BF70" s="4">
        <f t="shared" si="9"/>
        <v>61</v>
      </c>
      <c r="BG70" s="4">
        <f t="shared" si="9"/>
        <v>33</v>
      </c>
      <c r="BH70" s="4">
        <f t="shared" si="9"/>
        <v>57</v>
      </c>
      <c r="BI70" s="4">
        <f t="shared" si="9"/>
        <v>33</v>
      </c>
      <c r="BJ70" s="4">
        <f t="shared" si="9"/>
        <v>64</v>
      </c>
      <c r="BK70" s="4">
        <f t="shared" si="9"/>
        <v>46</v>
      </c>
      <c r="BL70" s="4">
        <f t="shared" si="9"/>
        <v>57</v>
      </c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O71" s="4">
        <f t="shared" ref="AO71:BL71" si="10">MIN(C51)</f>
        <v>34</v>
      </c>
      <c r="AP71" s="4">
        <f t="shared" si="10"/>
        <v>60</v>
      </c>
      <c r="AQ71" s="4">
        <f t="shared" si="10"/>
        <v>47</v>
      </c>
      <c r="AR71" s="4">
        <f t="shared" si="10"/>
        <v>53</v>
      </c>
      <c r="AS71" s="4">
        <f t="shared" si="10"/>
        <v>39</v>
      </c>
      <c r="AT71" s="4">
        <f t="shared" si="10"/>
        <v>61</v>
      </c>
      <c r="AU71" s="4">
        <f t="shared" si="10"/>
        <v>0</v>
      </c>
      <c r="AV71" s="4">
        <f t="shared" si="10"/>
        <v>0</v>
      </c>
      <c r="AW71" s="4">
        <f t="shared" si="10"/>
        <v>22</v>
      </c>
      <c r="AX71" s="4">
        <f t="shared" si="10"/>
        <v>54</v>
      </c>
      <c r="AY71" s="4">
        <f t="shared" si="10"/>
        <v>0</v>
      </c>
      <c r="AZ71" s="4">
        <f t="shared" si="10"/>
        <v>0</v>
      </c>
      <c r="BA71" s="4">
        <f t="shared" si="10"/>
        <v>38</v>
      </c>
      <c r="BB71" s="4">
        <f t="shared" si="10"/>
        <v>64</v>
      </c>
      <c r="BC71" s="4">
        <f t="shared" si="10"/>
        <v>50</v>
      </c>
      <c r="BD71" s="4">
        <f t="shared" si="10"/>
        <v>52</v>
      </c>
      <c r="BE71" s="4">
        <f t="shared" si="10"/>
        <v>36</v>
      </c>
      <c r="BF71" s="4">
        <f t="shared" si="10"/>
        <v>61</v>
      </c>
      <c r="BG71" s="4">
        <f t="shared" si="10"/>
        <v>33</v>
      </c>
      <c r="BH71" s="4">
        <f t="shared" si="10"/>
        <v>57</v>
      </c>
      <c r="BI71" s="4">
        <f t="shared" si="10"/>
        <v>33</v>
      </c>
      <c r="BJ71" s="4">
        <f t="shared" si="10"/>
        <v>64</v>
      </c>
      <c r="BK71" s="4">
        <f t="shared" si="10"/>
        <v>46</v>
      </c>
      <c r="BL71" s="4">
        <f t="shared" si="10"/>
        <v>57</v>
      </c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1">AO70-AO71</f>
        <v>0</v>
      </c>
      <c r="AP72" s="4">
        <f t="shared" si="11"/>
        <v>0</v>
      </c>
      <c r="AQ72" s="4">
        <f t="shared" si="11"/>
        <v>0</v>
      </c>
      <c r="AR72" s="4">
        <f t="shared" si="11"/>
        <v>0</v>
      </c>
      <c r="AS72" s="4">
        <f t="shared" si="11"/>
        <v>0</v>
      </c>
      <c r="AT72" s="4">
        <f t="shared" si="11"/>
        <v>0</v>
      </c>
      <c r="AU72" s="4">
        <f t="shared" si="11"/>
        <v>0</v>
      </c>
      <c r="AV72" s="4">
        <f t="shared" si="11"/>
        <v>0</v>
      </c>
      <c r="AW72" s="4">
        <f t="shared" si="11"/>
        <v>0</v>
      </c>
      <c r="AX72" s="4">
        <f t="shared" si="11"/>
        <v>0</v>
      </c>
      <c r="AY72" s="4">
        <f t="shared" si="11"/>
        <v>0</v>
      </c>
      <c r="AZ72" s="4">
        <f t="shared" si="11"/>
        <v>0</v>
      </c>
      <c r="BA72" s="4">
        <f t="shared" si="11"/>
        <v>0</v>
      </c>
      <c r="BB72" s="4">
        <f t="shared" si="11"/>
        <v>0</v>
      </c>
      <c r="BC72" s="4">
        <f t="shared" si="11"/>
        <v>0</v>
      </c>
      <c r="BD72" s="4">
        <f t="shared" si="11"/>
        <v>0</v>
      </c>
      <c r="BE72" s="4">
        <f t="shared" si="11"/>
        <v>0</v>
      </c>
      <c r="BF72" s="4">
        <f t="shared" si="11"/>
        <v>0</v>
      </c>
      <c r="BG72" s="4">
        <f t="shared" si="11"/>
        <v>0</v>
      </c>
      <c r="BH72" s="4">
        <f t="shared" si="11"/>
        <v>0</v>
      </c>
      <c r="BI72" s="4">
        <f t="shared" si="11"/>
        <v>0</v>
      </c>
      <c r="BJ72" s="4">
        <f t="shared" si="11"/>
        <v>0</v>
      </c>
      <c r="BK72" s="4">
        <f t="shared" si="11"/>
        <v>0</v>
      </c>
      <c r="BL72" s="4">
        <f t="shared" si="11"/>
        <v>0</v>
      </c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12">AO63+AO66+AO69+AO72</f>
        <v>31</v>
      </c>
      <c r="AP73" s="4">
        <f t="shared" si="12"/>
        <v>4</v>
      </c>
      <c r="AQ73" s="4">
        <f t="shared" si="12"/>
        <v>1</v>
      </c>
      <c r="AR73" s="4">
        <f t="shared" si="12"/>
        <v>3</v>
      </c>
      <c r="AS73" s="4">
        <f t="shared" si="12"/>
        <v>6</v>
      </c>
      <c r="AT73" s="4">
        <f t="shared" si="12"/>
        <v>22</v>
      </c>
      <c r="AU73" s="4">
        <f t="shared" si="12"/>
        <v>5</v>
      </c>
      <c r="AV73" s="4">
        <f t="shared" si="12"/>
        <v>1</v>
      </c>
      <c r="AW73" s="4">
        <f t="shared" si="12"/>
        <v>6</v>
      </c>
      <c r="AX73" s="4">
        <f t="shared" si="12"/>
        <v>3</v>
      </c>
      <c r="AY73" s="4">
        <f t="shared" si="12"/>
        <v>0</v>
      </c>
      <c r="AZ73" s="4">
        <f t="shared" si="12"/>
        <v>6</v>
      </c>
      <c r="BA73" s="4">
        <f t="shared" si="12"/>
        <v>9</v>
      </c>
      <c r="BB73" s="4">
        <f t="shared" si="12"/>
        <v>17</v>
      </c>
      <c r="BC73" s="4">
        <f t="shared" si="12"/>
        <v>0</v>
      </c>
      <c r="BD73" s="4">
        <f t="shared" si="12"/>
        <v>0</v>
      </c>
      <c r="BE73" s="4">
        <f t="shared" si="12"/>
        <v>20</v>
      </c>
      <c r="BF73" s="4">
        <f t="shared" si="12"/>
        <v>23</v>
      </c>
      <c r="BG73" s="4">
        <f t="shared" si="12"/>
        <v>22</v>
      </c>
      <c r="BH73" s="4">
        <f t="shared" si="12"/>
        <v>21</v>
      </c>
      <c r="BI73" s="4">
        <f t="shared" si="12"/>
        <v>17</v>
      </c>
      <c r="BJ73" s="4">
        <f t="shared" si="12"/>
        <v>9</v>
      </c>
      <c r="BK73" s="4">
        <f t="shared" si="12"/>
        <v>1</v>
      </c>
      <c r="BL73" s="4">
        <f t="shared" si="12"/>
        <v>38</v>
      </c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M14" sqref="M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295" activePane="bottomLeft" state="frozenSplit"/>
      <selection pane="bottomLeft" activeCell="M259" sqref="M25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263</v>
      </c>
      <c r="B2" s="1" t="str">
        <f>VLOOKUP(A2,Xtal_Templ!B:C,2,FALSE)</f>
        <v>ox2r_human</v>
      </c>
      <c r="C2" s="5">
        <f>VLOOKUP($B2&amp;"__wt",'SegEnds_Xtal_BW#'!$A:$Z,3,FALSE)</f>
        <v>31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f>VLOOKUP($B2&amp;"__wt",'SegEnds_Xtal_BW#'!$A:$Z,8,FALSE)</f>
        <v>68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18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f>VLOOKUP($B2&amp;"__wt",'SegEnds_Xtal_BW#'!$A:$Z,15,FALSE)</f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61</v>
      </c>
      <c r="W2" s="1">
        <v>31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26</v>
      </c>
      <c r="AC2" s="1" t="e">
        <f>VLOOKUP(A2,'SegEnds_NonXtal_Prot#'!A:AL,10,FALSE)-VLOOKUP(A2,'SegEnds_NonXtal_Prot#'!A:AL,7,FALSE)</f>
        <v>#VALUE!</v>
      </c>
      <c r="AD2" s="1">
        <f>VLOOKUP(A2,'SegEnds_NonXtal_Prot#'!A:AL,13,FALSE)-VLOOKUP(A2,'SegEnds_NonXtal_Prot#'!A:AL,10,FALSE)</f>
        <v>21</v>
      </c>
      <c r="AE2" s="1">
        <f>VLOOKUP(A2,'SegEnds_NonXtal_Prot#'!A:AL,16,FALSE)-VLOOKUP(A2,'SegEnds_NonXtal_Prot#'!A:AL,10,FALSE)</f>
        <v>54</v>
      </c>
      <c r="AF2" s="1">
        <f>VLOOKUP(A2,'SegEnds_NonXtal_Prot#'!A:AL,22,FALSE)-VLOOKUP(A2,'SegEnds_NonXtal_Prot#'!A:AL,19,FALSE)</f>
        <v>20</v>
      </c>
      <c r="AG2" s="1">
        <f>VLOOKUP(A2,'SegEnds_NonXtal_Prot#'!A:AL,28,FALSE)-VLOOKUP(A2,'SegEnds_NonXtal_Prot#'!A:AL,25,FALSE)</f>
        <v>25</v>
      </c>
      <c r="AH2" s="1">
        <f>VLOOKUP(A2,'SegEnds_NonXtal_Prot#'!A:AL,28,FALSE)-VLOOKUP(A2,'SegEnds_NonXtal_Prot#'!A:AL,22,FALSE)</f>
        <v>53</v>
      </c>
      <c r="AI2" s="1">
        <f>VLOOKUP(A2,'SegEnds_NonXtal_Prot#'!A:AL,31,FALSE)-VLOOKUP(A2,'SegEnds_NonXtal_Prot#'!A:AL,28,FALSE)</f>
        <v>82</v>
      </c>
      <c r="AJ2" s="1">
        <f>VLOOKUP(A2,'SegEnds_NonXtal_Prot#'!A:AL,34,FALSE)-VLOOKUP(A2,'SegEnds_NonXtal_Prot#'!A:AL,31,FALSE)</f>
        <v>36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VLOOKUP(A3,Xtal_Templ!B:C,2,FALSE)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295</v>
      </c>
      <c r="B4" s="1" t="str">
        <f>VLOOKUP(A4,Xtal_Templ!B:C,2,FALSE)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INDEX(ICL3_classA!$G$2:$G$37,MATCH(MIN(ABS(AI4-ICL3_classA!$F$2:$F$37)),ABS(AI4-ICL3_classA!$F$2:$F$37),0))</f>
        <v>68</v>
      </c>
      <c r="U4" s="1">
        <f t="array" ref="U4">INDEX(ICL3_classA!$H$2:$H$37,MATCH(MIN(ABS(AI4-ICL3_classA!$F$2:$F$37)),ABS(AI4-ICL3_classA!$F$2:$F$37),0))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26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52</v>
      </c>
      <c r="AF4" s="1">
        <f>VLOOKUP(A4,'SegEnds_NonXtal_Prot#'!A:AL,22,FALSE)-VLOOKUP(A4,'SegEnds_NonXtal_Prot#'!A:AL,19,FALSE)</f>
        <v>20</v>
      </c>
      <c r="AG4" s="1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39</v>
      </c>
      <c r="AI4" s="1">
        <f>VLOOKUP(A4,'SegEnds_NonXtal_Prot#'!A:AL,31,FALSE)-VLOOKUP(A4,'SegEnds_NonXtal_Prot#'!A:AL,28,FALSE)</f>
        <v>42</v>
      </c>
      <c r="AJ4" s="1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164</v>
      </c>
      <c r="B5" s="1" t="str">
        <f>VLOOKUP(A5,Xtal_Templ!B:C,2,FALSE)</f>
        <v>c5ar1_human</v>
      </c>
      <c r="C5" s="5">
        <f>VLOOKUP($B5&amp;"__wt",'SegEnds_Xtal_BW#'!$A:$Z,3,FALSE)</f>
        <v>29</v>
      </c>
      <c r="D5" s="1">
        <f>VLOOKUP($B5&amp;"__wt",'SegEnds_Xtal_BW#'!$A:$Z,4,FALSE)</f>
        <v>60</v>
      </c>
      <c r="E5" s="1" t="str">
        <f>VLOOKUP($B5&amp;"__wt",'SegEnds_Xtal_BW#'!$A:$Z,5,FALSE)</f>
        <v>-</v>
      </c>
      <c r="F5" s="1" t="str">
        <f>VLOOKUP($B5&amp;"__wt",'SegEnds_Xtal_BW#'!$A:$Z,6,FALSE)</f>
        <v>-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64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31</v>
      </c>
      <c r="T5" s="1">
        <f t="array" ref="T5">INDEX(ICL3_classA!$G$2:$G$37,MATCH(MIN(ABS(AI5-ICL3_classA!$F$2:$F$37)),ABS(AI5-ICL3_classA!$F$2:$F$37),0))</f>
        <v>68</v>
      </c>
      <c r="U5" s="108">
        <v>31</v>
      </c>
      <c r="V5" s="1">
        <v>61</v>
      </c>
      <c r="W5" s="108">
        <v>25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56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27</v>
      </c>
      <c r="AC5" s="1" t="e">
        <f>VLOOKUP(A5,'SegEnds_NonXtal_Prot#'!A:AL,10,FALSE)-VLOOKUP(A5,'SegEnds_NonXtal_Prot#'!A:AL,7,FALSE)</f>
        <v>#VALUE!</v>
      </c>
      <c r="AD5" s="1">
        <f>VLOOKUP(A5,'SegEnds_NonXtal_Prot#'!A:AL,13,FALSE)-VLOOKUP(A5,'SegEnds_NonXtal_Prot#'!A:AL,10,FALSE)</f>
        <v>20</v>
      </c>
      <c r="AE5" s="1">
        <f>VLOOKUP(A5,'SegEnds_NonXtal_Prot#'!A:AL,16,FALSE)-VLOOKUP(A5,'SegEnds_NonXtal_Prot#'!A:AL,10,FALSE)</f>
        <v>52</v>
      </c>
      <c r="AF5" s="1">
        <f>VLOOKUP(A5,'SegEnds_NonXtal_Prot#'!A:AL,22,FALSE)-VLOOKUP(A5,'SegEnds_NonXtal_Prot#'!A:AL,19,FALSE)</f>
        <v>20</v>
      </c>
      <c r="AG5" s="1">
        <f>VLOOKUP(A5,'SegEnds_NonXtal_Prot#'!A:AL,28,FALSE)-VLOOKUP(A5,'SegEnds_NonXtal_Prot#'!A:AL,25,FALSE)</f>
        <v>176</v>
      </c>
      <c r="AH5" s="1">
        <f>VLOOKUP(A5,'SegEnds_NonXtal_Prot#'!A:AL,28,FALSE)-VLOOKUP(A5,'SegEnds_NonXtal_Prot#'!A:AL,22,FALSE)</f>
        <v>201</v>
      </c>
      <c r="AI5" s="1">
        <f>VLOOKUP(A5,'SegEnds_NonXtal_Prot#'!A:AL,31,FALSE)-VLOOKUP(A5,'SegEnds_NonXtal_Prot#'!A:AL,28,FALSE)</f>
        <v>44</v>
      </c>
      <c r="AJ5" s="1">
        <f>VLOOKUP(A5,'SegEnds_NonXtal_Prot#'!A:AL,34,FALSE)-VLOOKUP(A5,'SegEnds_NonXtal_Prot#'!A:AL,31,FALSE)</f>
        <v>40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165</v>
      </c>
      <c r="B6" s="1" t="str">
        <f>VLOOKUP(A6,Xtal_Templ!B:C,2,FALSE)</f>
        <v>c5ar1_human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 t="str">
        <f>VLOOKUP($B6&amp;"__wt",'SegEnds_Xtal_BW#'!$A:$Z,5,FALSE)</f>
        <v>-</v>
      </c>
      <c r="F6" s="1" t="str">
        <f>VLOOKUP($B6&amp;"__wt",'SegEnds_Xtal_BW#'!$A:$Z,6,FALSE)</f>
        <v>-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31</v>
      </c>
      <c r="T6" s="1">
        <f t="array" ref="T6">INDEX(ICL3_classA!$G$2:$G$37,MATCH(MIN(ABS(AI6-ICL3_classA!$F$2:$F$37)),ABS(AI6-ICL3_classA!$F$2:$F$37),0))</f>
        <v>68</v>
      </c>
      <c r="U6" s="108">
        <v>31</v>
      </c>
      <c r="V6" s="1">
        <v>61</v>
      </c>
      <c r="W6" s="108">
        <v>25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56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27</v>
      </c>
      <c r="AC6" s="1" t="e">
        <f>VLOOKUP(A6,'SegEnds_NonXtal_Prot#'!A:AL,10,FALSE)-VLOOKUP(A6,'SegEnds_NonXtal_Prot#'!A:AL,7,FALSE)</f>
        <v>#VALUE!</v>
      </c>
      <c r="AD6" s="1">
        <f>VLOOKUP(A6,'SegEnds_NonXtal_Prot#'!A:AL,13,FALSE)-VLOOKUP(A6,'SegEnds_NonXtal_Prot#'!A:AL,10,FALSE)</f>
        <v>20</v>
      </c>
      <c r="AE6" s="1">
        <f>VLOOKUP(A6,'SegEnds_NonXtal_Prot#'!A:AL,16,FALSE)-VLOOKUP(A6,'SegEnds_NonXtal_Prot#'!A:AL,10,FALSE)</f>
        <v>52</v>
      </c>
      <c r="AF6" s="1">
        <f>VLOOKUP(A6,'SegEnds_NonXtal_Prot#'!A:AL,22,FALSE)-VLOOKUP(A6,'SegEnds_NonXtal_Prot#'!A:AL,19,FALSE)</f>
        <v>20</v>
      </c>
      <c r="AG6" s="1">
        <f>VLOOKUP(A6,'SegEnds_NonXtal_Prot#'!A:AL,28,FALSE)-VLOOKUP(A6,'SegEnds_NonXtal_Prot#'!A:AL,25,FALSE)</f>
        <v>26</v>
      </c>
      <c r="AH6" s="1">
        <f>VLOOKUP(A6,'SegEnds_NonXtal_Prot#'!A:AL,28,FALSE)-VLOOKUP(A6,'SegEnds_NonXtal_Prot#'!A:AL,22,FALSE)</f>
        <v>53</v>
      </c>
      <c r="AI6" s="1">
        <f>VLOOKUP(A6,'SegEnds_NonXtal_Prot#'!A:AL,31,FALSE)-VLOOKUP(A6,'SegEnds_NonXtal_Prot#'!A:AL,28,FALSE)</f>
        <v>43</v>
      </c>
      <c r="AJ6" s="1">
        <f>VLOOKUP(A6,'SegEnds_NonXtal_Prot#'!A:AL,34,FALSE)-VLOOKUP(A6,'SegEnds_NonXtal_Prot#'!A:AL,31,FALSE)</f>
        <v>40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Xtal</v>
      </c>
    </row>
    <row r="7" spans="1:38" x14ac:dyDescent="0.2">
      <c r="A7" s="1" t="s">
        <v>166</v>
      </c>
      <c r="B7" s="1" t="str">
        <f>VLOOKUP(A7,Xtal_Templ!B:C,2,FALSE)</f>
        <v>c5ar1_human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 t="str">
        <f>VLOOKUP($B7&amp;"__wt",'SegEnds_Xtal_BW#'!$A:$Z,5,FALSE)</f>
        <v>-</v>
      </c>
      <c r="F7" s="1" t="str">
        <f>VLOOKUP($B7&amp;"__wt",'SegEnds_Xtal_BW#'!$A:$Z,6,FALSE)</f>
        <v>-</v>
      </c>
      <c r="G7" s="1">
        <v>37</v>
      </c>
      <c r="H7" s="12">
        <f>VLOOKUP($B7&amp;"__wt",'SegEnds_Xtal_BW#'!$A:$Z,8,FALSE)</f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31</v>
      </c>
      <c r="T7" s="1">
        <f t="array" ref="T7">INDEX(ICL3_classA!$G$2:$G$37,MATCH(MIN(ABS(AI7-ICL3_classA!$F$2:$F$37)),ABS(AI7-ICL3_classA!$F$2:$F$37),0))</f>
        <v>64</v>
      </c>
      <c r="U7" s="108">
        <v>31</v>
      </c>
      <c r="V7" s="1">
        <v>61</v>
      </c>
      <c r="W7" s="108">
        <v>25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56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27</v>
      </c>
      <c r="AC7" s="1" t="e">
        <f>VLOOKUP(A7,'SegEnds_NonXtal_Prot#'!A:AL,10,FALSE)-VLOOKUP(A7,'SegEnds_NonXtal_Prot#'!A:AL,7,FALSE)</f>
        <v>#VALUE!</v>
      </c>
      <c r="AD7" s="1">
        <f>VLOOKUP(A7,'SegEnds_NonXtal_Prot#'!A:AL,13,FALSE)-VLOOKUP(A7,'SegEnds_NonXtal_Prot#'!A:AL,10,FALSE)</f>
        <v>20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26</v>
      </c>
      <c r="AH7" s="1">
        <f>VLOOKUP(A7,'SegEnds_NonXtal_Prot#'!A:AL,28,FALSE)-VLOOKUP(A7,'SegEnds_NonXtal_Prot#'!A:AL,22,FALSE)</f>
        <v>53</v>
      </c>
      <c r="AI7" s="1">
        <f>VLOOKUP(A7,'SegEnds_NonXtal_Prot#'!A:AL,31,FALSE)-VLOOKUP(A7,'SegEnds_NonXtal_Prot#'!A:AL,28,FALSE)</f>
        <v>36</v>
      </c>
      <c r="AJ7" s="1">
        <f>VLOOKUP(A7,'SegEnds_NonXtal_Prot#'!A:AL,34,FALSE)-VLOOKUP(A7,'SegEnds_NonXtal_Prot#'!A:AL,31,FALSE)</f>
        <v>40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181</v>
      </c>
      <c r="B8" s="1" t="str">
        <f>VLOOKUP(A8,Xtal_Templ!B:C,2,FALSE)</f>
        <v>agtr1_human</v>
      </c>
      <c r="C8" s="5">
        <f>VLOOKUP($B8&amp;"__wt",'SegEnds_Xtal_BW#'!$A:$Z,3,FALSE)</f>
        <v>30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34</v>
      </c>
      <c r="T8" s="1">
        <f t="array" ref="T8">INDEX(ICL3_classA!$G$2:$G$37,MATCH(MIN(ABS(AI8-ICL3_classA!$F$2:$F$37)),ABS(AI8-ICL3_classA!$F$2:$F$37),0))</f>
        <v>68</v>
      </c>
      <c r="U8" s="1">
        <f t="array" ref="U8">INDEX(ICL3_classA!$H$2:$H$37,MATCH(MIN(ABS(AI8-ICL3_classA!$F$2:$F$37)),ABS(AI8-ICL3_classA!$F$2:$F$37),0))</f>
        <v>30</v>
      </c>
      <c r="V8" s="1">
        <v>61</v>
      </c>
      <c r="W8" s="1">
        <v>28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27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43</v>
      </c>
      <c r="AH8" s="1">
        <f>VLOOKUP(A8,'SegEnds_NonXtal_Prot#'!A:AL,28,FALSE)-VLOOKUP(A8,'SegEnds_NonXtal_Prot#'!A:AL,22,FALSE)</f>
        <v>68</v>
      </c>
      <c r="AI8" s="1">
        <f>VLOOKUP(A8,'SegEnds_NonXtal_Prot#'!A:AL,31,FALSE)-VLOOKUP(A8,'SegEnds_NonXtal_Prot#'!A:AL,28,FALSE)</f>
        <v>43</v>
      </c>
      <c r="AJ8" s="1">
        <f>VLOOKUP(A8,'SegEnds_NonXtal_Prot#'!A:AL,34,FALSE)-VLOOKUP(A8,'SegEnds_NonXtal_Prot#'!A:AL,31,FALSE)</f>
        <v>38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4" t="s">
        <v>200</v>
      </c>
      <c r="B9" s="4" t="str">
        <f>VLOOKUP(A9,Xtal_Templ!B:C,2,FALSE)</f>
        <v>ox2r_human</v>
      </c>
      <c r="C9" s="5">
        <f>VLOOKUP($B9&amp;"__wt",'SegEnds_Xtal_BW#'!$A:$Z,3,FALSE)</f>
        <v>31</v>
      </c>
      <c r="D9" s="4">
        <f>VLOOKUP($B9&amp;"__wt",'SegEnds_Xtal_BW#'!$A:$Z,4,FALSE)</f>
        <v>60</v>
      </c>
      <c r="E9" s="4">
        <f>VLOOKUP($B9&amp;"__wt",'SegEnds_Xtal_BW#'!$A:$Z,5,FALSE)</f>
        <v>48</v>
      </c>
      <c r="F9" s="4">
        <f>VLOOKUP($B9&amp;"__wt",'SegEnds_Xtal_BW#'!$A:$Z,6,FALSE)</f>
        <v>51</v>
      </c>
      <c r="G9" s="4">
        <v>37</v>
      </c>
      <c r="H9" s="11">
        <v>66</v>
      </c>
      <c r="I9" s="4">
        <f>VLOOKUP($B9&amp;"__wt",'SegEnds_Xtal_BW#'!$A:$Z,9,FALSE)</f>
        <v>49</v>
      </c>
      <c r="J9" s="4">
        <f>VLOOKUP($B9&amp;"__wt",'SegEnds_Xtal_BW#'!$A:$Z,10,FALSE)</f>
        <v>52</v>
      </c>
      <c r="K9" s="11">
        <v>21</v>
      </c>
      <c r="L9" s="4">
        <f>VLOOKUP($B9&amp;"__wt",'SegEnds_Xtal_BW#'!$A:$Z,12,FALSE)</f>
        <v>56</v>
      </c>
      <c r="M9" s="4">
        <f>VLOOKUP($B9&amp;"__wt",'SegEnds_Xtal_BW#'!$A:$Z,13,FALSE)</f>
        <v>50</v>
      </c>
      <c r="N9" s="11">
        <v>57</v>
      </c>
      <c r="O9" s="87">
        <f>VLOOKUP($B9&amp;"__wt",'SegEnds_Xtal_BW#'!$A:$Z,15,FALSE)</f>
        <v>38</v>
      </c>
      <c r="P9" s="4">
        <f>VLOOKUP($B9&amp;"__wt",'SegEnds_Xtal_BW#'!$A:$Z,16,FALSE)</f>
        <v>64</v>
      </c>
      <c r="Q9" s="4">
        <f>VLOOKUP($B9&amp;"__wt",'SegEnds_Xtal_BW#'!$A:$Z,17,FALSE)</f>
        <v>50</v>
      </c>
      <c r="R9" s="4">
        <f>VLOOKUP($B9&amp;"__wt",'SegEnds_Xtal_BW#'!$A:$Z,18,FALSE)</f>
        <v>52</v>
      </c>
      <c r="S9" s="4">
        <f>VLOOKUP($B9&amp;"__wt",'SegEnds_Xtal_BW#'!$A:$Z,19,FALSE)</f>
        <v>33</v>
      </c>
      <c r="T9" s="4">
        <f t="array" ref="T9">INDEX(ICL3_classA!$G$2:$G$37,MATCH(MIN(ABS(AI9-ICL3_classA!$F$2:$F$37)),ABS(AI9-ICL3_classA!$F$2:$F$37),0))</f>
        <v>76</v>
      </c>
      <c r="U9" s="4">
        <f t="array" ref="U9">INDEX(ICL3_classA!$H$2:$H$37,MATCH(MIN(ABS(AI9-ICL3_classA!$F$2:$F$37)),ABS(AI9-ICL3_classA!$F$2:$F$37),0))</f>
        <v>24</v>
      </c>
      <c r="V9" s="4">
        <v>61</v>
      </c>
      <c r="W9" s="4">
        <v>28</v>
      </c>
      <c r="X9" s="4">
        <f>VLOOKUP($B9&amp;"__wt",'SegEnds_Xtal_BW#'!$A:$Z,24,FALSE)</f>
        <v>56</v>
      </c>
      <c r="Y9" s="4">
        <f>VLOOKUP($B9&amp;"__wt",'SegEnds_Xtal_BW#'!$A:$Z,25,FALSE)</f>
        <v>47</v>
      </c>
      <c r="Z9" s="4">
        <f>VLOOKUP($B9&amp;"__wt",'SegEnds_Xtal_BW#'!$A:$Z,26,FALSE)</f>
        <v>58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4" t="e">
        <f>VLOOKUP(A9,'SegEnds_NonXtal_Prot#'!A:AL,10,FALSE)-VLOOKUP(A9,'SegEnds_NonXtal_Prot#'!A:AL,7,FALSE)</f>
        <v>#VALUE!</v>
      </c>
      <c r="AD9" s="4">
        <f>VLOOKUP(A9,'SegEnds_NonXtal_Prot#'!A:AL,13,FALSE)-VLOOKUP(A9,'SegEnds_NonXtal_Prot#'!A:AL,10,FALSE)</f>
        <v>19</v>
      </c>
      <c r="AE9" s="4">
        <f>VLOOKUP(A9,'SegEnds_NonXtal_Prot#'!A:AL,16,FALSE)-VLOOKUP(A9,'SegEnds_NonXtal_Prot#'!A:AL,10,FALSE)</f>
        <v>51</v>
      </c>
      <c r="AF9" s="1">
        <f>VLOOKUP(A9,'SegEnds_NonXtal_Prot#'!A:AL,22,FALSE)-VLOOKUP(A9,'SegEnds_NonXtal_Prot#'!A:AL,19,FALSE)</f>
        <v>20</v>
      </c>
      <c r="AG9" s="4">
        <f>VLOOKUP(A9,'SegEnds_NonXtal_Prot#'!A:AL,28,FALSE)-VLOOKUP(A9,'SegEnds_NonXtal_Prot#'!A:AL,25,FALSE)</f>
        <v>25</v>
      </c>
      <c r="AH9" s="1">
        <f>VLOOKUP(A9,'SegEnds_NonXtal_Prot#'!A:AL,28,FALSE)-VLOOKUP(A9,'SegEnds_NonXtal_Prot#'!A:AL,22,FALSE)</f>
        <v>56</v>
      </c>
      <c r="AI9" s="4">
        <f>VLOOKUP(A9,'SegEnds_NonXtal_Prot#'!A:AL,31,FALSE)-VLOOKUP(A9,'SegEnds_NonXtal_Prot#'!A:AL,28,FALSE)</f>
        <v>76</v>
      </c>
      <c r="AJ9" s="4">
        <f>VLOOKUP(A9,'SegEnds_NonXtal_Prot#'!A:AL,34,FALSE)-VLOOKUP(A9,'SegEnds_NonXtal_Prot#'!A:AL,31,FALSE)</f>
        <v>39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201</v>
      </c>
      <c r="B10" s="1" t="str">
        <f>VLOOKUP(A10,Xtal_Templ!B:C,2,FALSE)</f>
        <v>agtr1_human</v>
      </c>
      <c r="C10" s="5">
        <f>VLOOKUP($B10&amp;"__wt",'SegEnds_Xtal_BW#'!$A:$Z,3,FALSE)</f>
        <v>30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34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">
        <v>28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37</v>
      </c>
      <c r="AH10" s="1">
        <f>VLOOKUP(A10,'SegEnds_NonXtal_Prot#'!A:AL,28,FALSE)-VLOOKUP(A10,'SegEnds_NonXtal_Prot#'!A:AL,22,FALSE)</f>
        <v>63</v>
      </c>
      <c r="AI10" s="1">
        <f>VLOOKUP(A10,'SegEnds_NonXtal_Prot#'!A:AL,31,FALSE)-VLOOKUP(A10,'SegEnds_NonXtal_Prot#'!A:AL,28,FALSE)</f>
        <v>43</v>
      </c>
      <c r="AJ10" s="1">
        <f>VLOOKUP(A10,'SegEnds_NonXtal_Prot#'!A:AL,34,FALSE)-VLOOKUP(A10,'SegEnds_NonXtal_Prot#'!A:AL,31,FALSE)</f>
        <v>42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202</v>
      </c>
      <c r="B11" s="1" t="str">
        <f>VLOOKUP(A11,Xtal_Templ!B:C,2,FALSE)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f>VLOOKUP($B11&amp;"__wt",'SegEnds_Xtal_BW#'!$A:$Z,8,FALSE)</f>
        <v>67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f>VLOOKUP($B11&amp;"__wt",'SegEnds_Xtal_BW#'!$A:$Z,14,FALSE)</f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">
        <v>24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>
        <f>VLOOKUP(A11,'SegEnds_NonXtal_Prot#'!A:AL,13,FALSE)-VLOOKUP(A11,'SegEnds_NonXtal_Prot#'!A:AL,10,FALSE)</f>
        <v>20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37</v>
      </c>
      <c r="AH11" s="1">
        <f>VLOOKUP(A11,'SegEnds_NonXtal_Prot#'!A:AL,28,FALSE)-VLOOKUP(A11,'SegEnds_NonXtal_Prot#'!A:AL,22,FALSE)</f>
        <v>63</v>
      </c>
      <c r="AI11" s="1">
        <f>VLOOKUP(A11,'SegEnds_NonXtal_Prot#'!A:AL,31,FALSE)-VLOOKUP(A11,'SegEnds_NonXtal_Prot#'!A:AL,28,FALSE)</f>
        <v>43</v>
      </c>
      <c r="AJ11" s="1">
        <f>VLOOKUP(A11,'SegEnds_NonXtal_Prot#'!A:AL,34,FALSE)-VLOOKUP(A11,'SegEnds_NonXtal_Prot#'!A:AL,31,FALSE)</f>
        <v>43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203</v>
      </c>
      <c r="B12" s="1" t="str">
        <f>VLOOKUP(A12,Xtal_Templ!B:C,2,FALSE)</f>
        <v>c5ar1_human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f>VLOOKUP($B12&amp;"__wt",'SegEnds_Xtal_BW#'!$A:$Z,14,FALSE)</f>
        <v>57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30</v>
      </c>
      <c r="V12" s="1">
        <v>61</v>
      </c>
      <c r="W12" s="1">
        <v>24</v>
      </c>
      <c r="X12" s="108">
        <v>56</v>
      </c>
      <c r="Y12" s="1">
        <f>VLOOKUP($B12&amp;"__wt",'SegEnds_Xtal_BW#'!$A:$Z,25,FALSE)</f>
        <v>47</v>
      </c>
      <c r="Z12" s="1">
        <f>VLOOKUP($B12&amp;"__wt",'SegEnds_Xtal_BW#'!$A:$Z,26,FALSE)</f>
        <v>56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27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20</v>
      </c>
      <c r="AE12" s="1">
        <f>VLOOKUP(A12,'SegEnds_NonXtal_Prot#'!A:AL,16,FALSE)-VLOOKUP(A12,'SegEnds_NonXtal_Prot#'!A:AL,10,FALSE)</f>
        <v>52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37</v>
      </c>
      <c r="AH12" s="1">
        <f>VLOOKUP(A12,'SegEnds_NonXtal_Prot#'!A:AL,28,FALSE)-VLOOKUP(A12,'SegEnds_NonXtal_Prot#'!A:AL,22,FALSE)</f>
        <v>63</v>
      </c>
      <c r="AI12" s="1">
        <f>VLOOKUP(A12,'SegEnds_NonXtal_Prot#'!A:AL,31,FALSE)-VLOOKUP(A12,'SegEnds_NonXtal_Prot#'!A:AL,28,FALSE)</f>
        <v>43</v>
      </c>
      <c r="AJ12" s="1">
        <f>VLOOKUP(A12,'SegEnds_NonXtal_Prot#'!A:AL,34,FALSE)-VLOOKUP(A12,'SegEnds_NonXtal_Prot#'!A:AL,31,FALSE)</f>
        <v>43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225</v>
      </c>
      <c r="B13" s="1" t="str">
        <f>VLOOKUP(A13,Xtal_Templ!B:C,2,FALSE)</f>
        <v>drd4_human</v>
      </c>
      <c r="C13" s="5">
        <f>VLOOKUP($B13&amp;"__wt",'SegEnds_Xtal_BW#'!$A:$Z,3,FALSE)</f>
        <v>29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f>VLOOKUP($B13&amp;"__wt",'SegEnds_Xtal_BW#'!$A:$Z,15,FALSE)</f>
        <v>38</v>
      </c>
      <c r="P13" s="1">
        <v>63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08">
        <v>55</v>
      </c>
      <c r="Y13" s="1">
        <f>VLOOKUP($B13&amp;"__wt",'SegEnds_Xtal_BW#'!$A:$Z,25,FALSE)</f>
        <v>47</v>
      </c>
      <c r="Z13" s="1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27</v>
      </c>
      <c r="AC13" s="1">
        <f>VLOOKUP(A13,'SegEnds_NonXtal_Prot#'!A:AL,10,FALSE)-VLOOKUP(A13,'SegEnds_NonXtal_Prot#'!A:AL,7,FALSE)</f>
        <v>14</v>
      </c>
      <c r="AD13" s="1">
        <f>VLOOKUP(A13,'SegEnds_NonXtal_Prot#'!A:AL,13,FALSE)-VLOOKUP(A13,'SegEnds_NonXtal_Prot#'!A:AL,10,FALSE)</f>
        <v>24</v>
      </c>
      <c r="AE13" s="1">
        <f>VLOOKUP(A13,'SegEnds_NonXtal_Prot#'!A:AL,16,FALSE)-VLOOKUP(A13,'SegEnds_NonXtal_Prot#'!A:AL,10,FALSE)</f>
        <v>56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23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76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9</v>
      </c>
      <c r="AL13" s="1" t="str">
        <f>IF(ISERROR(MATCH(A13,'SegEnds_Xtal_Prot#'!B:B, 0)), "NoXtal", "Xtal")</f>
        <v>NoXtal</v>
      </c>
    </row>
    <row r="14" spans="1:38" x14ac:dyDescent="0.2">
      <c r="A14" s="1" t="s">
        <v>226</v>
      </c>
      <c r="B14" s="1" t="str">
        <f>VLOOKUP(A14,Xtal_Templ!B:C,2,FALSE)</f>
        <v>p2y12_human</v>
      </c>
      <c r="C14" s="5">
        <f>VLOOKUP($B14&amp;"__wt",'SegEnds_Xtal_BW#'!$A:$Z,3,FALSE)</f>
        <v>28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 t="str">
        <f>VLOOKUP($B14&amp;"__wt",'SegEnds_Xtal_BW#'!$A:$Z,9,FALSE)</f>
        <v>-</v>
      </c>
      <c r="J14" s="1" t="str">
        <f>VLOOKUP($B14&amp;"__wt",'SegEnds_Xtal_BW#'!$A:$Z,10,FALSE)</f>
        <v>-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f>VLOOKUP($B14&amp;"__wt",'SegEnds_Xtal_BW#'!$A:$Z,15,FALSE)</f>
        <v>38</v>
      </c>
      <c r="P14" s="1"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v>35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">
        <v>31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57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27</v>
      </c>
      <c r="AC14" s="1" t="e">
        <f>VLOOKUP(A14,'SegEnds_NonXtal_Prot#'!A:AL,10,FALSE)-VLOOKUP(A14,'SegEnds_NonXtal_Prot#'!A:AL,7,FALSE)</f>
        <v>#VALUE!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54</v>
      </c>
      <c r="AF14" s="1" t="e">
        <f>VLOOKUP(A14,'SegEnds_NonXtal_Prot#'!A:AL,22,FALSE)-VLOOKUP(A14,'SegEnds_NonXtal_Prot#'!A:AL,19,FALSE)</f>
        <v>#VALUE!</v>
      </c>
      <c r="AG14" s="1">
        <f>VLOOKUP(A14,'SegEnds_NonXtal_Prot#'!A:AL,28,FALSE)-VLOOKUP(A14,'SegEnds_NonXtal_Prot#'!A:AL,25,FALSE)</f>
        <v>22</v>
      </c>
      <c r="AH14" s="1">
        <f>VLOOKUP(A14,'SegEnds_NonXtal_Prot#'!A:AL,28,FALSE)-VLOOKUP(A14,'SegEnds_NonXtal_Prot#'!A:AL,22,FALSE)</f>
        <v>49</v>
      </c>
      <c r="AI14" s="1">
        <f>VLOOKUP(A14,'SegEnds_NonXtal_Prot#'!A:AL,31,FALSE)-VLOOKUP(A14,'SegEnds_NonXtal_Prot#'!A:AL,28,FALSE)</f>
        <v>58</v>
      </c>
      <c r="AJ14" s="1">
        <f>VLOOKUP(A14,'SegEnds_NonXtal_Prot#'!A:AL,34,FALSE)-VLOOKUP(A14,'SegEnds_NonXtal_Prot#'!A:AL,31,FALSE)</f>
        <v>35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228</v>
      </c>
      <c r="B15" s="1" t="str">
        <f>VLOOKUP(A15,Xtal_Templ!B:C,2,FALSE)</f>
        <v>npy1r_human</v>
      </c>
      <c r="C15" s="5">
        <f>VLOOKUP($B15&amp;"__wt",'SegEnds_Xtal_BW#'!$A:$Z,3,FALSE)</f>
        <v>28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08">
        <v>50</v>
      </c>
      <c r="N15" s="12">
        <v>57</v>
      </c>
      <c r="O15" s="87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74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08">
        <v>55</v>
      </c>
      <c r="Y15" s="1">
        <f>VLOOKUP($B15&amp;"__wt",'SegEnds_Xtal_BW#'!$A:$Z,25,FALSE)</f>
        <v>47</v>
      </c>
      <c r="Z15" s="1">
        <f>VLOOKUP($B15&amp;"__wt",'SegEnds_Xtal_BW#'!$A:$Z,26,FALSE)</f>
        <v>58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27</v>
      </c>
      <c r="AC15" s="1">
        <f>VLOOKUP(A15,'SegEnds_NonXtal_Prot#'!A:AL,10,FALSE)-VLOOKUP(A15,'SegEnds_NonXtal_Prot#'!A:AL,7,FALSE)</f>
        <v>14</v>
      </c>
      <c r="AD15" s="1">
        <f>VLOOKUP(A15,'SegEnds_NonXtal_Prot#'!A:AL,13,FALSE)-VLOOKUP(A15,'SegEnds_NonXtal_Prot#'!A:AL,10,FALSE)</f>
        <v>25</v>
      </c>
      <c r="AE15" s="1">
        <f>VLOOKUP(A15,'SegEnds_NonXtal_Prot#'!A:AL,16,FALSE)-VLOOKUP(A15,'SegEnds_NonXtal_Prot#'!A:AL,10,FALSE)</f>
        <v>57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23</v>
      </c>
      <c r="AH15" s="1">
        <f>VLOOKUP(A15,'SegEnds_NonXtal_Prot#'!A:AL,28,FALSE)-VLOOKUP(A15,'SegEnds_NonXtal_Prot#'!A:AL,22,FALSE)</f>
        <v>49</v>
      </c>
      <c r="AI15" s="1">
        <f>VLOOKUP(A15,'SegEnds_NonXtal_Prot#'!A:AL,31,FALSE)-VLOOKUP(A15,'SegEnds_NonXtal_Prot#'!A:AL,28,FALSE)</f>
        <v>96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9</v>
      </c>
      <c r="AL15" s="1" t="str">
        <f>IF(ISERROR(MATCH(A15,'SegEnds_Xtal_Prot#'!B:B, 0)), "NoXtal", "Xtal")</f>
        <v>NoXtal</v>
      </c>
    </row>
    <row r="16" spans="1:38" x14ac:dyDescent="0.2">
      <c r="A16" s="1" t="s">
        <v>237</v>
      </c>
      <c r="B16" s="1" t="str">
        <f>VLOOKUP(A16,Xtal_Templ!B:C,2,FALSE)</f>
        <v>agtr1_human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66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INDEX(ICL3_classA!$G$2:$G$37,MATCH(MIN(ABS(AI16-ICL3_classA!$F$2:$F$37)),ABS(AI16-ICL3_classA!$F$2:$F$37),0))</f>
        <v>68</v>
      </c>
      <c r="U16" s="1">
        <f t="array" ref="U16">INDEX(ICL3_classA!$H$2:$H$37,MATCH(MIN(ABS(AI16-ICL3_classA!$F$2:$F$37)),ABS(AI16-ICL3_classA!$F$2:$F$37),0))</f>
        <v>30</v>
      </c>
      <c r="V16" s="1">
        <v>61</v>
      </c>
      <c r="W16" s="1">
        <v>28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27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31</v>
      </c>
      <c r="AH16" s="1">
        <f>VLOOKUP(A16,'SegEnds_NonXtal_Prot#'!A:AL,28,FALSE)-VLOOKUP(A16,'SegEnds_NonXtal_Prot#'!A:AL,22,FALSE)</f>
        <v>56</v>
      </c>
      <c r="AI16" s="1">
        <f>VLOOKUP(A16,'SegEnds_NonXtal_Prot#'!A:AL,31,FALSE)-VLOOKUP(A16,'SegEnds_NonXtal_Prot#'!A:AL,28,FALSE)</f>
        <v>43</v>
      </c>
      <c r="AJ16" s="1">
        <f>VLOOKUP(A16,'SegEnds_NonXtal_Prot#'!A:AL,34,FALSE)-VLOOKUP(A16,'SegEnds_NonXtal_Prot#'!A:AL,31,FALSE)</f>
        <v>40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251</v>
      </c>
      <c r="B17" s="1" t="str">
        <f>VLOOKUP(A17,Xtal_Templ!B:C,2,FALSE)</f>
        <v>oprk_human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30</v>
      </c>
      <c r="T17" s="1">
        <f t="array" ref="T17">INDEX(ICL3_classA!$G$2:$G$37,MATCH(MIN(ABS(AI17-ICL3_classA!$F$2:$F$37)),ABS(AI17-ICL3_classA!$F$2:$F$37),0))</f>
        <v>68</v>
      </c>
      <c r="U17" s="1">
        <f t="array" ref="U17">INDEX(ICL3_classA!$H$2:$H$37,MATCH(MIN(ABS(AI17-ICL3_classA!$F$2:$F$37)),ABS(AI17-ICL3_classA!$F$2:$F$37),0))</f>
        <v>30</v>
      </c>
      <c r="V17" s="1">
        <v>61</v>
      </c>
      <c r="W17" s="1">
        <v>28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19</v>
      </c>
      <c r="AE17" s="1">
        <f>VLOOKUP(A17,'SegEnds_NonXtal_Prot#'!A:AL,16,FALSE)-VLOOKUP(A17,'SegEnds_NonXtal_Prot#'!A:AL,10,FALSE)</f>
        <v>51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37</v>
      </c>
      <c r="AH17" s="1">
        <f>VLOOKUP(A17,'SegEnds_NonXtal_Prot#'!A:AL,28,FALSE)-VLOOKUP(A17,'SegEnds_NonXtal_Prot#'!A:AL,22,FALSE)</f>
        <v>62</v>
      </c>
      <c r="AI17" s="1">
        <f>VLOOKUP(A17,'SegEnds_NonXtal_Prot#'!A:AL,31,FALSE)-VLOOKUP(A17,'SegEnds_NonXtal_Prot#'!A:AL,28,FALSE)</f>
        <v>43</v>
      </c>
      <c r="AJ17" s="1">
        <f>VLOOKUP(A17,'SegEnds_NonXtal_Prot#'!A:AL,34,FALSE)-VLOOKUP(A17,'SegEnds_NonXtal_Prot#'!A:AL,31,FALSE)</f>
        <v>42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252</v>
      </c>
      <c r="B18" s="1" t="str">
        <f>VLOOKUP(A18,Xtal_Templ!B:C,2,FALSE)</f>
        <v>agtr1_human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INDEX(ICL3_classA!$G$2:$G$37,MATCH(MIN(ABS(AI18-ICL3_classA!$F$2:$F$37)),ABS(AI18-ICL3_classA!$F$2:$F$37),0))</f>
        <v>68</v>
      </c>
      <c r="U18" s="1">
        <f t="array" ref="U18">INDEX(ICL3_classA!$H$2:$H$37,MATCH(MIN(ABS(AI18-ICL3_classA!$F$2:$F$37)),ABS(AI18-ICL3_classA!$F$2:$F$37),0))</f>
        <v>30</v>
      </c>
      <c r="V18" s="1">
        <v>61</v>
      </c>
      <c r="W18" s="1"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61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 t="e">
        <f>VLOOKUP(A18,'SegEnds_NonXtal_Prot#'!A:AL,10,FALSE)-VLOOKUP(A18,'SegEnds_NonXtal_Prot#'!A:AL,7,FALSE)</f>
        <v>#VALUE!</v>
      </c>
      <c r="AD18" s="1">
        <f>VLOOKUP(A18,'SegEnds_NonXtal_Prot#'!A:AL,13,FALSE)-VLOOKUP(A18,'SegEnds_NonXtal_Prot#'!A:AL,10,FALSE)</f>
        <v>20</v>
      </c>
      <c r="AE18" s="1">
        <f>VLOOKUP(A18,'SegEnds_NonXtal_Prot#'!A:AL,16,FALSE)-VLOOKUP(A18,'SegEnds_NonXtal_Prot#'!A:AL,10,FALSE)</f>
        <v>52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38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43</v>
      </c>
      <c r="AJ18" s="1">
        <f>VLOOKUP(A18,'SegEnds_NonXtal_Prot#'!A:AL,34,FALSE)-VLOOKUP(A18,'SegEnds_NonXtal_Prot#'!A:AL,31,FALSE)</f>
        <v>36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272</v>
      </c>
      <c r="B19" s="1" t="str">
        <f>VLOOKUP(A19,Xtal_Templ!B:C,2,FALSE)</f>
        <v>p2y12_human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 t="str">
        <f>VLOOKUP($B19&amp;"__wt",'SegEnds_Xtal_BW#'!$A:$Z,5,FALSE)</f>
        <v>-</v>
      </c>
      <c r="F19" s="1" t="str">
        <f>VLOOKUP($B19&amp;"__wt",'SegEnds_Xtal_BW#'!$A:$Z,6,FALSE)</f>
        <v>-</v>
      </c>
      <c r="G19" s="1">
        <v>37</v>
      </c>
      <c r="H19" s="12">
        <f>VLOOKUP($B19&amp;"__wt",'SegEnds_Xtal_BW#'!$A:$Z,8,FALSE)</f>
        <v>66</v>
      </c>
      <c r="I19" s="1" t="str">
        <f>VLOOKUP($B19&amp;"__wt",'SegEnds_Xtal_BW#'!$A:$Z,9,FALSE)</f>
        <v>-</v>
      </c>
      <c r="J19" s="1" t="str">
        <f>VLOOKUP($B19&amp;"__wt",'SegEnds_Xtal_BW#'!$A:$Z,10,FALSE)</f>
        <v>-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30</v>
      </c>
      <c r="T19" s="1">
        <f t="array" ref="T19">INDEX(ICL3_classA!$G$2:$G$37,MATCH(MIN(ABS(AI19-ICL3_classA!$F$2:$F$37)),ABS(AI19-ICL3_classA!$F$2:$F$37),0))</f>
        <v>68</v>
      </c>
      <c r="U19" s="1">
        <f t="array" ref="U19">INDEX(ICL3_classA!$H$2:$H$37,MATCH(MIN(ABS(AI19-ICL3_classA!$F$2:$F$37)),ABS(AI19-ICL3_classA!$F$2:$F$37),0))</f>
        <v>24</v>
      </c>
      <c r="V19" s="1">
        <v>64</v>
      </c>
      <c r="W19" s="1">
        <v>24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57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 t="e">
        <f>VLOOKUP(A19,'SegEnds_NonXtal_Prot#'!A:AL,10,FALSE)-VLOOKUP(A19,'SegEnds_NonXtal_Prot#'!A:AL,7,FALSE)</f>
        <v>#VALUE!</v>
      </c>
      <c r="AD19" s="1">
        <f>VLOOKUP(A19,'SegEnds_NonXtal_Prot#'!A:AL,13,FALSE)-VLOOKUP(A19,'SegEnds_NonXtal_Prot#'!A:AL,10,FALSE)</f>
        <v>20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26</v>
      </c>
      <c r="AH19" s="1">
        <f>VLOOKUP(A19,'SegEnds_NonXtal_Prot#'!A:AL,28,FALSE)-VLOOKUP(A19,'SegEnds_NonXtal_Prot#'!A:AL,22,FALSE)</f>
        <v>52</v>
      </c>
      <c r="AI19" s="1">
        <f>VLOOKUP(A19,'SegEnds_NonXtal_Prot#'!A:AL,31,FALSE)-VLOOKUP(A19,'SegEnds_NonXtal_Prot#'!A:AL,28,FALSE)</f>
        <v>49</v>
      </c>
      <c r="AJ19" s="1">
        <f>VLOOKUP(A19,'SegEnds_NonXtal_Prot#'!A:AL,34,FALSE)-VLOOKUP(A19,'SegEnds_NonXtal_Prot#'!A:AL,31,FALSE)</f>
        <v>44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294</v>
      </c>
      <c r="B20" s="1" t="str">
        <f>VLOOKUP(A20,Xtal_Templ!B:C,2,FALSE)</f>
        <v>agtr1_human</v>
      </c>
      <c r="C20" s="5">
        <f>VLOOKUP($B20&amp;"__wt",'SegEnds_Xtal_BW#'!$A:$Z,3,FALSE)</f>
        <v>30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61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27</v>
      </c>
      <c r="AC20" s="1" t="e">
        <f>VLOOKUP(A20,'SegEnds_NonXtal_Prot#'!A:AL,10,FALSE)-VLOOKUP(A20,'SegEnds_NonXtal_Prot#'!A:AL,7,FALSE)</f>
        <v>#VALUE!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53</v>
      </c>
      <c r="AF20" s="1">
        <f>VLOOKUP(A20,'SegEnds_NonXtal_Prot#'!A:AL,22,FALSE)-VLOOKUP(A20,'SegEnds_NonXtal_Prot#'!A:AL,19,FALSE)</f>
        <v>20</v>
      </c>
      <c r="AG20" s="1" t="e">
        <f>VLOOKUP(A20,'SegEnds_NonXtal_Prot#'!A:AL,28,FALSE)-VLOOKUP(A20,'SegEnds_NonXtal_Prot#'!A:AL,25,FALSE)</f>
        <v>#VALUE!</v>
      </c>
      <c r="AH20" s="1">
        <f>VLOOKUP(A20,'SegEnds_NonXtal_Prot#'!A:AL,28,FALSE)-VLOOKUP(A20,'SegEnds_NonXtal_Prot#'!A:AL,22,FALSE)</f>
        <v>44</v>
      </c>
      <c r="AI20" s="1">
        <f>VLOOKUP(A20,'SegEnds_NonXtal_Prot#'!A:AL,31,FALSE)-VLOOKUP(A20,'SegEnds_NonXtal_Prot#'!A:AL,28,FALSE)</f>
        <v>42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300</v>
      </c>
      <c r="B21" s="1" t="str">
        <f>VLOOKUP(A21,Xtal_Templ!B:C,2,FALSE)</f>
        <v>oprd_human</v>
      </c>
      <c r="C21" s="5">
        <f>VLOOKUP($B21&amp;"__wt",'SegEnds_Xtal_BW#'!$A:$Z,3,FALSE)</f>
        <v>22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31</v>
      </c>
      <c r="T21" s="1">
        <f t="array" ref="T21">INDEX(ICL3_classA!$G$2:$G$37,MATCH(MIN(ABS(AI21-ICL3_classA!$F$2:$F$37)),ABS(AI21-ICL3_classA!$F$2:$F$37),0))</f>
        <v>73</v>
      </c>
      <c r="U21" s="1">
        <f t="array" ref="U21">INDEX(ICL3_classA!$H$2:$H$37,MATCH(MIN(ABS(AI21-ICL3_classA!$F$2:$F$37)),ABS(AI21-ICL3_classA!$F$2:$F$37),0))</f>
        <v>22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60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27</v>
      </c>
      <c r="AC21" s="1" t="e">
        <f>VLOOKUP(A21,'SegEnds_NonXtal_Prot#'!A:AL,10,FALSE)-VLOOKUP(A21,'SegEnds_NonXtal_Prot#'!A:AL,7,FALSE)</f>
        <v>#VALUE!</v>
      </c>
      <c r="AD21" s="1">
        <f>VLOOKUP(A21,'SegEnds_NonXtal_Prot#'!A:AL,13,FALSE)-VLOOKUP(A21,'SegEnds_NonXtal_Prot#'!A:AL,10,FALSE)</f>
        <v>20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25</v>
      </c>
      <c r="AH21" s="1">
        <f>VLOOKUP(A21,'SegEnds_NonXtal_Prot#'!A:AL,28,FALSE)-VLOOKUP(A21,'SegEnds_NonXtal_Prot#'!A:AL,22,FALSE)</f>
        <v>51</v>
      </c>
      <c r="AI21" s="1">
        <f>VLOOKUP(A21,'SegEnds_NonXtal_Prot#'!A:AL,31,FALSE)-VLOOKUP(A21,'SegEnds_NonXtal_Prot#'!A:AL,28,FALSE)</f>
        <v>57</v>
      </c>
      <c r="AJ21" s="1">
        <f>VLOOKUP(A21,'SegEnds_NonXtal_Prot#'!A:AL,34,FALSE)-VLOOKUP(A21,'SegEnds_NonXtal_Prot#'!A:AL,31,FALSE)</f>
        <v>37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301</v>
      </c>
      <c r="B22" s="1" t="str">
        <f>VLOOKUP(A22,Xtal_Templ!B:C,2,FALSE)</f>
        <v>c5ar1_human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 t="str">
        <f>VLOOKUP($B22&amp;"__wt",'SegEnds_Xtal_BW#'!$A:$Z,5,FALSE)</f>
        <v>-</v>
      </c>
      <c r="F22" s="1" t="str">
        <f>VLOOKUP($B22&amp;"__wt",'SegEnds_Xtal_BW#'!$A:$Z,6,FALSE)</f>
        <v>-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21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31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28</v>
      </c>
      <c r="V22" s="1">
        <v>61</v>
      </c>
      <c r="W22" s="1">
        <v>31</v>
      </c>
      <c r="X22" s="108">
        <v>56</v>
      </c>
      <c r="Y22" s="1">
        <f>VLOOKUP($B22&amp;"__wt",'SegEnds_Xtal_BW#'!$A:$Z,25,FALSE)</f>
        <v>47</v>
      </c>
      <c r="Z22" s="1">
        <f>VLOOKUP($B22&amp;"__wt",'SegEnds_Xtal_BW#'!$A:$Z,26,FALSE)</f>
        <v>56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42</v>
      </c>
      <c r="AI22" s="1">
        <f>VLOOKUP(A22,'SegEnds_NonXtal_Prot#'!A:AL,31,FALSE)-VLOOKUP(A22,'SegEnds_NonXtal_Prot#'!A:AL,28,FALSE)</f>
        <v>44</v>
      </c>
      <c r="AJ22" s="1">
        <f>VLOOKUP(A22,'SegEnds_NonXtal_Prot#'!A:AL,34,FALSE)-VLOOKUP(A22,'SegEnds_NonXtal_Prot#'!A:AL,31,FALSE)</f>
        <v>37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302</v>
      </c>
      <c r="B23" s="1" t="str">
        <f>VLOOKUP(A23,Xtal_Templ!B:C,2,FALSE)</f>
        <v>cxcr4_human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21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32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42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303</v>
      </c>
      <c r="B24" s="1" t="str">
        <f>VLOOKUP(A24,Xtal_Templ!B:C,2,FALSE)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304</v>
      </c>
      <c r="B25" s="1" t="str">
        <f>VLOOKUP(A25,Xtal_Templ!B:C,2,FALSE)</f>
        <v>agtr1_human</v>
      </c>
      <c r="C25" s="5">
        <f>VLOOKUP($B25&amp;"__wt",'SegEnds_Xtal_BW#'!$A:$Z,3,FALSE)</f>
        <v>30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63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26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34</v>
      </c>
      <c r="T25" s="1">
        <f t="array" ref="T25">INDEX(ICL3_classA!$G$2:$G$37,MATCH(MIN(ABS(AI25-ICL3_classA!$F$2:$F$37)),ABS(AI25-ICL3_classA!$F$2:$F$37),0))</f>
        <v>67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61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46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42</v>
      </c>
      <c r="AI25" s="1">
        <f>VLOOKUP(A25,'SegEnds_NonXtal_Prot#'!A:AL,31,FALSE)-VLOOKUP(A25,'SegEnds_NonXtal_Prot#'!A:AL,28,FALSE)</f>
        <v>41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305</v>
      </c>
      <c r="B26" s="1" t="str">
        <f>VLOOKUP(A26,Xtal_Templ!B:C,2,FALSE)</f>
        <v>agtr1_human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34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48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42</v>
      </c>
      <c r="AJ26" s="1">
        <f>VLOOKUP(A26,'SegEnds_NonXtal_Prot#'!A:AL,34,FALSE)-VLOOKUP(A26,'SegEnds_NonXtal_Prot#'!A:AL,31,FALSE)</f>
        <v>38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306</v>
      </c>
      <c r="B27" s="1" t="str">
        <f>VLOOKUP(A27,Xtal_Templ!B:C,2,FALSE)</f>
        <v>agtr1_human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f>VLOOKUP($B27&amp;"__wt",'SegEnds_Xtal_BW#'!$A:$Z,15,FALSE)</f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34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61</v>
      </c>
      <c r="W27" s="1">
        <v>28</v>
      </c>
      <c r="X27" s="108">
        <v>56</v>
      </c>
      <c r="Y27" s="1">
        <f>VLOOKUP($B27&amp;"__wt",'SegEnds_Xtal_BW#'!$A:$Z,25,FALSE)</f>
        <v>47</v>
      </c>
      <c r="Z27" s="1">
        <f>VLOOKUP($B27&amp;"__wt",'SegEnds_Xtal_BW#'!$A:$Z,26,FALSE)</f>
        <v>61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27</v>
      </c>
      <c r="AC27" s="1" t="e">
        <f>VLOOKUP(A27,'SegEnds_NonXtal_Prot#'!A:AL,10,FALSE)-VLOOKUP(A27,'SegEnds_NonXtal_Prot#'!A:AL,7,FALSE)</f>
        <v>#VALUE!</v>
      </c>
      <c r="AD27" s="1" t="e">
        <f>VLOOKUP(A27,'SegEnds_NonXtal_Prot#'!A:AL,13,FALSE)-VLOOKUP(A27,'SegEnds_NonXtal_Prot#'!A:AL,10,FALSE)</f>
        <v>#VALUE!</v>
      </c>
      <c r="AE27" s="1">
        <f>VLOOKUP(A27,'SegEnds_NonXtal_Prot#'!A:AL,16,FALSE)-VLOOKUP(A27,'SegEnds_NonXtal_Prot#'!A:AL,10,FALSE)</f>
        <v>52</v>
      </c>
      <c r="AF27" s="1">
        <f>VLOOKUP(A27,'SegEnds_NonXtal_Prot#'!A:AL,22,FALSE)-VLOOKUP(A27,'SegEnds_NonXtal_Prot#'!A:AL,19,FALSE)</f>
        <v>20</v>
      </c>
      <c r="AG27" s="1" t="e">
        <f>VLOOKUP(A27,'SegEnds_NonXtal_Prot#'!A:AL,28,FALSE)-VLOOKUP(A27,'SegEnds_NonXtal_Prot#'!A:AL,25,FALSE)</f>
        <v>#VALUE!</v>
      </c>
      <c r="AH27" s="1">
        <f>VLOOKUP(A27,'SegEnds_NonXtal_Prot#'!A:AL,28,FALSE)-VLOOKUP(A27,'SegEnds_NonXtal_Prot#'!A:AL,22,FALSE)</f>
        <v>42</v>
      </c>
      <c r="AI27" s="1">
        <f>VLOOKUP(A27,'SegEnds_NonXtal_Prot#'!A:AL,31,FALSE)-VLOOKUP(A27,'SegEnds_NonXtal_Prot#'!A:AL,28,FALSE)</f>
        <v>42</v>
      </c>
      <c r="AJ27" s="1">
        <f>VLOOKUP(A27,'SegEnds_NonXtal_Prot#'!A:AL,34,FALSE)-VLOOKUP(A27,'SegEnds_NonXtal_Prot#'!A:AL,31,FALSE)</f>
        <v>38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307</v>
      </c>
      <c r="B28" s="1" t="str">
        <f>VLOOKUP(A28,Xtal_Templ!B:C,2,FALSE)</f>
        <v>agtr1_human</v>
      </c>
      <c r="C28" s="5">
        <f>VLOOKUP($B28&amp;"__wt",'SegEnds_Xtal_BW#'!$A:$Z,3,FALSE)</f>
        <v>30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24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34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30</v>
      </c>
      <c r="V28" s="1">
        <v>61</v>
      </c>
      <c r="W28" s="1">
        <v>28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27</v>
      </c>
      <c r="AC28" s="1" t="e">
        <f>VLOOKUP(A28,'SegEnds_NonXtal_Prot#'!A:AL,10,FALSE)-VLOOKUP(A28,'SegEnds_NonXtal_Prot#'!A:AL,7,FALSE)</f>
        <v>#VALUE!</v>
      </c>
      <c r="AD28" s="1" t="e">
        <f>VLOOKUP(A28,'SegEnds_NonXtal_Prot#'!A:AL,13,FALSE)-VLOOKUP(A28,'SegEnds_NonXtal_Prot#'!A:AL,10,FALSE)</f>
        <v>#VALUE!</v>
      </c>
      <c r="AE28" s="1">
        <f>VLOOKUP(A28,'SegEnds_NonXtal_Prot#'!A:AL,16,FALSE)-VLOOKUP(A28,'SegEnds_NonXtal_Prot#'!A:AL,10,FALSE)</f>
        <v>48</v>
      </c>
      <c r="AF28" s="1">
        <f>VLOOKUP(A28,'SegEnds_NonXtal_Prot#'!A:AL,22,FALSE)-VLOOKUP(A28,'SegEnds_NonXtal_Prot#'!A:AL,19,FALSE)</f>
        <v>20</v>
      </c>
      <c r="AG28" s="1" t="e">
        <f>VLOOKUP(A28,'SegEnds_NonXtal_Prot#'!A:AL,28,FALSE)-VLOOKUP(A28,'SegEnds_NonXtal_Prot#'!A:AL,25,FALSE)</f>
        <v>#VALUE!</v>
      </c>
      <c r="AH28" s="1">
        <f>VLOOKUP(A28,'SegEnds_NonXtal_Prot#'!A:AL,28,FALSE)-VLOOKUP(A28,'SegEnds_NonXtal_Prot#'!A:AL,22,FALSE)</f>
        <v>42</v>
      </c>
      <c r="AI28" s="1">
        <f>VLOOKUP(A28,'SegEnds_NonXtal_Prot#'!A:AL,31,FALSE)-VLOOKUP(A28,'SegEnds_NonXtal_Prot#'!A:AL,28,FALSE)</f>
        <v>42</v>
      </c>
      <c r="AJ28" s="1">
        <f>VLOOKUP(A28,'SegEnds_NonXtal_Prot#'!A:AL,34,FALSE)-VLOOKUP(A28,'SegEnds_NonXtal_Prot#'!A:AL,31,FALSE)</f>
        <v>38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308</v>
      </c>
      <c r="B29" s="1" t="str">
        <f>VLOOKUP(A29,Xtal_Templ!B:C,2,FALSE)</f>
        <v>par2_human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 t="str">
        <f>VLOOKUP($B29&amp;"__wt",'SegEnds_Xtal_BW#'!$A:$Z,5,FALSE)</f>
        <v>-</v>
      </c>
      <c r="F29" s="1" t="str">
        <f>VLOOKUP($B29&amp;"__wt",'SegEnds_Xtal_BW#'!$A:$Z,6,FALSE)</f>
        <v>-</v>
      </c>
      <c r="G29" s="1">
        <v>37</v>
      </c>
      <c r="H29" s="12">
        <v>66</v>
      </c>
      <c r="I29" s="1">
        <f>VLOOKUP($B29&amp;"__wt",'SegEnds_Xtal_BW#'!$A:$Z,9,FALSE)</f>
        <v>47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62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31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61</v>
      </c>
      <c r="W29" s="1">
        <v>28</v>
      </c>
      <c r="X29" s="108">
        <v>56</v>
      </c>
      <c r="Y29" s="1">
        <f>VLOOKUP($B29&amp;"__wt",'SegEnds_Xtal_BW#'!$A:$Z,25,FALSE)</f>
        <v>47</v>
      </c>
      <c r="Z29" s="1">
        <f>VLOOKUP($B29&amp;"__wt",'SegEnds_Xtal_BW#'!$A:$Z,26,FALSE)</f>
        <v>61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27</v>
      </c>
      <c r="AC29" s="1" t="e">
        <f>VLOOKUP(A29,'SegEnds_NonXtal_Prot#'!A:AL,10,FALSE)-VLOOKUP(A29,'SegEnds_NonXtal_Prot#'!A:AL,7,FALSE)</f>
        <v>#VALUE!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48</v>
      </c>
      <c r="AF29" s="1">
        <f>VLOOKUP(A29,'SegEnds_NonXtal_Prot#'!A:AL,22,FALSE)-VLOOKUP(A29,'SegEnds_NonXtal_Prot#'!A:AL,19,FALSE)</f>
        <v>20</v>
      </c>
      <c r="AG29" s="1" t="e">
        <f>VLOOKUP(A29,'SegEnds_NonXtal_Prot#'!A:AL,28,FALSE)-VLOOKUP(A29,'SegEnds_NonXtal_Prot#'!A:AL,25,FALSE)</f>
        <v>#VALUE!</v>
      </c>
      <c r="AH29" s="1">
        <f>VLOOKUP(A29,'SegEnds_NonXtal_Prot#'!A:AL,28,FALSE)-VLOOKUP(A29,'SegEnds_NonXtal_Prot#'!A:AL,22,FALSE)</f>
        <v>42</v>
      </c>
      <c r="AI29" s="1">
        <f>VLOOKUP(A29,'SegEnds_NonXtal_Prot#'!A:AL,31,FALSE)-VLOOKUP(A29,'SegEnds_NonXtal_Prot#'!A:AL,28,FALSE)</f>
        <v>42</v>
      </c>
      <c r="AJ29" s="1">
        <f>VLOOKUP(A29,'SegEnds_NonXtal_Prot#'!A:AL,34,FALSE)-VLOOKUP(A29,'SegEnds_NonXtal_Prot#'!A:AL,31,FALSE)</f>
        <v>38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324</v>
      </c>
      <c r="B30" s="1" t="str">
        <f>VLOOKUP(A30,Xtal_Templ!B:C,2,FALSE)</f>
        <v>5ht2c_human</v>
      </c>
      <c r="C30" s="5">
        <f>VLOOKUP($B30&amp;"__wt",'SegEnds_Xtal_BW#'!$A:$Z,3,FALSE)</f>
        <v>33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53</v>
      </c>
      <c r="O30" s="87">
        <v>38</v>
      </c>
      <c r="P30" s="1">
        <f>VLOOKUP($B30&amp;"__wt",'SegEnds_Xtal_BW#'!$A:$Z,16,FALSE)</f>
        <v>67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28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60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27</v>
      </c>
      <c r="AC30" s="1" t="e">
        <f>VLOOKUP(A30,'SegEnds_NonXtal_Prot#'!A:AL,10,FALSE)-VLOOKUP(A30,'SegEnds_NonXtal_Prot#'!A:AL,7,FALSE)</f>
        <v>#VALUE!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18</v>
      </c>
      <c r="AG30" s="1">
        <f>VLOOKUP(A30,'SegEnds_NonXtal_Prot#'!A:AL,28,FALSE)-VLOOKUP(A30,'SegEnds_NonXtal_Prot#'!A:AL,25,FALSE)</f>
        <v>25</v>
      </c>
      <c r="AH30" s="1">
        <f>VLOOKUP(A30,'SegEnds_NonXtal_Prot#'!A:AL,28,FALSE)-VLOOKUP(A30,'SegEnds_NonXtal_Prot#'!A:AL,22,FALSE)</f>
        <v>51</v>
      </c>
      <c r="AI30" s="1">
        <f>VLOOKUP(A30,'SegEnds_NonXtal_Prot#'!A:AL,31,FALSE)-VLOOKUP(A30,'SegEnds_NonXtal_Prot#'!A:AL,28,FALSE)</f>
        <v>67</v>
      </c>
      <c r="AJ30" s="1">
        <f>VLOOKUP(A30,'SegEnds_NonXtal_Prot#'!A:AL,34,FALSE)-VLOOKUP(A30,'SegEnds_NonXtal_Prot#'!A:AL,31,FALSE)</f>
        <v>38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352</v>
      </c>
      <c r="B31" s="1" t="str">
        <f>VLOOKUP(A31,Xtal_Templ!B:C,2,FALSE)</f>
        <v>p2y12_human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 t="str">
        <f>VLOOKUP($B31&amp;"__wt",'SegEnds_Xtal_BW#'!$A:$Z,5,FALSE)</f>
        <v>-</v>
      </c>
      <c r="F31" s="1" t="str">
        <f>VLOOKUP($B31&amp;"__wt",'SegEnds_Xtal_BW#'!$A:$Z,6,FALSE)</f>
        <v>-</v>
      </c>
      <c r="G31" s="1">
        <v>37</v>
      </c>
      <c r="H31" s="12">
        <f>VLOOKUP($B31&amp;"__wt",'SegEnds_Xtal_BW#'!$A:$Z,8,FALSE)</f>
        <v>66</v>
      </c>
      <c r="I31" s="1" t="str">
        <f>VLOOKUP($B31&amp;"__wt",'SegEnds_Xtal_BW#'!$A:$Z,9,FALSE)</f>
        <v>-</v>
      </c>
      <c r="J31" s="1" t="str">
        <f>VLOOKUP($B31&amp;"__wt",'SegEnds_Xtal_BW#'!$A:$Z,10,FALSE)</f>
        <v>-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30</v>
      </c>
      <c r="T31" s="1">
        <f t="array" ref="T31">INDEX(ICL3_classA!$G$2:$G$37,MATCH(MIN(ABS(AI31-ICL3_classA!$F$2:$F$37)),ABS(AI31-ICL3_classA!$F$2:$F$37),0))</f>
        <v>72</v>
      </c>
      <c r="U31" s="1">
        <f t="array" ref="U31">INDEX(ICL3_classA!$H$2:$H$37,MATCH(MIN(ABS(AI31-ICL3_classA!$F$2:$F$37)),ABS(AI31-ICL3_classA!$F$2:$F$37),0))</f>
        <v>29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57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27</v>
      </c>
      <c r="AC31" s="1" t="e">
        <f>VLOOKUP(A31,'SegEnds_NonXtal_Prot#'!A:AL,10,FALSE)-VLOOKUP(A31,'SegEnds_NonXtal_Prot#'!A:AL,7,FALSE)</f>
        <v>#VALUE!</v>
      </c>
      <c r="AD31" s="1" t="e">
        <f>VLOOKUP(A31,'SegEnds_NonXtal_Prot#'!A:AL,13,FALSE)-VLOOKUP(A31,'SegEnds_NonXtal_Prot#'!A:AL,10,FALSE)</f>
        <v>#VALUE!</v>
      </c>
      <c r="AE31" s="1">
        <f>VLOOKUP(A31,'SegEnds_NonXtal_Prot#'!A:AL,16,FALSE)-VLOOKUP(A31,'SegEnds_NonXtal_Prot#'!A:AL,10,FALSE)</f>
        <v>52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26</v>
      </c>
      <c r="AH31" s="1">
        <f>VLOOKUP(A31,'SegEnds_NonXtal_Prot#'!A:AL,28,FALSE)-VLOOKUP(A31,'SegEnds_NonXtal_Prot#'!A:AL,22,FALSE)</f>
        <v>52</v>
      </c>
      <c r="AI31" s="1">
        <f>VLOOKUP(A31,'SegEnds_NonXtal_Prot#'!A:AL,31,FALSE)-VLOOKUP(A31,'SegEnds_NonXtal_Prot#'!A:AL,28,FALSE)</f>
        <v>50</v>
      </c>
      <c r="AJ31" s="1">
        <f>VLOOKUP(A31,'SegEnds_NonXtal_Prot#'!A:AL,34,FALSE)-VLOOKUP(A31,'SegEnds_NonXtal_Prot#'!A:AL,31,FALSE)</f>
        <v>44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Xtal</v>
      </c>
    </row>
    <row r="32" spans="1:38" x14ac:dyDescent="0.2">
      <c r="A32" s="1" t="s">
        <v>353</v>
      </c>
      <c r="B32" s="1" t="str">
        <f>VLOOKUP(A32,Xtal_Templ!B:C,2,FALSE)</f>
        <v>p2y12_human</v>
      </c>
      <c r="C32" s="5">
        <f>VLOOKUP($B32&amp;"__wt",'SegEnds_Xtal_BW#'!$A:$Z,3,FALSE)</f>
        <v>28</v>
      </c>
      <c r="D32" s="1">
        <f>VLOOKUP($B32&amp;"__wt",'SegEnds_Xtal_BW#'!$A:$Z,4,FALSE)</f>
        <v>60</v>
      </c>
      <c r="E32" s="1" t="str">
        <f>VLOOKUP($B32&amp;"__wt",'SegEnds_Xtal_BW#'!$A:$Z,5,FALSE)</f>
        <v>-</v>
      </c>
      <c r="F32" s="1" t="str">
        <f>VLOOKUP($B32&amp;"__wt",'SegEnds_Xtal_BW#'!$A:$Z,6,FALSE)</f>
        <v>-</v>
      </c>
      <c r="G32" s="1">
        <v>37</v>
      </c>
      <c r="H32" s="12">
        <f>VLOOKUP($B32&amp;"__wt",'SegEnds_Xtal_BW#'!$A:$Z,8,FALSE)</f>
        <v>66</v>
      </c>
      <c r="I32" s="1" t="str">
        <f>VLOOKUP($B32&amp;"__wt",'SegEnds_Xtal_BW#'!$A:$Z,9,FALSE)</f>
        <v>-</v>
      </c>
      <c r="J32" s="1" t="str">
        <f>VLOOKUP($B32&amp;"__wt",'SegEnds_Xtal_BW#'!$A:$Z,10,FALSE)</f>
        <v>-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f>VLOOKUP($B32&amp;"__wt",'SegEnds_Xtal_BW#'!$A:$Z,15,FALSE)</f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30</v>
      </c>
      <c r="T32" s="1">
        <f t="array" ref="T32">INDEX(ICL3_classA!$G$2:$G$37,MATCH(MIN(ABS(AI32-ICL3_classA!$F$2:$F$37)),ABS(AI32-ICL3_classA!$F$2:$F$37),0))</f>
        <v>72</v>
      </c>
      <c r="U32" s="1">
        <f t="array" ref="U32">INDEX(ICL3_classA!$H$2:$H$37,MATCH(MIN(ABS(AI32-ICL3_classA!$F$2:$F$37)),ABS(AI32-ICL3_classA!$F$2:$F$37),0))</f>
        <v>29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57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27</v>
      </c>
      <c r="AC32" s="1" t="e">
        <f>VLOOKUP(A32,'SegEnds_NonXtal_Prot#'!A:AL,10,FALSE)-VLOOKUP(A32,'SegEnds_NonXtal_Prot#'!A:AL,7,FALSE)</f>
        <v>#VALUE!</v>
      </c>
      <c r="AD32" s="1" t="e">
        <f>VLOOKUP(A32,'SegEnds_NonXtal_Prot#'!A:AL,13,FALSE)-VLOOKUP(A32,'SegEnds_NonXtal_Prot#'!A:AL,10,FALSE)</f>
        <v>#VALUE!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26</v>
      </c>
      <c r="AH32" s="1">
        <f>VLOOKUP(A32,'SegEnds_NonXtal_Prot#'!A:AL,28,FALSE)-VLOOKUP(A32,'SegEnds_NonXtal_Prot#'!A:AL,22,FALSE)</f>
        <v>52</v>
      </c>
      <c r="AI32" s="1">
        <f>VLOOKUP(A32,'SegEnds_NonXtal_Prot#'!A:AL,31,FALSE)-VLOOKUP(A32,'SegEnds_NonXtal_Prot#'!A:AL,28,FALSE)</f>
        <v>50</v>
      </c>
      <c r="AJ32" s="1">
        <f>VLOOKUP(A32,'SegEnds_NonXtal_Prot#'!A:AL,34,FALSE)-VLOOKUP(A32,'SegEnds_NonXtal_Prot#'!A:AL,31,FALSE)</f>
        <v>44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354</v>
      </c>
      <c r="B33" s="1" t="str">
        <f>VLOOKUP(A33,Xtal_Templ!B:C,2,FALSE)</f>
        <v>p2y12_human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 t="str">
        <f>VLOOKUP($B33&amp;"__wt",'SegEnds_Xtal_BW#'!$A:$Z,5,FALSE)</f>
        <v>-</v>
      </c>
      <c r="F33" s="1" t="str">
        <f>VLOOKUP($B33&amp;"__wt",'SegEnds_Xtal_BW#'!$A:$Z,6,FALSE)</f>
        <v>-</v>
      </c>
      <c r="G33" s="1">
        <v>37</v>
      </c>
      <c r="H33" s="12">
        <f>VLOOKUP($B33&amp;"__wt",'SegEnds_Xtal_BW#'!$A:$Z,8,FALSE)</f>
        <v>66</v>
      </c>
      <c r="I33" s="1" t="str">
        <f>VLOOKUP($B33&amp;"__wt",'SegEnds_Xtal_BW#'!$A:$Z,9,FALSE)</f>
        <v>-</v>
      </c>
      <c r="J33" s="1" t="str">
        <f>VLOOKUP($B33&amp;"__wt",'SegEnds_Xtal_BW#'!$A:$Z,10,FALSE)</f>
        <v>-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30</v>
      </c>
      <c r="T33" s="1">
        <f t="array" ref="T33">INDEX(ICL3_classA!$G$2:$G$37,MATCH(MIN(ABS(AI33-ICL3_classA!$F$2:$F$37)),ABS(AI33-ICL3_classA!$F$2:$F$37),0))</f>
        <v>72</v>
      </c>
      <c r="U33" s="1">
        <f t="array" ref="U33">INDEX(ICL3_classA!$H$2:$H$37,MATCH(MIN(ABS(AI33-ICL3_classA!$F$2:$F$37)),ABS(AI33-ICL3_classA!$F$2:$F$37),0))</f>
        <v>29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57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27</v>
      </c>
      <c r="AC33" s="1" t="e">
        <f>VLOOKUP(A33,'SegEnds_NonXtal_Prot#'!A:AL,10,FALSE)-VLOOKUP(A33,'SegEnds_NonXtal_Prot#'!A:AL,7,FALSE)</f>
        <v>#VALUE!</v>
      </c>
      <c r="AD33" s="1" t="e">
        <f>VLOOKUP(A33,'SegEnds_NonXtal_Prot#'!A:AL,13,FALSE)-VLOOKUP(A33,'SegEnds_NonXtal_Prot#'!A:AL,10,FALSE)</f>
        <v>#VALUE!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26</v>
      </c>
      <c r="AH33" s="1">
        <f>VLOOKUP(A33,'SegEnds_NonXtal_Prot#'!A:AL,28,FALSE)-VLOOKUP(A33,'SegEnds_NonXtal_Prot#'!A:AL,22,FALSE)</f>
        <v>52</v>
      </c>
      <c r="AI33" s="1">
        <f>VLOOKUP(A33,'SegEnds_NonXtal_Prot#'!A:AL,31,FALSE)-VLOOKUP(A33,'SegEnds_NonXtal_Prot#'!A:AL,28,FALSE)</f>
        <v>50</v>
      </c>
      <c r="AJ33" s="1">
        <f>VLOOKUP(A33,'SegEnds_NonXtal_Prot#'!A:AL,34,FALSE)-VLOOKUP(A33,'SegEnds_NonXtal_Prot#'!A:AL,31,FALSE)</f>
        <v>44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357</v>
      </c>
      <c r="B34" s="1" t="str">
        <f>VLOOKUP(A34,Xtal_Templ!B:C,2,FALSE)</f>
        <v>par2_human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 t="str">
        <f>VLOOKUP($B34&amp;"__wt",'SegEnds_Xtal_BW#'!$A:$Z,5,FALSE)</f>
        <v>-</v>
      </c>
      <c r="F34" s="1" t="str">
        <f>VLOOKUP($B34&amp;"__wt",'SegEnds_Xtal_BW#'!$A:$Z,6,FALSE)</f>
        <v>-</v>
      </c>
      <c r="G34" s="1">
        <v>37</v>
      </c>
      <c r="H34" s="12">
        <f>VLOOKUP($B34&amp;"__wt",'SegEnds_Xtal_BW#'!$A:$Z,8,FALSE)</f>
        <v>66</v>
      </c>
      <c r="I34" s="1">
        <f>VLOOKUP($B34&amp;"__wt",'SegEnds_Xtal_BW#'!$A:$Z,9,FALSE)</f>
        <v>47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f>VLOOKUP($B34&amp;"__wt",'SegEnds_Xtal_BW#'!$A:$Z,15,FALSE)</f>
        <v>38</v>
      </c>
      <c r="P34" s="1">
        <f>VLOOKUP($B34&amp;"__wt",'SegEnds_Xtal_BW#'!$A:$Z,16,FALSE)</f>
        <v>62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INDEX(ICL3_classA!$G$2:$G$37,MATCH(MIN(ABS(AI34-ICL3_classA!$F$2:$F$37)),ABS(AI34-ICL3_classA!$F$2:$F$37),0))</f>
        <v>68</v>
      </c>
      <c r="U34" s="1">
        <f t="array" ref="U34">INDEX(ICL3_classA!$H$2:$H$37,MATCH(MIN(ABS(AI34-ICL3_classA!$F$2:$F$37)),ABS(AI34-ICL3_classA!$F$2:$F$37),0))</f>
        <v>30</v>
      </c>
      <c r="V34" s="1">
        <v>62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61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27</v>
      </c>
      <c r="AC34" s="1" t="e">
        <f>VLOOKUP(A34,'SegEnds_NonXtal_Prot#'!A:AL,10,FALSE)-VLOOKUP(A34,'SegEnds_NonXtal_Prot#'!A:AL,7,FALSE)</f>
        <v>#VALUE!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42</v>
      </c>
      <c r="AJ34" s="1">
        <f>VLOOKUP(A34,'SegEnds_NonXtal_Prot#'!A:AL,34,FALSE)-VLOOKUP(A34,'SegEnds_NonXtal_Prot#'!A:AL,31,FALSE)</f>
        <v>39</v>
      </c>
      <c r="AK34" s="1" t="e">
        <f>VLOOKUP(A34,'SegEnds_NonXtal_Prot#'!A:AL,37,FALSE)-VLOOKUP(A34,'SegEnds_NonXtal_Prot#'!A:AL,34,FALSE)</f>
        <v>#VALUE!</v>
      </c>
      <c r="AL34" s="1" t="str">
        <f>IF(ISERROR(MATCH(A34,'SegEnds_Xtal_Prot#'!B:B, 0)), "NoXtal", "Xtal")</f>
        <v>NoXtal</v>
      </c>
    </row>
    <row r="35" spans="1:38" x14ac:dyDescent="0.2">
      <c r="A35" s="1" t="s">
        <v>358</v>
      </c>
      <c r="B35" s="1" t="str">
        <f>VLOOKUP(A35,Xtal_Templ!B:C,2,FALSE)</f>
        <v>par2_human</v>
      </c>
      <c r="C35" s="5">
        <f>VLOOKUP($B35&amp;"__wt",'SegEnds_Xtal_BW#'!$A:$Z,3,FALSE)</f>
        <v>28</v>
      </c>
      <c r="D35" s="1">
        <f>VLOOKUP($B35&amp;"__wt",'SegEnds_Xtal_BW#'!$A:$Z,4,FALSE)</f>
        <v>60</v>
      </c>
      <c r="E35" s="1" t="str">
        <f>VLOOKUP($B35&amp;"__wt",'SegEnds_Xtal_BW#'!$A:$Z,5,FALSE)</f>
        <v>-</v>
      </c>
      <c r="F35" s="1" t="str">
        <f>VLOOKUP($B35&amp;"__wt",'SegEnds_Xtal_BW#'!$A:$Z,6,FALSE)</f>
        <v>-</v>
      </c>
      <c r="G35" s="1">
        <v>37</v>
      </c>
      <c r="H35" s="12">
        <f>VLOOKUP($B35&amp;"__wt",'SegEnds_Xtal_BW#'!$A:$Z,8,FALSE)</f>
        <v>66</v>
      </c>
      <c r="I35" s="1">
        <f>VLOOKUP($B35&amp;"__wt",'SegEnds_Xtal_BW#'!$A:$Z,9,FALSE)</f>
        <v>47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f>VLOOKUP($B35&amp;"__wt",'SegEnds_Xtal_BW#'!$A:$Z,16,FALSE)</f>
        <v>62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f>VLOOKUP($B35&amp;"__wt",'SegEnds_Xtal_BW#'!$A:$Z,19,FALSE)</f>
        <v>31</v>
      </c>
      <c r="T35" s="1">
        <f t="array" ref="T35">INDEX(ICL3_classA!$G$2:$G$37,MATCH(MIN(ABS(AI35-ICL3_classA!$F$2:$F$37)),ABS(AI35-ICL3_classA!$F$2:$F$37),0))</f>
        <v>68</v>
      </c>
      <c r="U35" s="1">
        <f t="array" ref="U35">INDEX(ICL3_classA!$H$2:$H$37,MATCH(MIN(ABS(AI35-ICL3_classA!$F$2:$F$37)),ABS(AI35-ICL3_classA!$F$2:$F$37),0))</f>
        <v>30</v>
      </c>
      <c r="V35" s="1">
        <v>62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>
        <f>VLOOKUP(A35,'SegEnds_NonXtal_Prot#'!A:AL,13,FALSE)-VLOOKUP(A35,'SegEnds_NonXtal_Prot#'!A:AL,10,FALSE)</f>
        <v>20</v>
      </c>
      <c r="AE35" s="1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1">
        <f>VLOOKUP(A35,'SegEnds_NonXtal_Prot#'!A:AL,28,FALSE)-VLOOKUP(A35,'SegEnds_NonXtal_Prot#'!A:AL,25,FALSE)</f>
        <v>28</v>
      </c>
      <c r="AH35" s="1">
        <f>VLOOKUP(A35,'SegEnds_NonXtal_Prot#'!A:AL,28,FALSE)-VLOOKUP(A35,'SegEnds_NonXtal_Prot#'!A:AL,22,FALSE)</f>
        <v>55</v>
      </c>
      <c r="AI35" s="1">
        <f>VLOOKUP(A35,'SegEnds_NonXtal_Prot#'!A:AL,31,FALSE)-VLOOKUP(A35,'SegEnds_NonXtal_Prot#'!A:AL,28,FALSE)</f>
        <v>42</v>
      </c>
      <c r="AJ35" s="1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360</v>
      </c>
      <c r="B36" s="1" t="str">
        <f>VLOOKUP(A36,Xtal_Templ!B:C,2,FALSE)</f>
        <v>agtr2_human</v>
      </c>
      <c r="C36" s="5">
        <f>VLOOKUP($B36&amp;"__wt",'SegEnds_Xtal_BW#'!$A:$Z,3,FALSE)</f>
        <v>33</v>
      </c>
      <c r="D36" s="1">
        <f>VLOOKUP($B36&amp;"__wt",'SegEnds_Xtal_BW#'!$A:$Z,4,FALSE)</f>
        <v>60</v>
      </c>
      <c r="E36" s="1" t="str">
        <f>VLOOKUP($B36&amp;"__wt",'SegEnds_Xtal_BW#'!$A:$Z,5,FALSE)</f>
        <v>-</v>
      </c>
      <c r="F36" s="1" t="str">
        <f>VLOOKUP($B36&amp;"__wt",'SegEnds_Xtal_BW#'!$A:$Z,6,FALSE)</f>
        <v>-</v>
      </c>
      <c r="G36" s="1">
        <v>37</v>
      </c>
      <c r="H36" s="12">
        <f>VLOOKUP($B36&amp;"__wt",'SegEnds_Xtal_BW#'!$A:$Z,8,FALSE)</f>
        <v>66</v>
      </c>
      <c r="I36" s="1">
        <f>VLOOKUP($B36&amp;"__wt",'SegEnds_Xtal_BW#'!$A:$Z,9,FALSE)</f>
        <v>47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f>VLOOKUP($B36&amp;"__wt",'SegEnds_Xtal_BW#'!$A:$Z,15,FALSE)</f>
        <v>38</v>
      </c>
      <c r="P36" s="1">
        <f>VLOOKUP($B36&amp;"__wt",'SegEnds_Xtal_BW#'!$A:$Z,16,FALSE)</f>
        <v>64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30</v>
      </c>
      <c r="T36" s="1">
        <f t="array" ref="T36">INDEX(ICL3_classA!$G$2:$G$37,MATCH(MIN(ABS(AI36-ICL3_classA!$F$2:$F$37)),ABS(AI36-ICL3_classA!$F$2:$F$37),0))</f>
        <v>68</v>
      </c>
      <c r="U36" s="1">
        <f t="array" ref="U36">INDEX(ICL3_classA!$H$2:$H$37,MATCH(MIN(ABS(AI36-ICL3_classA!$F$2:$F$37)),ABS(AI36-ICL3_classA!$F$2:$F$37),0))</f>
        <v>30</v>
      </c>
      <c r="V36" s="1">
        <v>61</v>
      </c>
      <c r="W36" s="1">
        <v>28</v>
      </c>
      <c r="X36" s="108">
        <v>56</v>
      </c>
      <c r="Y36" s="1">
        <f>VLOOKUP($B36&amp;"__wt",'SegEnds_Xtal_BW#'!$A:$Z,25,FALSE)</f>
        <v>47</v>
      </c>
      <c r="Z36" s="1">
        <f>VLOOKUP($B36&amp;"__wt",'SegEnds_Xtal_BW#'!$A:$Z,26,FALSE)</f>
        <v>61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27</v>
      </c>
      <c r="AC36" s="1" t="e">
        <f>VLOOKUP(A36,'SegEnds_NonXtal_Prot#'!A:AL,10,FALSE)-VLOOKUP(A36,'SegEnds_NonXtal_Prot#'!A:AL,7,FALSE)</f>
        <v>#VALUE!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36</v>
      </c>
      <c r="AH36" s="1">
        <f>VLOOKUP(A36,'SegEnds_NonXtal_Prot#'!A:AL,28,FALSE)-VLOOKUP(A36,'SegEnds_NonXtal_Prot#'!A:AL,22,FALSE)</f>
        <v>62</v>
      </c>
      <c r="AI36" s="1">
        <f>VLOOKUP(A36,'SegEnds_NonXtal_Prot#'!A:AL,31,FALSE)-VLOOKUP(A36,'SegEnds_NonXtal_Prot#'!A:AL,28,FALSE)</f>
        <v>43</v>
      </c>
      <c r="AJ36" s="1">
        <f>VLOOKUP(A36,'SegEnds_NonXtal_Prot#'!A:AL,34,FALSE)-VLOOKUP(A36,'SegEnds_NonXtal_Prot#'!A:AL,31,FALSE)</f>
        <v>40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128</v>
      </c>
      <c r="B37" s="1" t="str">
        <f>VLOOKUP(A37,Xtal_Templ!B:C,2,FALSE)</f>
        <v>5ht1b_human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INDEX(ICL3_classA!$G$2:$G$37,MATCH(MIN(ABS(AI37-ICL3_classA!$F$2:$F$37)),ABS(AI37-ICL3_classA!$F$2:$F$37),0))</f>
        <v>76</v>
      </c>
      <c r="U37" s="1">
        <f t="array" ref="U37">INDEX(ICL3_classA!$H$2:$H$37,MATCH(MIN(ABS(AI37-ICL3_classA!$F$2:$F$37)),ABS(AI37-ICL3_classA!$F$2:$F$37),0))</f>
        <v>24</v>
      </c>
      <c r="V37" s="1">
        <v>60</v>
      </c>
      <c r="W37" s="1">
        <v>31</v>
      </c>
      <c r="X37" s="128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20</v>
      </c>
      <c r="AH37" s="1">
        <f>VLOOKUP(A37,'SegEnds_NonXtal_Prot#'!A:AL,28,FALSE)-VLOOKUP(A37,'SegEnds_NonXtal_Prot#'!A:AL,22,FALSE)</f>
        <v>46</v>
      </c>
      <c r="AI37" s="1">
        <f>VLOOKUP(A37,'SegEnds_NonXtal_Prot#'!A:AL,31,FALSE)-VLOOKUP(A37,'SegEnds_NonXtal_Prot#'!A:AL,28,FALSE)</f>
        <v>153</v>
      </c>
      <c r="AJ37" s="1">
        <f>VLOOKUP(A37,'SegEnds_NonXtal_Prot#'!A:AL,34,FALSE)-VLOOKUP(A37,'SegEnds_NonXtal_Prot#'!A:AL,31,FALSE)</f>
        <v>37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34</v>
      </c>
      <c r="B38" s="1" t="str">
        <f>VLOOKUP(A38,Xtal_Templ!B:C,2,FALSE)</f>
        <v>5ht1b_human</v>
      </c>
      <c r="C38" s="5">
        <f>VLOOKUP($B38&amp;"__wt",'SegEnds_Xtal_BW#'!$A:$Z,3,FALSE)</f>
        <v>28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f>VLOOKUP($B38&amp;"__wt",'SegEnds_Xtal_BW#'!$A:$Z,14,FALSE)</f>
        <v>57</v>
      </c>
      <c r="O38" s="87">
        <f>VLOOKUP($B38&amp;"__wt",'SegEnds_Xtal_BW#'!$A:$Z,15,FALSE)</f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60</v>
      </c>
      <c r="W38" s="1">
        <v>31</v>
      </c>
      <c r="X38" s="128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21</v>
      </c>
      <c r="AH38" s="1">
        <f>VLOOKUP(A38,'SegEnds_NonXtal_Prot#'!A:AL,28,FALSE)-VLOOKUP(A38,'SegEnds_NonXtal_Prot#'!A:AL,22,FALSE)</f>
        <v>46</v>
      </c>
      <c r="AI38" s="1">
        <f>VLOOKUP(A38,'SegEnds_NonXtal_Prot#'!A:AL,31,FALSE)-VLOOKUP(A38,'SegEnds_NonXtal_Prot#'!A:AL,28,FALSE)</f>
        <v>109</v>
      </c>
      <c r="AJ38" s="1">
        <f>VLOOKUP(A38,'SegEnds_NonXtal_Prot#'!A:AL,34,FALSE)-VLOOKUP(A38,'SegEnds_NonXtal_Prot#'!A:AL,31,FALSE)</f>
        <v>37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129</v>
      </c>
      <c r="B39" s="1" t="str">
        <f>VLOOKUP(A39,Xtal_Templ!B:C,2,FALSE)</f>
        <v>5ht1b_human</v>
      </c>
      <c r="C39" s="5">
        <f>VLOOKUP($B39&amp;"__wt",'SegEnds_Xtal_BW#'!$A:$Z,3,FALSE)</f>
        <v>28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68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INDEX(ICL3_classA!$G$2:$G$37,MATCH(MIN(ABS(AI39-ICL3_classA!$F$2:$F$37)),ABS(AI39-ICL3_classA!$F$2:$F$37),0))</f>
        <v>74</v>
      </c>
      <c r="U39" s="1">
        <f t="array" ref="U39">INDEX(ICL3_classA!$H$2:$H$37,MATCH(MIN(ABS(AI39-ICL3_classA!$F$2:$F$37)),ABS(AI39-ICL3_classA!$F$2:$F$37),0))</f>
        <v>24</v>
      </c>
      <c r="V39" s="1">
        <v>60</v>
      </c>
      <c r="W39" s="1">
        <v>31</v>
      </c>
      <c r="X39" s="128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21</v>
      </c>
      <c r="AH39" s="1">
        <f>VLOOKUP(A39,'SegEnds_NonXtal_Prot#'!A:AL,28,FALSE)-VLOOKUP(A39,'SegEnds_NonXtal_Prot#'!A:AL,22,FALSE)</f>
        <v>46</v>
      </c>
      <c r="AI39" s="1">
        <f>VLOOKUP(A39,'SegEnds_NonXtal_Prot#'!A:AL,31,FALSE)-VLOOKUP(A39,'SegEnds_NonXtal_Prot#'!A:AL,28,FALSE)</f>
        <v>107</v>
      </c>
      <c r="AJ39" s="1">
        <f>VLOOKUP(A39,'SegEnds_NonXtal_Prot#'!A:AL,34,FALSE)-VLOOKUP(A39,'SegEnds_NonXtal_Prot#'!A:AL,31,FALSE)</f>
        <v>37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130</v>
      </c>
      <c r="B40" s="1" t="str">
        <f>VLOOKUP(A40,Xtal_Templ!B:C,2,FALSE)</f>
        <v>5ht1b_human</v>
      </c>
      <c r="C40" s="5">
        <f>VLOOKUP($B40&amp;"__wt",'SegEnds_Xtal_BW#'!$A:$Z,3,FALSE)</f>
        <v>28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68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21</v>
      </c>
      <c r="AH40" s="1">
        <f>VLOOKUP(A40,'SegEnds_NonXtal_Prot#'!A:AL,28,FALSE)-VLOOKUP(A40,'SegEnds_NonXtal_Prot#'!A:AL,22,FALSE)</f>
        <v>47</v>
      </c>
      <c r="AI40" s="1">
        <f>VLOOKUP(A40,'SegEnds_NonXtal_Prot#'!A:AL,31,FALSE)-VLOOKUP(A40,'SegEnds_NonXtal_Prot#'!A:AL,28,FALSE)</f>
        <v>112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131</v>
      </c>
      <c r="B41" s="1" t="str">
        <f>VLOOKUP(A41,Xtal_Templ!B:C,2,FALSE)</f>
        <v>5ht1b_human</v>
      </c>
      <c r="C41" s="5">
        <f>VLOOKUP($B41&amp;"__wt",'SegEnds_Xtal_BW#'!$A:$Z,3,FALSE)</f>
        <v>28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7"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INDEX(ICL3_classA!$G$2:$G$37,MATCH(MIN(ABS(AI41-ICL3_classA!$F$2:$F$37)),ABS(AI41-ICL3_classA!$F$2:$F$37),0))</f>
        <v>76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21</v>
      </c>
      <c r="AH41" s="1">
        <f>VLOOKUP(A41,'SegEnds_NonXtal_Prot#'!A:AL,28,FALSE)-VLOOKUP(A41,'SegEnds_NonXtal_Prot#'!A:AL,22,FALSE)</f>
        <v>45</v>
      </c>
      <c r="AI41" s="1">
        <f>VLOOKUP(A41,'SegEnds_NonXtal_Prot#'!A:AL,31,FALSE)-VLOOKUP(A41,'SegEnds_NonXtal_Prot#'!A:AL,28,FALSE)</f>
        <v>115</v>
      </c>
      <c r="AJ41" s="1">
        <f>VLOOKUP(A41,'SegEnds_NonXtal_Prot#'!A:AL,34,FALSE)-VLOOKUP(A41,'SegEnds_NonXtal_Prot#'!A:AL,31,FALSE)</f>
        <v>36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132</v>
      </c>
      <c r="B42" s="1" t="str">
        <f>VLOOKUP(A42,Xtal_Templ!B:C,2,FALSE)</f>
        <v>5ht2c_human</v>
      </c>
      <c r="C42" s="5">
        <f>VLOOKUP($B42&amp;"__wt",'SegEnds_Xtal_BW#'!$A:$Z,3,FALSE)</f>
        <v>33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f>VLOOKUP($B42&amp;"__wt",'SegEnds_Xtal_BW#'!$A:$Z,16,FALSE)</f>
        <v>67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76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08">
        <v>27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60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21</v>
      </c>
      <c r="AE42" s="1">
        <f>VLOOKUP(A42,'SegEnds_NonXtal_Prot#'!A:AL,16,FALSE)-VLOOKUP(A42,'SegEnds_NonXtal_Prot#'!A:AL,10,FALSE)</f>
        <v>53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19</v>
      </c>
      <c r="AH42" s="1">
        <f>VLOOKUP(A42,'SegEnds_NonXtal_Prot#'!A:AL,28,FALSE)-VLOOKUP(A42,'SegEnds_NonXtal_Prot#'!A:AL,22,FALSE)</f>
        <v>46</v>
      </c>
      <c r="AI42" s="1">
        <f>VLOOKUP(A42,'SegEnds_NonXtal_Prot#'!A:AL,31,FALSE)-VLOOKUP(A42,'SegEnds_NonXtal_Prot#'!A:AL,28,FALSE)</f>
        <v>92</v>
      </c>
      <c r="AJ42" s="1">
        <f>VLOOKUP(A42,'SegEnds_NonXtal_Prot#'!A:AL,34,FALSE)-VLOOKUP(A42,'SegEnds_NonXtal_Prot#'!A:AL,31,FALSE)</f>
        <v>39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35</v>
      </c>
      <c r="B43" s="1" t="str">
        <f>VLOOKUP(A43,Xtal_Templ!B:C,2,FALSE)</f>
        <v>5ht2b_human</v>
      </c>
      <c r="C43" s="5">
        <f>VLOOKUP($B43&amp;"__wt",'SegEnds_Xtal_BW#'!$A:$Z,3,FALSE)</f>
        <v>32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7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08">
        <v>27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21</v>
      </c>
      <c r="AE43" s="1">
        <f>VLOOKUP(A43,'SegEnds_NonXtal_Prot#'!A:AL,16,FALSE)-VLOOKUP(A43,'SegEnds_NonXtal_Prot#'!A:AL,10,FALSE)</f>
        <v>53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22</v>
      </c>
      <c r="AH43" s="1">
        <f>VLOOKUP(A43,'SegEnds_NonXtal_Prot#'!A:AL,28,FALSE)-VLOOKUP(A43,'SegEnds_NonXtal_Prot#'!A:AL,22,FALSE)</f>
        <v>49</v>
      </c>
      <c r="AI43" s="1">
        <f>VLOOKUP(A43,'SegEnds_NonXtal_Prot#'!A:AL,31,FALSE)-VLOOKUP(A43,'SegEnds_NonXtal_Prot#'!A:AL,28,FALSE)</f>
        <v>110</v>
      </c>
      <c r="AJ43" s="1">
        <f>VLOOKUP(A43,'SegEnds_NonXtal_Prot#'!A:AL,34,FALSE)-VLOOKUP(A43,'SegEnds_NonXtal_Prot#'!A:AL,31,FALSE)</f>
        <v>38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Xtal</v>
      </c>
    </row>
    <row r="44" spans="1:38" x14ac:dyDescent="0.2">
      <c r="A44" s="1" t="s">
        <v>133</v>
      </c>
      <c r="B44" s="1" t="str">
        <f>VLOOKUP(A44,Xtal_Templ!B:C,2,FALSE)</f>
        <v>5ht2c_human</v>
      </c>
      <c r="C44" s="5">
        <f>VLOOKUP($B44&amp;"__wt",'SegEnds_Xtal_BW#'!$A:$Z,3,FALSE)</f>
        <v>33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67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74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08">
        <v>27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60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21</v>
      </c>
      <c r="AE44" s="1">
        <f>VLOOKUP(A44,'SegEnds_NonXtal_Prot#'!A:AL,16,FALSE)-VLOOKUP(A44,'SegEnds_NonXtal_Prot#'!A:AL,10,FALSE)</f>
        <v>53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19</v>
      </c>
      <c r="AH44" s="1">
        <f>VLOOKUP(A44,'SegEnds_NonXtal_Prot#'!A:AL,28,FALSE)-VLOOKUP(A44,'SegEnds_NonXtal_Prot#'!A:AL,22,FALSE)</f>
        <v>47</v>
      </c>
      <c r="AI44" s="1">
        <f>VLOOKUP(A44,'SegEnds_NonXtal_Prot#'!A:AL,31,FALSE)-VLOOKUP(A44,'SegEnds_NonXtal_Prot#'!A:AL,28,FALSE)</f>
        <v>100</v>
      </c>
      <c r="AJ44" s="1">
        <f>VLOOKUP(A44,'SegEnds_NonXtal_Prot#'!A:AL,34,FALSE)-VLOOKUP(A44,'SegEnds_NonXtal_Prot#'!A:AL,31,FALSE)</f>
        <v>39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135</v>
      </c>
      <c r="B45" s="1" t="str">
        <f>VLOOKUP(A45,Xtal_Templ!B:C,2,FALSE)</f>
        <v>5ht1b_human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f>VLOOKUP($B45&amp;"__wt",'SegEnds_Xtal_BW#'!$A:$Z,14,FALSE)</f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35</v>
      </c>
      <c r="T45" s="1">
        <f t="array" ref="T45">INDEX(ICL3_classA!$G$2:$G$37,MATCH(MIN(ABS(AI45-ICL3_classA!$F$2:$F$37)),ABS(AI45-ICL3_classA!$F$2:$F$37),0))</f>
        <v>76</v>
      </c>
      <c r="U45" s="1">
        <f t="array" ref="U45">INDEX(ICL3_classA!$H$2:$H$37,MATCH(MIN(ABS(AI45-ICL3_classA!$F$2:$F$37)),ABS(AI45-ICL3_classA!$F$2:$F$37),0))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21</v>
      </c>
      <c r="AE45" s="1">
        <f>VLOOKUP(A45,'SegEnds_NonXtal_Prot#'!A:AL,16,FALSE)-VLOOKUP(A45,'SegEnds_NonXtal_Prot#'!A:AL,10,FALSE)</f>
        <v>53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20</v>
      </c>
      <c r="AH45" s="1">
        <f>VLOOKUP(A45,'SegEnds_NonXtal_Prot#'!A:AL,28,FALSE)-VLOOKUP(A45,'SegEnds_NonXtal_Prot#'!A:AL,22,FALSE)</f>
        <v>46</v>
      </c>
      <c r="AI45" s="1">
        <f>VLOOKUP(A45,'SegEnds_NonXtal_Prot#'!A:AL,31,FALSE)-VLOOKUP(A45,'SegEnds_NonXtal_Prot#'!A:AL,28,FALSE)</f>
        <v>88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136</v>
      </c>
      <c r="B46" s="1" t="str">
        <f>VLOOKUP(A46,Xtal_Templ!B:C,2,FALSE)</f>
        <v>5ht2c_human</v>
      </c>
      <c r="C46" s="5">
        <f>VLOOKUP($B46&amp;"__wt",'SegEnds_Xtal_BW#'!$A:$Z,3,FALSE)</f>
        <v>33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67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32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60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49</v>
      </c>
      <c r="AI46" s="1">
        <f>VLOOKUP(A46,'SegEnds_NonXtal_Prot#'!A:AL,31,FALSE)-VLOOKUP(A46,'SegEnds_NonXtal_Prot#'!A:AL,28,FALSE)</f>
        <v>83</v>
      </c>
      <c r="AJ46" s="1">
        <f>VLOOKUP(A46,'SegEnds_NonXtal_Prot#'!A:AL,34,FALSE)-VLOOKUP(A46,'SegEnds_NonXtal_Prot#'!A:AL,31,FALSE)</f>
        <v>34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137</v>
      </c>
      <c r="B47" s="1" t="str">
        <f>VLOOKUP(A47,Xtal_Templ!B:C,2,FALSE)</f>
        <v>5ht1b_human</v>
      </c>
      <c r="C47" s="5">
        <f>VLOOKUP($B47&amp;"__wt",'SegEnds_Xtal_BW#'!$A:$Z,3,FALSE)</f>
        <v>28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61</v>
      </c>
      <c r="W47" s="108">
        <v>27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21</v>
      </c>
      <c r="AE47" s="1">
        <f>VLOOKUP(A47,'SegEnds_NonXtal_Prot#'!A:AL,16,FALSE)-VLOOKUP(A47,'SegEnds_NonXtal_Prot#'!A:AL,10,FALSE)</f>
        <v>53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44</v>
      </c>
      <c r="AI47" s="1">
        <f>VLOOKUP(A47,'SegEnds_NonXtal_Prot#'!A:AL,31,FALSE)-VLOOKUP(A47,'SegEnds_NonXtal_Prot#'!A:AL,28,FALSE)</f>
        <v>91</v>
      </c>
      <c r="AJ47" s="1">
        <f>VLOOKUP(A47,'SegEnds_NonXtal_Prot#'!A:AL,34,FALSE)-VLOOKUP(A47,'SegEnds_NonXtal_Prot#'!A:AL,31,FALSE)</f>
        <v>39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138</v>
      </c>
      <c r="B48" s="1" t="str">
        <f>VLOOKUP(A48,Xtal_Templ!B:C,2,FALSE)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18</v>
      </c>
      <c r="AE48" s="1">
        <f>VLOOKUP(A48,'SegEnds_NonXtal_Prot#'!A:AL,16,FALSE)-VLOOKUP(A48,'SegEnds_NonXtal_Prot#'!A:AL,10,FALSE)</f>
        <v>50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23</v>
      </c>
      <c r="AH48" s="1">
        <f>VLOOKUP(A48,'SegEnds_NonXtal_Prot#'!A:AL,28,FALSE)-VLOOKUP(A48,'SegEnds_NonXtal_Prot#'!A:AL,22,FALSE)</f>
        <v>60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36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Xtal</v>
      </c>
    </row>
    <row r="49" spans="1:38" x14ac:dyDescent="0.2">
      <c r="A49" s="1" t="s">
        <v>139</v>
      </c>
      <c r="B49" s="1" t="str">
        <f>VLOOKUP(A49,Xtal_Templ!B:C,2,FALSE)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INDEX(ICL3_classA!$G$2:$G$37,MATCH(MIN(ABS(AI49-ICL3_classA!$F$2:$F$37)),ABS(AI49-ICL3_classA!$F$2:$F$37),0))</f>
        <v>74</v>
      </c>
      <c r="U49" s="1">
        <f t="array" ref="U49">INDEX(ICL3_classA!$H$2:$H$37,MATCH(MIN(ABS(AI49-ICL3_classA!$F$2:$F$37)),ABS(AI49-ICL3_classA!$F$2:$F$37),0))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18</v>
      </c>
      <c r="AE49" s="1">
        <f>VLOOKUP(A49,'SegEnds_NonXtal_Prot#'!A:AL,16,FALSE)-VLOOKUP(A49,'SegEnds_NonXtal_Prot#'!A:AL,10,FALSE)</f>
        <v>50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23</v>
      </c>
      <c r="AH49" s="1">
        <f>VLOOKUP(A49,'SegEnds_NonXtal_Prot#'!A:AL,28,FALSE)-VLOOKUP(A49,'SegEnds_NonXtal_Prot#'!A:AL,22,FALSE)</f>
        <v>60</v>
      </c>
      <c r="AI49" s="1">
        <f>VLOOKUP(A49,'SegEnds_NonXtal_Prot#'!A:AL,31,FALSE)-VLOOKUP(A49,'SegEnds_NonXtal_Prot#'!A:AL,28,FALSE)</f>
        <v>59</v>
      </c>
      <c r="AJ49" s="1">
        <f>VLOOKUP(A49,'SegEnds_NonXtal_Prot#'!A:AL,34,FALSE)-VLOOKUP(A49,'SegEnds_NonXtal_Prot#'!A:AL,31,FALSE)</f>
        <v>37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140</v>
      </c>
      <c r="B50" s="1" t="str">
        <f>VLOOKUP(A50,Xtal_Templ!B:C,2,FALSE)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7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INDEX(ICL3_classA!$G$2:$G$37,MATCH(MIN(ABS(AI50-ICL3_classA!$F$2:$F$37)),ABS(AI50-ICL3_classA!$F$2:$F$37),0))</f>
        <v>73</v>
      </c>
      <c r="U50" s="1">
        <f t="array" ref="U50">INDEX(ICL3_classA!$H$2:$H$37,MATCH(MIN(ABS(AI50-ICL3_classA!$F$2:$F$37)),ABS(AI50-ICL3_classA!$F$2:$F$37),0))</f>
        <v>22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18</v>
      </c>
      <c r="AE50" s="1">
        <f>VLOOKUP(A50,'SegEnds_NonXtal_Prot#'!A:AL,16,FALSE)-VLOOKUP(A50,'SegEnds_NonXtal_Prot#'!A:AL,10,FALSE)</f>
        <v>50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23</v>
      </c>
      <c r="AH50" s="1">
        <f>VLOOKUP(A50,'SegEnds_NonXtal_Prot#'!A:AL,28,FALSE)-VLOOKUP(A50,'SegEnds_NonXtal_Prot#'!A:AL,22,FALSE)</f>
        <v>64</v>
      </c>
      <c r="AI50" s="1">
        <f>VLOOKUP(A50,'SegEnds_NonXtal_Prot#'!A:AL,31,FALSE)-VLOOKUP(A50,'SegEnds_NonXtal_Prot#'!A:AL,28,FALSE)</f>
        <v>55</v>
      </c>
      <c r="AJ50" s="1">
        <f>VLOOKUP(A50,'SegEnds_NonXtal_Prot#'!A:AL,34,FALSE)-VLOOKUP(A50,'SegEnds_NonXtal_Prot#'!A:AL,31,FALSE)</f>
        <v>38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141</v>
      </c>
      <c r="B51" s="1" t="str">
        <f>VLOOKUP(A51,Xtal_Templ!B:C,2,FALSE)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08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INDEX(ICL3_classA!$G$2:$G$37,MATCH(MIN(ABS(AI51-ICL3_classA!$F$2:$F$37)),ABS(AI51-ICL3_classA!$F$2:$F$37),0))</f>
        <v>73</v>
      </c>
      <c r="U51" s="1">
        <f t="array" ref="U51">INDEX(ICL3_classA!$H$2:$H$37,MATCH(MIN(ABS(AI51-ICL3_classA!$F$2:$F$37)),ABS(AI51-ICL3_classA!$F$2:$F$37),0))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18</v>
      </c>
      <c r="AE51" s="1">
        <f>VLOOKUP(A51,'SegEnds_NonXtal_Prot#'!A:AL,16,FALSE)-VLOOKUP(A51,'SegEnds_NonXtal_Prot#'!A:AL,10,FALSE)</f>
        <v>50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23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56</v>
      </c>
      <c r="AJ51" s="1">
        <f>VLOOKUP(A51,'SegEnds_NonXtal_Prot#'!A:AL,34,FALSE)-VLOOKUP(A51,'SegEnds_NonXtal_Prot#'!A:AL,31,FALSE)</f>
        <v>34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143</v>
      </c>
      <c r="B52" s="1" t="str">
        <f>VLOOKUP(A52,Xtal_Templ!B:C,2,FALSE)</f>
        <v>ccr2_human</v>
      </c>
      <c r="C52" s="5">
        <f>VLOOKUP($B52&amp;"__wt",'SegEnds_Xtal_BW#'!$A:$Z,3,FALSE)</f>
        <v>27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08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31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18</v>
      </c>
      <c r="AE52" s="1">
        <f>VLOOKUP(A52,'SegEnds_NonXtal_Prot#'!A:AL,16,FALSE)-VLOOKUP(A52,'SegEnds_NonXtal_Prot#'!A:AL,10,FALSE)</f>
        <v>50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27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44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144</v>
      </c>
      <c r="B53" s="1" t="str">
        <f>VLOOKUP(A53,Xtal_Templ!B:C,2,FALSE)</f>
        <v>agtr1_human</v>
      </c>
      <c r="C53" s="5">
        <f>VLOOKUP($B53&amp;"__wt",'SegEnds_Xtal_BW#'!$A:$Z,3,FALSE)</f>
        <v>30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34</v>
      </c>
      <c r="T53" s="1">
        <f t="array" ref="T53">INDEX(ICL3_classA!$G$2:$G$37,MATCH(MIN(ABS(AI53-ICL3_classA!$F$2:$F$37)),ABS(AI53-ICL3_classA!$F$2:$F$37),0))</f>
        <v>68</v>
      </c>
      <c r="U53" s="1">
        <f t="array" ref="U53">INDEX(ICL3_classA!$H$2:$H$37,MATCH(MIN(ABS(AI53-ICL3_classA!$F$2:$F$37)),ABS(AI53-ICL3_classA!$F$2:$F$37),0))</f>
        <v>30</v>
      </c>
      <c r="V53" s="1">
        <v>64</v>
      </c>
      <c r="W53" s="1">
        <v>24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61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 t="e">
        <f>VLOOKUP(A53,'SegEnds_NonXtal_Prot#'!A:AL,22,FALSE)-VLOOKUP(A53,'SegEnds_NonXtal_Prot#'!A:AL,19,FALSE)</f>
        <v>#VALUE!</v>
      </c>
      <c r="AG53" s="1">
        <f>VLOOKUP(A53,'SegEnds_NonXtal_Prot#'!A:AL,28,FALSE)-VLOOKUP(A53,'SegEnds_NonXtal_Prot#'!A:AL,25,FALSE)</f>
        <v>28</v>
      </c>
      <c r="AH53" s="1">
        <f>VLOOKUP(A53,'SegEnds_NonXtal_Prot#'!A:AL,28,FALSE)-VLOOKUP(A53,'SegEnds_NonXtal_Prot#'!A:AL,22,FALSE)</f>
        <v>55</v>
      </c>
      <c r="AI53" s="1">
        <f>VLOOKUP(A53,'SegEnds_NonXtal_Prot#'!A:AL,31,FALSE)-VLOOKUP(A53,'SegEnds_NonXtal_Prot#'!A:AL,28,FALSE)</f>
        <v>43</v>
      </c>
      <c r="AJ53" s="1">
        <f>VLOOKUP(A53,'SegEnds_NonXtal_Prot#'!A:AL,34,FALSE)-VLOOKUP(A53,'SegEnds_NonXtal_Prot#'!A:AL,31,FALSE)</f>
        <v>45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145</v>
      </c>
      <c r="B54" s="1" t="str">
        <f>VLOOKUP(A54,Xtal_Templ!B:C,2,FALSE)</f>
        <v>ccr9_human</v>
      </c>
      <c r="C54" s="5">
        <f>VLOOKUP($B54&amp;"__wt",'SegEnds_Xtal_BW#'!$A:$Z,3,FALSE)</f>
        <v>27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66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08"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33</v>
      </c>
      <c r="T54" s="1">
        <f t="array" ref="T54">INDEX(ICL3_classA!$G$2:$G$37,MATCH(MIN(ABS(AI54-ICL3_classA!$F$2:$F$37)),ABS(AI54-ICL3_classA!$F$2:$F$37),0))</f>
        <v>68</v>
      </c>
      <c r="U54" s="1">
        <f t="array" ref="U54">INDEX(ICL3_classA!$H$2:$H$37,MATCH(MIN(ABS(AI54-ICL3_classA!$F$2:$F$37)),ABS(AI54-ICL3_classA!$F$2:$F$37),0))</f>
        <v>30</v>
      </c>
      <c r="V54" s="1">
        <v>64</v>
      </c>
      <c r="W54" s="1">
        <v>24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67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50</v>
      </c>
      <c r="AF54" s="1" t="e">
        <f>VLOOKUP(A54,'SegEnds_NonXtal_Prot#'!A:AL,22,FALSE)-VLOOKUP(A54,'SegEnds_NonXtal_Prot#'!A:AL,19,FALSE)</f>
        <v>#VALUE!</v>
      </c>
      <c r="AG54" s="1">
        <f>VLOOKUP(A54,'SegEnds_NonXtal_Prot#'!A:AL,28,FALSE)-VLOOKUP(A54,'SegEnds_NonXtal_Prot#'!A:AL,25,FALSE)</f>
        <v>28</v>
      </c>
      <c r="AH54" s="1">
        <f>VLOOKUP(A54,'SegEnds_NonXtal_Prot#'!A:AL,28,FALSE)-VLOOKUP(A54,'SegEnds_NonXtal_Prot#'!A:AL,22,FALSE)</f>
        <v>50</v>
      </c>
      <c r="AI54" s="1">
        <f>VLOOKUP(A54,'SegEnds_NonXtal_Prot#'!A:AL,31,FALSE)-VLOOKUP(A54,'SegEnds_NonXtal_Prot#'!A:AL,28,FALSE)</f>
        <v>43</v>
      </c>
      <c r="AJ54" s="1">
        <f>VLOOKUP(A54,'SegEnds_NonXtal_Prot#'!A:AL,34,FALSE)-VLOOKUP(A54,'SegEnds_NonXtal_Prot#'!A:AL,31,FALSE)</f>
        <v>45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146</v>
      </c>
      <c r="B55" s="1" t="str">
        <f>VLOOKUP(A55,Xtal_Templ!B:C,2,FALSE)</f>
        <v>acm1_human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57</v>
      </c>
      <c r="O55" s="87">
        <f>VLOOKUP($B55&amp;"__wt",'SegEnds_Xtal_BW#'!$A:$Z,15,FALSE)</f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22</v>
      </c>
      <c r="AH55" s="1">
        <f>VLOOKUP(A55,'SegEnds_NonXtal_Prot#'!A:AL,28,FALSE)-VLOOKUP(A55,'SegEnds_NonXtal_Prot#'!A:AL,22,FALSE)</f>
        <v>50</v>
      </c>
      <c r="AI55" s="1">
        <f>VLOOKUP(A55,'SegEnds_NonXtal_Prot#'!A:AL,31,FALSE)-VLOOKUP(A55,'SegEnds_NonXtal_Prot#'!A:AL,28,FALSE)</f>
        <v>180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Xtal</v>
      </c>
    </row>
    <row r="56" spans="1:38" x14ac:dyDescent="0.2">
      <c r="A56" s="1" t="s">
        <v>147</v>
      </c>
      <c r="B56" s="1" t="str">
        <f>VLOOKUP(A56,Xtal_Templ!B:C,2,FALSE)</f>
        <v>acm2_human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1">
        <f>VLOOKUP($B56&amp;"__wt",'SegEnds_Xtal_BW#'!$A:$Z,16,FALSE)</f>
        <v>69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35</v>
      </c>
      <c r="T56" s="1">
        <f t="array" ref="T56">INDEX(ICL3_classA!$G$2:$G$37,MATCH(MIN(ABS(AI56-ICL3_classA!$F$2:$F$37)),ABS(AI56-ICL3_classA!$F$2:$F$37),0))</f>
        <v>75</v>
      </c>
      <c r="U56" s="1">
        <f t="array" ref="U56">INDEX(ICL3_classA!$H$2:$H$37,MATCH(MIN(ABS(AI56-ICL3_classA!$F$2:$F$37)),ABS(AI56-ICL3_classA!$F$2:$F$37),0))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22</v>
      </c>
      <c r="AH56" s="1">
        <f>VLOOKUP(A56,'SegEnds_NonXtal_Prot#'!A:AL,28,FALSE)-VLOOKUP(A56,'SegEnds_NonXtal_Prot#'!A:AL,22,FALSE)</f>
        <v>50</v>
      </c>
      <c r="AI56" s="1">
        <f>VLOOKUP(A56,'SegEnds_NonXtal_Prot#'!A:AL,31,FALSE)-VLOOKUP(A56,'SegEnds_NonXtal_Prot#'!A:AL,28,FALSE)</f>
        <v>204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" t="s">
        <v>148</v>
      </c>
      <c r="B57" s="1" t="str">
        <f>VLOOKUP(A57,Xtal_Templ!B:C,2,FALSE)</f>
        <v>acm3_rat</v>
      </c>
      <c r="C57" s="5">
        <f>VLOOKUP($B57&amp;"__wt",'SegEnds_Xtal_BW#'!$A:$Z,3,FALSE)</f>
        <v>29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35</v>
      </c>
      <c r="T57" s="1">
        <f t="array" ref="T57">INDEX(ICL3_classA!$G$2:$G$37,MATCH(MIN(ABS(AI57-ICL3_classA!$F$2:$F$37)),ABS(AI57-ICL3_classA!$F$2:$F$37),0))</f>
        <v>75</v>
      </c>
      <c r="U57" s="1">
        <f t="array" ref="U57">INDEX(ICL3_classA!$H$2:$H$37,MATCH(MIN(ABS(AI57-ICL3_classA!$F$2:$F$37)),ABS(AI57-ICL3_classA!$F$2:$F$37),0))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22</v>
      </c>
      <c r="AH57" s="1">
        <f>VLOOKUP(A57,'SegEnds_NonXtal_Prot#'!A:AL,28,FALSE)-VLOOKUP(A57,'SegEnds_NonXtal_Prot#'!A:AL,22,FALSE)</f>
        <v>50</v>
      </c>
      <c r="AI57" s="1">
        <f>VLOOKUP(A57,'SegEnds_NonXtal_Prot#'!A:AL,31,FALSE)-VLOOKUP(A57,'SegEnds_NonXtal_Prot#'!A:AL,28,FALSE)</f>
        <v>263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4" t="s">
        <v>910</v>
      </c>
      <c r="B58" s="4" t="str">
        <f>VLOOKUP(A58,Xtal_Templ!B:C,2,FALSE)</f>
        <v>acm3_rat</v>
      </c>
      <c r="C58" s="5">
        <f>VLOOKUP($B58&amp;"__wt",'SegEnds_Xtal_BW#'!$A:$Z,3,FALSE)</f>
        <v>29</v>
      </c>
      <c r="D58" s="4">
        <f>VLOOKUP($B58&amp;"__wt",'SegEnds_Xtal_BW#'!$A:$Z,4,FALSE)</f>
        <v>60</v>
      </c>
      <c r="E58" s="4">
        <f>VLOOKUP($B58&amp;"__wt",'SegEnds_Xtal_BW#'!$A:$Z,5,FALSE)</f>
        <v>48</v>
      </c>
      <c r="F58" s="4">
        <f>VLOOKUP($B58&amp;"__wt",'SegEnds_Xtal_BW#'!$A:$Z,6,FALSE)</f>
        <v>51</v>
      </c>
      <c r="G58" s="4">
        <v>37</v>
      </c>
      <c r="H58" s="11">
        <f>VLOOKUP($B58&amp;"__wt",'SegEnds_Xtal_BW#'!$A:$Z,8,FALSE)</f>
        <v>67</v>
      </c>
      <c r="I58" s="4">
        <f>VLOOKUP($B58&amp;"__wt",'SegEnds_Xtal_BW#'!$A:$Z,9,FALSE)</f>
        <v>49</v>
      </c>
      <c r="J58" s="4">
        <f>VLOOKUP($B58&amp;"__wt",'SegEnds_Xtal_BW#'!$A:$Z,10,FALSE)</f>
        <v>52</v>
      </c>
      <c r="K58" s="11">
        <v>18</v>
      </c>
      <c r="L58" s="4">
        <f>VLOOKUP($B58&amp;"__wt",'SegEnds_Xtal_BW#'!$A:$Z,12,FALSE)</f>
        <v>56</v>
      </c>
      <c r="M58" s="4">
        <f>VLOOKUP($B58&amp;"__wt",'SegEnds_Xtal_BW#'!$A:$Z,13,FALSE)</f>
        <v>50</v>
      </c>
      <c r="N58" s="12">
        <f>VLOOKUP($B58&amp;"__wt",'SegEnds_Xtal_BW#'!$A:$Z,14,FALSE)</f>
        <v>57</v>
      </c>
      <c r="O58" s="87">
        <f>VLOOKUP($B58&amp;"__wt",'SegEnds_Xtal_BW#'!$A:$Z,15,FALSE)</f>
        <v>38</v>
      </c>
      <c r="P58" s="4">
        <f>VLOOKUP($B58&amp;"__wt",'SegEnds_Xtal_BW#'!$A:$Z,16,FALSE)</f>
        <v>69</v>
      </c>
      <c r="Q58" s="4">
        <f>VLOOKUP($B58&amp;"__wt",'SegEnds_Xtal_BW#'!$A:$Z,17,FALSE)</f>
        <v>50</v>
      </c>
      <c r="R58" s="4">
        <f>VLOOKUP($B58&amp;"__wt",'SegEnds_Xtal_BW#'!$A:$Z,18,FALSE)</f>
        <v>52</v>
      </c>
      <c r="S58" s="1">
        <f>VLOOKUP($B58&amp;"__wt",'SegEnds_Xtal_BW#'!$A:$Z,19,FALSE)</f>
        <v>35</v>
      </c>
      <c r="T58" s="4">
        <f t="array" ref="T58">INDEX(ICL3_classA!$G$2:$G$37,MATCH(MIN(ABS(AI58-ICL3_classA!$F$2:$F$37)),ABS(AI58-ICL3_classA!$F$2:$F$37),0))</f>
        <v>75</v>
      </c>
      <c r="U58" s="4">
        <f t="array" ref="U58">INDEX(ICL3_classA!$H$2:$H$37,MATCH(MIN(ABS(AI58-ICL3_classA!$F$2:$F$37)),ABS(AI58-ICL3_classA!$F$2:$F$37),0))</f>
        <v>24</v>
      </c>
      <c r="V58" s="4">
        <v>61</v>
      </c>
      <c r="W58" s="4">
        <v>31</v>
      </c>
      <c r="X58" s="4">
        <f>VLOOKUP($B58&amp;"__wt",'SegEnds_Xtal_BW#'!$A:$Z,24,FALSE)</f>
        <v>56</v>
      </c>
      <c r="Y58" s="4">
        <f>VLOOKUP($B58&amp;"__wt",'SegEnds_Xtal_BW#'!$A:$Z,25,FALSE)</f>
        <v>47</v>
      </c>
      <c r="Z58" s="4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4">
        <f>VLOOKUP(A58,'SegEnds_NonXtal_Prot#'!A:AL,10,FALSE)-VLOOKUP(A58,'SegEnds_NonXtal_Prot#'!A:AL,7,FALSE)</f>
        <v>15</v>
      </c>
      <c r="AD58" s="4">
        <f>VLOOKUP(A58,'SegEnds_NonXtal_Prot#'!A:AL,13,FALSE)-VLOOKUP(A58,'SegEnds_NonXtal_Prot#'!A:AL,10,FALSE)</f>
        <v>20</v>
      </c>
      <c r="AE58" s="4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4">
        <f>VLOOKUP(A58,'SegEnds_NonXtal_Prot#'!A:AL,28,FALSE)-VLOOKUP(A58,'SegEnds_NonXtal_Prot#'!A:AL,25,FALSE)</f>
        <v>22</v>
      </c>
      <c r="AH58" s="1">
        <f>VLOOKUP(A58,'SegEnds_NonXtal_Prot#'!A:AL,28,FALSE)-VLOOKUP(A58,'SegEnds_NonXtal_Prot#'!A:AL,22,FALSE)</f>
        <v>50</v>
      </c>
      <c r="AI58" s="4">
        <f>VLOOKUP(A58,'SegEnds_NonXtal_Prot#'!A:AL,31,FALSE)-VLOOKUP(A58,'SegEnds_NonXtal_Prot#'!A:AL,28,FALSE)</f>
        <v>263</v>
      </c>
      <c r="AJ58" s="4">
        <f>VLOOKUP(A58,'SegEnds_NonXtal_Prot#'!A:AL,34,FALSE)-VLOOKUP(A58,'SegEnds_NonXtal_Prot#'!A:AL,31,FALSE)</f>
        <v>35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Xtal</v>
      </c>
    </row>
    <row r="59" spans="1:38" x14ac:dyDescent="0.2">
      <c r="A59" s="1" t="s">
        <v>149</v>
      </c>
      <c r="B59" s="1" t="str">
        <f>VLOOKUP(A59,Xtal_Templ!B:C,2,FALSE)</f>
        <v>acm4_human</v>
      </c>
      <c r="C59" s="5">
        <f>VLOOKUP($B59&amp;"__wt",'SegEnds_Xtal_BW#'!$A:$Z,3,FALSE)</f>
        <v>26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f>VLOOKUP($B59&amp;"__wt",'SegEnds_Xtal_BW#'!$A:$Z,14,FALSE)</f>
        <v>57</v>
      </c>
      <c r="O59" s="87">
        <f>VLOOKUP($B59&amp;"__wt",'SegEnds_Xtal_BW#'!$A:$Z,15,FALSE)</f>
        <v>38</v>
      </c>
      <c r="P59" s="1">
        <f>VLOOKUP($B59&amp;"__wt",'SegEnds_Xtal_BW#'!$A:$Z,16,FALSE)</f>
        <v>69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35</v>
      </c>
      <c r="T59" s="1">
        <f t="array" ref="T59">INDEX(ICL3_classA!$G$2:$G$37,MATCH(MIN(ABS(AI59-ICL3_classA!$F$2:$F$37)),ABS(AI59-ICL3_classA!$F$2:$F$37),0))</f>
        <v>75</v>
      </c>
      <c r="U59" s="1">
        <f t="array" ref="U59">INDEX(ICL3_classA!$H$2:$H$37,MATCH(MIN(ABS(AI59-ICL3_classA!$F$2:$F$37)),ABS(AI59-ICL3_classA!$F$2:$F$37),0))</f>
        <v>24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22</v>
      </c>
      <c r="AH59" s="1">
        <f>VLOOKUP(A59,'SegEnds_NonXtal_Prot#'!A:AL,28,FALSE)-VLOOKUP(A59,'SegEnds_NonXtal_Prot#'!A:AL,22,FALSE)</f>
        <v>50</v>
      </c>
      <c r="AI59" s="1">
        <f>VLOOKUP(A59,'SegEnds_NonXtal_Prot#'!A:AL,31,FALSE)-VLOOKUP(A59,'SegEnds_NonXtal_Prot#'!A:AL,28,FALSE)</f>
        <v>208</v>
      </c>
      <c r="AJ59" s="1">
        <f>VLOOKUP(A59,'SegEnds_NonXtal_Prot#'!A:AL,34,FALSE)-VLOOKUP(A59,'SegEnds_NonXtal_Prot#'!A:AL,31,FALSE)</f>
        <v>35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150</v>
      </c>
      <c r="B60" s="1" t="str">
        <f>VLOOKUP(A60,Xtal_Templ!B:C,2,FALSE)</f>
        <v>acm3_rat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69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f>VLOOKUP($B60&amp;"__wt",'SegEnds_Xtal_BW#'!$A:$Z,19,FALSE)</f>
        <v>35</v>
      </c>
      <c r="T60" s="1">
        <f t="array" ref="T60">INDEX(ICL3_classA!$G$2:$G$37,MATCH(MIN(ABS(AI60-ICL3_classA!$F$2:$F$37)),ABS(AI60-ICL3_classA!$F$2:$F$37),0))</f>
        <v>75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22</v>
      </c>
      <c r="AH60" s="1">
        <f>VLOOKUP(A60,'SegEnds_NonXtal_Prot#'!A:AL,28,FALSE)-VLOOKUP(A60,'SegEnds_NonXtal_Prot#'!A:AL,22,FALSE)</f>
        <v>50</v>
      </c>
      <c r="AI60" s="1">
        <f>VLOOKUP(A60,'SegEnds_NonXtal_Prot#'!A:AL,31,FALSE)-VLOOKUP(A60,'SegEnds_NonXtal_Prot#'!A:AL,28,FALSE)</f>
        <v>252</v>
      </c>
      <c r="AJ60" s="1">
        <f>VLOOKUP(A60,'SegEnds_NonXtal_Prot#'!A:AL,34,FALSE)-VLOOKUP(A60,'SegEnds_NonXtal_Prot#'!A:AL,31,FALSE)</f>
        <v>35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151</v>
      </c>
      <c r="B61" s="1" t="str">
        <f>VLOOKUP(A61,Xtal_Templ!B:C,2,FALSE)</f>
        <v>s1pr1_human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v>67</v>
      </c>
      <c r="I61" s="1" t="s">
        <v>23</v>
      </c>
      <c r="J61" s="1" t="s">
        <v>23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f>VLOOKUP($B61&amp;"__wt",'SegEnds_Xtal_BW#'!$A:$Z,15,FALSE)</f>
        <v>38</v>
      </c>
      <c r="P61" s="1">
        <f>VLOOKUP($B61&amp;"__wt",'SegEnds_Xtal_BW#'!$A:$Z,16,FALSE)</f>
        <v>63</v>
      </c>
      <c r="Q61" s="1" t="str">
        <f>VLOOKUP($B61&amp;"__wt",'SegEnds_Xtal_BW#'!$A:$Z,17,FALSE)</f>
        <v>-</v>
      </c>
      <c r="R61" s="1" t="str">
        <f>VLOOKUP($B61&amp;"__wt",'SegEnds_Xtal_BW#'!$A:$Z,18,FALSE)</f>
        <v>-</v>
      </c>
      <c r="S61" s="108">
        <v>33</v>
      </c>
      <c r="T61" s="1">
        <f t="array" ref="T61">INDEX(ICL3_classA!$G$2:$G$37,MATCH(MIN(ABS(AI61-ICL3_classA!$F$2:$F$37)),ABS(AI61-ICL3_classA!$F$2:$F$37),0))</f>
        <v>66</v>
      </c>
      <c r="U61" s="1">
        <f t="array" ref="U61">INDEX(ICL3_classA!$H$2:$H$37,MATCH(MIN(ABS(AI61-ICL3_classA!$F$2:$F$37)),ABS(AI61-ICL3_classA!$F$2:$F$37),0))</f>
        <v>30</v>
      </c>
      <c r="V61" s="1">
        <v>61</v>
      </c>
      <c r="W61" s="1">
        <v>28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 t="e">
        <f>VLOOKUP(A61,'SegEnds_NonXtal_Prot#'!A:AL,13,FALSE)-VLOOKUP(A61,'SegEnds_NonXtal_Prot#'!A:AL,10,FALSE)</f>
        <v>#VALUE!</v>
      </c>
      <c r="AE61" s="1">
        <f>VLOOKUP(A61,'SegEnds_NonXtal_Prot#'!A:AL,16,FALSE)-VLOOKUP(A61,'SegEnds_NonXtal_Prot#'!A:AL,10,FALSE)</f>
        <v>58</v>
      </c>
      <c r="AF61" s="1">
        <f>VLOOKUP(A61,'SegEnds_NonXtal_Prot#'!A:AL,22,FALSE)-VLOOKUP(A61,'SegEnds_NonXtal_Prot#'!A:AL,19,FALSE)</f>
        <v>20</v>
      </c>
      <c r="AG61" s="1" t="e">
        <f>VLOOKUP(A61,'SegEnds_NonXtal_Prot#'!A:AL,28,FALSE)-VLOOKUP(A61,'SegEnds_NonXtal_Prot#'!A:AL,25,FALSE)</f>
        <v>#VALUE!</v>
      </c>
      <c r="AH61" s="1">
        <f>VLOOKUP(A61,'SegEnds_NonXtal_Prot#'!A:AL,28,FALSE)-VLOOKUP(A61,'SegEnds_NonXtal_Prot#'!A:AL,22,FALSE)</f>
        <v>40</v>
      </c>
      <c r="AI61" s="1">
        <f>VLOOKUP(A61,'SegEnds_NonXtal_Prot#'!A:AL,31,FALSE)-VLOOKUP(A61,'SegEnds_NonXtal_Prot#'!A:AL,28,FALSE)</f>
        <v>39</v>
      </c>
      <c r="AJ61" s="1">
        <f>VLOOKUP(A61,'SegEnds_NonXtal_Prot#'!A:AL,34,FALSE)-VLOOKUP(A61,'SegEnds_NonXtal_Prot#'!A:AL,31,FALSE)</f>
        <v>39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152</v>
      </c>
      <c r="B62" s="1" t="str">
        <f>VLOOKUP(A62,Xtal_Templ!B:C,2,FALSE)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76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91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153</v>
      </c>
      <c r="B63" s="1" t="str">
        <f>VLOOKUP(A63,Xtal_Templ!B:C,2,FALSE)</f>
        <v>drd2_human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68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62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74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45</v>
      </c>
      <c r="AI63" s="1">
        <f>VLOOKUP(A63,'SegEnds_NonXtal_Prot#'!A:AL,31,FALSE)-VLOOKUP(A63,'SegEnds_NonXtal_Prot#'!A:AL,28,FALSE)</f>
        <v>94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154</v>
      </c>
      <c r="B64" s="1" t="str">
        <f>VLOOKUP(A64,Xtal_Templ!B:C,2,FALSE)</f>
        <v>adrb2_human</v>
      </c>
      <c r="C64" s="5">
        <f>VLOOKUP($B64&amp;"__wt",'SegEnds_Xtal_BW#'!$A:$Z,3,FALSE)</f>
        <v>25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INDEX(ICL3_classA!$G$2:$G$37,MATCH(MIN(ABS(AI64-ICL3_classA!$F$2:$F$37)),ABS(AI64-ICL3_classA!$F$2:$F$37),0))</f>
        <v>74</v>
      </c>
      <c r="U64" s="1">
        <f t="array" ref="U64">INDEX(ICL3_classA!$H$2:$H$37,MATCH(MIN(ABS(AI64-ICL3_classA!$F$2:$F$37)),ABS(AI64-ICL3_classA!$F$2:$F$37),0))</f>
        <v>24</v>
      </c>
      <c r="V64" s="1">
        <v>61</v>
      </c>
      <c r="W64" s="1">
        <v>31</v>
      </c>
      <c r="X64" s="108"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20</v>
      </c>
      <c r="AE64" s="1">
        <f>VLOOKUP(A64,'SegEnds_NonXtal_Prot#'!A:AL,16,FALSE)-VLOOKUP(A64,'SegEnds_NonXtal_Prot#'!A:AL,10,FALSE)</f>
        <v>52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20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97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155</v>
      </c>
      <c r="B65" s="1" t="str">
        <f>VLOOKUP(A65,Xtal_Templ!B:C,2,FALSE)</f>
        <v>drd2_human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68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62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75</v>
      </c>
      <c r="U65" s="1">
        <f t="array" ref="U65">INDEX(ICL3_classA!$H$2:$H$37,MATCH(MIN(ABS(AI65-ICL3_classA!$F$2:$F$37)),ABS(AI65-ICL3_classA!$F$2:$F$37),0))</f>
        <v>24</v>
      </c>
      <c r="V65" s="1">
        <v>61</v>
      </c>
      <c r="W65" s="1">
        <v>32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20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20</v>
      </c>
      <c r="AH65" s="1">
        <f>VLOOKUP(A65,'SegEnds_NonXtal_Prot#'!A:AL,28,FALSE)-VLOOKUP(A65,'SegEnds_NonXtal_Prot#'!A:AL,22,FALSE)</f>
        <v>50</v>
      </c>
      <c r="AI65" s="1">
        <f>VLOOKUP(A65,'SegEnds_NonXtal_Prot#'!A:AL,31,FALSE)-VLOOKUP(A65,'SegEnds_NonXtal_Prot#'!A:AL,28,FALSE)</f>
        <v>181</v>
      </c>
      <c r="AJ65" s="1">
        <f>VLOOKUP(A65,'SegEnds_NonXtal_Prot#'!A:AL,34,FALSE)-VLOOKUP(A65,'SegEnds_NonXtal_Prot#'!A:AL,31,FALSE)</f>
        <v>34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156</v>
      </c>
      <c r="B66" s="1" t="str">
        <f>VLOOKUP(A66,Xtal_Templ!B:C,2,FALSE)</f>
        <v>drd2_human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7">
        <v>38</v>
      </c>
      <c r="P66" s="1">
        <f>VLOOKUP($B66&amp;"__wt",'SegEnds_Xtal_BW#'!$A:$Z,16,FALSE)</f>
        <v>62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75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20</v>
      </c>
      <c r="AH66" s="1">
        <f>VLOOKUP(A66,'SegEnds_NonXtal_Prot#'!A:AL,28,FALSE)-VLOOKUP(A66,'SegEnds_NonXtal_Prot#'!A:AL,22,FALSE)</f>
        <v>47</v>
      </c>
      <c r="AI66" s="1">
        <f>VLOOKUP(A66,'SegEnds_NonXtal_Prot#'!A:AL,31,FALSE)-VLOOKUP(A66,'SegEnds_NonXtal_Prot#'!A:AL,28,FALSE)</f>
        <v>199</v>
      </c>
      <c r="AJ66" s="1">
        <f>VLOOKUP(A66,'SegEnds_NonXtal_Prot#'!A:AL,34,FALSE)-VLOOKUP(A66,'SegEnds_NonXtal_Prot#'!A:AL,31,FALSE)</f>
        <v>37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157</v>
      </c>
      <c r="B67" s="1" t="str">
        <f>VLOOKUP(A67,Xtal_Templ!B:C,2,FALSE)</f>
        <v>drd2_human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68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v>38</v>
      </c>
      <c r="P67" s="1">
        <f>VLOOKUP($B67&amp;"__wt",'SegEnds_Xtal_BW#'!$A:$Z,16,FALSE)</f>
        <v>62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20</v>
      </c>
      <c r="AE67" s="1">
        <f>VLOOKUP(A67,'SegEnds_NonXtal_Prot#'!A:AL,16,FALSE)-VLOOKUP(A67,'SegEnds_NonXtal_Prot#'!A:AL,10,FALSE)</f>
        <v>52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20</v>
      </c>
      <c r="AH67" s="1">
        <f>VLOOKUP(A67,'SegEnds_NonXtal_Prot#'!A:AL,28,FALSE)-VLOOKUP(A67,'SegEnds_NonXtal_Prot#'!A:AL,22,FALSE)</f>
        <v>46</v>
      </c>
      <c r="AI67" s="1">
        <f>VLOOKUP(A67,'SegEnds_NonXtal_Prot#'!A:AL,31,FALSE)-VLOOKUP(A67,'SegEnds_NonXtal_Prot#'!A:AL,28,FALSE)</f>
        <v>175</v>
      </c>
      <c r="AJ67" s="1">
        <f>VLOOKUP(A67,'SegEnds_NonXtal_Prot#'!A:AL,34,FALSE)-VLOOKUP(A67,'SegEnds_NonXtal_Prot#'!A:AL,31,FALSE)</f>
        <v>37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125</v>
      </c>
      <c r="B68" s="1" t="str">
        <f>VLOOKUP(A68,Xtal_Templ!B:C,2,FALSE)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35</v>
      </c>
      <c r="T68" s="1">
        <f t="array" ref="T68">INDEX(ICL3_classA!$G$2:$G$37,MATCH(MIN(ABS(AI68-ICL3_classA!$F$2:$F$37)),ABS(AI68-ICL3_classA!$F$2:$F$37),0))</f>
        <v>74</v>
      </c>
      <c r="U68" s="1">
        <f t="array" ref="U68">INDEX(ICL3_classA!$H$2:$H$37,MATCH(MIN(ABS(AI68-ICL3_classA!$F$2:$F$37)),ABS(AI68-ICL3_classA!$F$2:$F$37),0))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20</v>
      </c>
      <c r="AE68" s="1">
        <f>VLOOKUP(A68,'SegEnds_NonXtal_Prot#'!A:AL,16,FALSE)-VLOOKUP(A68,'SegEnds_NonXtal_Prot#'!A:AL,10,FALSE)</f>
        <v>52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20</v>
      </c>
      <c r="AH68" s="1">
        <f>VLOOKUP(A68,'SegEnds_NonXtal_Prot#'!A:AL,28,FALSE)-VLOOKUP(A68,'SegEnds_NonXtal_Prot#'!A:AL,22,FALSE)</f>
        <v>53</v>
      </c>
      <c r="AI68" s="1">
        <f>VLOOKUP(A68,'SegEnds_NonXtal_Prot#'!A:AL,31,FALSE)-VLOOKUP(A68,'SegEnds_NonXtal_Prot#'!A:AL,28,FALSE)</f>
        <v>103</v>
      </c>
      <c r="AJ68" s="1">
        <f>VLOOKUP(A68,'SegEnds_NonXtal_Prot#'!A:AL,34,FALSE)-VLOOKUP(A68,'SegEnds_NonXtal_Prot#'!A:AL,31,FALSE)</f>
        <v>35</v>
      </c>
      <c r="AK68" s="1">
        <f>VLOOKUP(A68,'SegEnds_NonXtal_Prot#'!A:AL,37,FALSE)-VLOOKUP(A68,'SegEnds_NonXtal_Prot#'!A:AL,34,FALSE)</f>
        <v>9</v>
      </c>
      <c r="AL68" s="1" t="str">
        <f>IF(ISERROR(MATCH(A68,'SegEnds_Xtal_Prot#'!B:B, 0)), "NoXtal", "Xtal")</f>
        <v>NoXtal</v>
      </c>
    </row>
    <row r="69" spans="1:38" x14ac:dyDescent="0.2">
      <c r="A69" s="1" t="s">
        <v>912</v>
      </c>
      <c r="B69" s="1" t="str">
        <f>VLOOKUP(A69,Xtal_Templ!B:C,2,FALSE)</f>
        <v>adrb1_melga</v>
      </c>
      <c r="C69" s="5">
        <f>VLOOKUP($B69&amp;"__wt",'SegEnds_Xtal_BW#'!$A:$Z,3,FALSE)</f>
        <v>24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35</v>
      </c>
      <c r="T69" s="1">
        <f t="array" ref="T69">INDEX(ICL3_classA!$G$2:$G$37,MATCH(MIN(ABS(AI69-ICL3_classA!$F$2:$F$37)),ABS(AI69-ICL3_classA!$F$2:$F$37),0))</f>
        <v>76</v>
      </c>
      <c r="U69" s="1">
        <v>20</v>
      </c>
      <c r="V69" s="1">
        <v>61</v>
      </c>
      <c r="W69" s="1">
        <v>31</v>
      </c>
      <c r="X69" s="1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20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20</v>
      </c>
      <c r="AH69" s="1">
        <f>VLOOKUP(A69,'SegEnds_NonXtal_Prot#'!A:AL,28,FALSE)-VLOOKUP(A69,'SegEnds_NonXtal_Prot#'!A:AL,22,FALSE)</f>
        <v>53</v>
      </c>
      <c r="AI69" s="1">
        <f>VLOOKUP(A69,'SegEnds_NonXtal_Prot#'!A:AL,31,FALSE)-VLOOKUP(A69,'SegEnds_NonXtal_Prot#'!A:AL,28,FALSE)</f>
        <v>86</v>
      </c>
      <c r="AJ69" s="1">
        <f>VLOOKUP(A69,'SegEnds_NonXtal_Prot#'!A:AL,34,FALSE)-VLOOKUP(A69,'SegEnds_NonXtal_Prot#'!A:AL,31,FALSE)</f>
        <v>35</v>
      </c>
      <c r="AK69" s="1">
        <f>VLOOKUP(A69,'SegEnds_NonXtal_Prot#'!A:AL,37,FALSE)-VLOOKUP(A69,'SegEnds_NonXtal_Prot#'!A:AL,34,FALSE)</f>
        <v>9</v>
      </c>
      <c r="AL69" s="1" t="str">
        <f>IF(ISERROR(MATCH(A69,'SegEnds_Xtal_Prot#'!B:B, 0)), "NoXtal", "Xtal")</f>
        <v>Xtal</v>
      </c>
    </row>
    <row r="70" spans="1:38" x14ac:dyDescent="0.2">
      <c r="A70" s="1" t="s">
        <v>126</v>
      </c>
      <c r="B70" s="1" t="str">
        <f>VLOOKUP(A70,Xtal_Templ!B:C,2,FALSE)</f>
        <v>adrb2_human</v>
      </c>
      <c r="C70" s="5">
        <f>VLOOKUP($B70&amp;"__wt",'SegEnds_Xtal_BW#'!$A:$Z,3,FALSE)</f>
        <v>25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55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20</v>
      </c>
      <c r="AH70" s="1">
        <f>VLOOKUP(A70,'SegEnds_NonXtal_Prot#'!A:AL,28,FALSE)-VLOOKUP(A70,'SegEnds_NonXtal_Prot#'!A:AL,22,FALSE)</f>
        <v>53</v>
      </c>
      <c r="AI70" s="1">
        <f>VLOOKUP(A70,'SegEnds_NonXtal_Prot#'!A:AL,31,FALSE)-VLOOKUP(A70,'SegEnds_NonXtal_Prot#'!A:AL,28,FALSE)</f>
        <v>77</v>
      </c>
      <c r="AJ70" s="1">
        <f>VLOOKUP(A70,'SegEnds_NonXtal_Prot#'!A:AL,34,FALSE)-VLOOKUP(A70,'SegEnds_NonXtal_Prot#'!A:AL,31,FALSE)</f>
        <v>35</v>
      </c>
      <c r="AK70" s="1">
        <f>VLOOKUP(A70,'SegEnds_NonXtal_Prot#'!A:AL,37,FALSE)-VLOOKUP(A70,'SegEnds_NonXtal_Prot#'!A:AL,34,FALSE)</f>
        <v>9</v>
      </c>
      <c r="AL70" s="1" t="str">
        <f>IF(ISERROR(MATCH(A70,'SegEnds_Xtal_Prot#'!B:B, 0)), "NoXtal", "Xtal")</f>
        <v>Xtal</v>
      </c>
    </row>
    <row r="71" spans="1:38" x14ac:dyDescent="0.2">
      <c r="A71" s="1" t="s">
        <v>102</v>
      </c>
      <c r="B71" s="1" t="str">
        <f>VLOOKUP(A71,Xtal_Templ!B:C,2,FALSE)</f>
        <v>adrb2_human</v>
      </c>
      <c r="C71" s="5">
        <f>VLOOKUP($B71&amp;"__wt",'SegEnds_Xtal_BW#'!$A:$Z,3,FALSE)</f>
        <v>25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76</v>
      </c>
      <c r="U71" s="1">
        <f t="array" ref="U71">INDEX(ICL3_classA!$H$2:$H$37,MATCH(MIN(ABS(AI71-ICL3_classA!$F$2:$F$37)),ABS(AI71-ICL3_classA!$F$2:$F$37),0))</f>
        <v>24</v>
      </c>
      <c r="V71" s="1">
        <v>61</v>
      </c>
      <c r="W71" s="1">
        <v>31</v>
      </c>
      <c r="X71" s="128">
        <f>VLOOKUP($B71&amp;"__wt",'SegEnds_Xtal_BW#'!$A:$Z,24,FALSE)</f>
        <v>55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20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20</v>
      </c>
      <c r="AH71" s="1">
        <f>VLOOKUP(A71,'SegEnds_NonXtal_Prot#'!A:AL,28,FALSE)-VLOOKUP(A71,'SegEnds_NonXtal_Prot#'!A:AL,22,FALSE)</f>
        <v>54</v>
      </c>
      <c r="AI71" s="1">
        <f>VLOOKUP(A71,'SegEnds_NonXtal_Prot#'!A:AL,31,FALSE)-VLOOKUP(A71,'SegEnds_NonXtal_Prot#'!A:AL,28,FALSE)</f>
        <v>91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9</v>
      </c>
      <c r="AL71" s="1" t="str">
        <f>IF(ISERROR(MATCH(A71,'SegEnds_Xtal_Prot#'!B:B, 0)), "NoXtal", "Xtal")</f>
        <v>NoXtal</v>
      </c>
    </row>
    <row r="72" spans="1:38" x14ac:dyDescent="0.2">
      <c r="A72" s="1" t="s">
        <v>158</v>
      </c>
      <c r="B72" s="1" t="str">
        <f>VLOOKUP(A72,Xtal_Templ!B:C,2,FALSE)</f>
        <v>agtr1_human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f>VLOOKUP($B72&amp;"__wt",'SegEnds_Xtal_BW#'!$A:$Z,14,FALSE)</f>
        <v>57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INDEX(ICL3_classA!$G$2:$G$37,MATCH(MIN(ABS(AI72-ICL3_classA!$F$2:$F$37)),ABS(AI72-ICL3_classA!$F$2:$F$37),0))</f>
        <v>68</v>
      </c>
      <c r="U72" s="1">
        <f t="array" ref="U72">INDEX(ICL3_classA!$H$2:$H$37,MATCH(MIN(ABS(AI72-ICL3_classA!$F$2:$F$37)),ABS(AI72-ICL3_classA!$F$2:$F$37),0))</f>
        <v>24</v>
      </c>
      <c r="V72" s="1">
        <v>64</v>
      </c>
      <c r="W72" s="1">
        <v>24</v>
      </c>
      <c r="X72" s="128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52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27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48</v>
      </c>
      <c r="AJ72" s="1">
        <f>VLOOKUP(A72,'SegEnds_NonXtal_Prot#'!A:AL,34,FALSE)-VLOOKUP(A72,'SegEnds_NonXtal_Prot#'!A:AL,31,FALSE)</f>
        <v>44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Xtal</v>
      </c>
    </row>
    <row r="73" spans="1:38" x14ac:dyDescent="0.2">
      <c r="A73" s="1" t="s">
        <v>159</v>
      </c>
      <c r="B73" s="1" t="str">
        <f>VLOOKUP(A73,Xtal_Templ!B:C,2,FALSE)</f>
        <v>agtr2_human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 t="str">
        <f>VLOOKUP($B73&amp;"__wt",'SegEnds_Xtal_BW#'!$A:$Z,5,FALSE)</f>
        <v>-</v>
      </c>
      <c r="F73" s="1" t="str">
        <f>VLOOKUP($B73&amp;"__wt",'SegEnds_Xtal_BW#'!$A:$Z,6,FALSE)</f>
        <v>-</v>
      </c>
      <c r="G73" s="108">
        <v>38</v>
      </c>
      <c r="H73" s="12">
        <f>VLOOKUP($B73&amp;"__wt",'SegEnds_Xtal_BW#'!$A:$Z,8,FALSE)</f>
        <v>66</v>
      </c>
      <c r="I73" s="1">
        <f>VLOOKUP($B73&amp;"__wt",'SegEnds_Xtal_BW#'!$A:$Z,9,FALSE)</f>
        <v>47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f>VLOOKUP($B73&amp;"__wt",'SegEnds_Xtal_BW#'!$A:$Z,14,FALSE)</f>
        <v>56</v>
      </c>
      <c r="O73" s="87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19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161</v>
      </c>
      <c r="B74" s="1" t="str">
        <f>VLOOKUP(A74,Xtal_Templ!B:C,2,FALSE)</f>
        <v>agtr1_human</v>
      </c>
      <c r="C74" s="5">
        <f>VLOOKUP($B74&amp;"__wt",'SegEnds_Xtal_BW#'!$A:$Z,3,FALSE)</f>
        <v>30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66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34</v>
      </c>
      <c r="T74" s="1">
        <f t="array" ref="T74">INDEX(ICL3_classA!$G$2:$G$37,MATCH(MIN(ABS(AI74-ICL3_classA!$F$2:$F$37)),ABS(AI74-ICL3_classA!$F$2:$F$37),0))</f>
        <v>68</v>
      </c>
      <c r="U74" s="1">
        <f t="array" ref="U74">INDEX(ICL3_classA!$H$2:$H$37,MATCH(MIN(ABS(AI74-ICL3_classA!$F$2:$F$37)),ABS(AI74-ICL3_classA!$F$2:$F$37),0))</f>
        <v>23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20</v>
      </c>
      <c r="AE74" s="1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52</v>
      </c>
      <c r="AI74" s="1">
        <f>VLOOKUP(A74,'SegEnds_NonXtal_Prot#'!A:AL,31,FALSE)-VLOOKUP(A74,'SegEnds_NonXtal_Prot#'!A:AL,28,FALSE)</f>
        <v>51</v>
      </c>
      <c r="AJ74" s="1">
        <f>VLOOKUP(A74,'SegEnds_NonXtal_Prot#'!A:AL,34,FALSE)-VLOOKUP(A74,'SegEnds_NonXtal_Prot#'!A:AL,31,FALSE)</f>
        <v>44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162</v>
      </c>
      <c r="B75" s="1" t="str">
        <f>VLOOKUP(A75,Xtal_Templ!B:C,2,FALSE)</f>
        <v>agtr2_human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 t="str">
        <f>VLOOKUP($B75&amp;"__wt",'SegEnds_Xtal_BW#'!$A:$Z,5,FALSE)</f>
        <v>-</v>
      </c>
      <c r="F75" s="1" t="str">
        <f>VLOOKUP($B75&amp;"__wt",'SegEnds_Xtal_BW#'!$A:$Z,6,FALSE)</f>
        <v>-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47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08">
        <v>57</v>
      </c>
      <c r="O75" s="87">
        <f>VLOOKUP($B75&amp;"__wt",'SegEnds_Xtal_BW#'!$A:$Z,15,FALSE)</f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30</v>
      </c>
      <c r="T75" s="1">
        <f t="array" ref="T75">INDEX(ICL3_classA!$G$2:$G$37,MATCH(MIN(ABS(AI75-ICL3_classA!$F$2:$F$37)),ABS(AI75-ICL3_classA!$F$2:$F$37),0))</f>
        <v>68</v>
      </c>
      <c r="U75" s="1">
        <f t="array" ref="U75">INDEX(ICL3_classA!$H$2:$H$37,MATCH(MIN(ABS(AI75-ICL3_classA!$F$2:$F$37)),ABS(AI75-ICL3_classA!$F$2:$F$37),0))</f>
        <v>24</v>
      </c>
      <c r="V75" s="1">
        <v>64</v>
      </c>
      <c r="W75" s="1">
        <v>24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20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25</v>
      </c>
      <c r="AH75" s="1">
        <f>VLOOKUP(A75,'SegEnds_NonXtal_Prot#'!A:AL,28,FALSE)-VLOOKUP(A75,'SegEnds_NonXtal_Prot#'!A:AL,22,FALSE)</f>
        <v>54</v>
      </c>
      <c r="AI75" s="1">
        <f>VLOOKUP(A75,'SegEnds_NonXtal_Prot#'!A:AL,31,FALSE)-VLOOKUP(A75,'SegEnds_NonXtal_Prot#'!A:AL,28,FALSE)</f>
        <v>49</v>
      </c>
      <c r="AJ75" s="1">
        <f>VLOOKUP(A75,'SegEnds_NonXtal_Prot#'!A:AL,34,FALSE)-VLOOKUP(A75,'SegEnds_NonXtal_Prot#'!A:AL,31,FALSE)</f>
        <v>44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163</v>
      </c>
      <c r="B76" s="1" t="str">
        <f>VLOOKUP(A76,Xtal_Templ!B:C,2,FALSE)</f>
        <v>ednrb_human</v>
      </c>
      <c r="C76" s="5">
        <f>VLOOKUP($B76&amp;"__wt",'SegEnds_Xtal_BW#'!$A:$Z,3,FALSE)</f>
        <v>22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52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28</v>
      </c>
      <c r="T76" s="1">
        <f t="array" ref="T76">INDEX(ICL3_classA!$G$2:$G$37,MATCH(MIN(ABS(AI76-ICL3_classA!$F$2:$F$37)),ABS(AI76-ICL3_classA!$F$2:$F$37),0))</f>
        <v>73</v>
      </c>
      <c r="U76" s="1">
        <f t="array" ref="U76">INDEX(ICL3_classA!$H$2:$H$37,MATCH(MIN(ABS(AI76-ICL3_classA!$F$2:$F$37)),ABS(AI76-ICL3_classA!$F$2:$F$37),0))</f>
        <v>22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60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26</v>
      </c>
      <c r="AH76" s="1">
        <f>VLOOKUP(A76,'SegEnds_NonXtal_Prot#'!A:AL,28,FALSE)-VLOOKUP(A76,'SegEnds_NonXtal_Prot#'!A:AL,22,FALSE)</f>
        <v>57</v>
      </c>
      <c r="AI76" s="1">
        <f>VLOOKUP(A76,'SegEnds_NonXtal_Prot#'!A:AL,31,FALSE)-VLOOKUP(A76,'SegEnds_NonXtal_Prot#'!A:AL,28,FALSE)</f>
        <v>57</v>
      </c>
      <c r="AJ76" s="1">
        <f>VLOOKUP(A76,'SegEnds_NonXtal_Prot#'!A:AL,34,FALSE)-VLOOKUP(A76,'SegEnds_NonXtal_Prot#'!A:AL,31,FALSE)</f>
        <v>41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167</v>
      </c>
      <c r="B77" s="1" t="str">
        <f>VLOOKUP(A77,Xtal_Templ!B:C,2,FALSE)</f>
        <v>ox1r_human</v>
      </c>
      <c r="C77" s="5">
        <f>VLOOKUP($B77&amp;"__wt",'SegEnds_Xtal_BW#'!$A:$Z,3,FALSE)</f>
        <v>32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f>VLOOKUP($B77&amp;"__wt",'SegEnds_Xtal_BW#'!$A:$Z,15,FALSE)</f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32</v>
      </c>
      <c r="T77" s="1">
        <f t="array" ref="T77">INDEX(ICL3_classA!$G$2:$G$37,MATCH(MIN(ABS(AI77-ICL3_classA!$F$2:$F$37)),ABS(AI77-ICL3_classA!$F$2:$F$37),0))</f>
        <v>74</v>
      </c>
      <c r="U77" s="1">
        <f t="array" ref="U77">INDEX(ICL3_classA!$H$2:$H$37,MATCH(MIN(ABS(AI77-ICL3_classA!$F$2:$F$37)),ABS(AI77-ICL3_classA!$F$2:$F$37),0))</f>
        <v>24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58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25</v>
      </c>
      <c r="AH77" s="1">
        <f>VLOOKUP(A77,'SegEnds_NonXtal_Prot#'!A:AL,28,FALSE)-VLOOKUP(A77,'SegEnds_NonXtal_Prot#'!A:AL,22,FALSE)</f>
        <v>55</v>
      </c>
      <c r="AI77" s="1">
        <f>VLOOKUP(A77,'SegEnds_NonXtal_Prot#'!A:AL,31,FALSE)-VLOOKUP(A77,'SegEnds_NonXtal_Prot#'!A:AL,28,FALSE)</f>
        <v>107</v>
      </c>
      <c r="AJ77" s="1">
        <f>VLOOKUP(A77,'SegEnds_NonXtal_Prot#'!A:AL,34,FALSE)-VLOOKUP(A77,'SegEnds_NonXtal_Prot#'!A:AL,31,FALSE)</f>
        <v>39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168</v>
      </c>
      <c r="B78" s="1" t="str">
        <f>VLOOKUP(A78,Xtal_Templ!B:C,2,FALSE)</f>
        <v>ccr5_human</v>
      </c>
      <c r="C78" s="5">
        <f>VLOOKUP($B78&amp;"__wt",'SegEnds_Xtal_BW#'!$A:$Z,3,FALSE)</f>
        <v>24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66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f>VLOOKUP($B78&amp;"__wt",'SegEnds_Xtal_BW#'!$A:$Z,14,FALSE)</f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30</v>
      </c>
      <c r="T78" s="1">
        <f t="array" ref="T78">INDEX(ICL3_classA!$G$2:$G$37,MATCH(MIN(ABS(AI78-ICL3_classA!$F$2:$F$37)),ABS(AI78-ICL3_classA!$F$2:$F$37),0))</f>
        <v>68</v>
      </c>
      <c r="U78" s="1">
        <f t="array" ref="U78">INDEX(ICL3_classA!$H$2:$H$37,MATCH(MIN(ABS(AI78-ICL3_classA!$F$2:$F$37)),ABS(AI78-ICL3_classA!$F$2:$F$37),0))</f>
        <v>30</v>
      </c>
      <c r="V78" s="1">
        <v>65</v>
      </c>
      <c r="W78" s="1">
        <v>24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19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28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43</v>
      </c>
      <c r="AJ78" s="1">
        <f>VLOOKUP(A78,'SegEnds_NonXtal_Prot#'!A:AL,34,FALSE)-VLOOKUP(A78,'SegEnds_NonXtal_Prot#'!A:AL,31,FALSE)</f>
        <v>44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170</v>
      </c>
      <c r="B79" s="1" t="str">
        <f>VLOOKUP(A79,Xtal_Templ!B:C,2,FALSE)</f>
        <v>ccr2_human</v>
      </c>
      <c r="C79" s="5">
        <f>VLOOKUP($B79&amp;"__wt",'SegEnds_Xtal_BW#'!$A:$Z,3,FALSE)</f>
        <v>27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24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f>VLOOKUP($B79&amp;"__wt",'SegEnds_Xtal_BW#'!$A:$Z,14,FALSE)</f>
        <v>57</v>
      </c>
      <c r="O79" s="87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31</v>
      </c>
      <c r="T79" s="1">
        <f t="array" ref="T79">INDEX(ICL3_classA!$G$2:$G$37,MATCH(MIN(ABS(AI79-ICL3_classA!$F$2:$F$37)),ABS(AI79-ICL3_classA!$F$2:$F$37),0))</f>
        <v>68</v>
      </c>
      <c r="U79" s="1">
        <f t="array" ref="U79">INDEX(ICL3_classA!$H$2:$H$37,MATCH(MIN(ABS(AI79-ICL3_classA!$F$2:$F$37)),ABS(AI79-ICL3_classA!$F$2:$F$37),0))</f>
        <v>28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58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50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24</v>
      </c>
      <c r="AH79" s="1">
        <f>VLOOKUP(A79,'SegEnds_NonXtal_Prot#'!A:AL,28,FALSE)-VLOOKUP(A79,'SegEnds_NonXtal_Prot#'!A:AL,22,FALSE)</f>
        <v>49</v>
      </c>
      <c r="AI79" s="1">
        <f>VLOOKUP(A79,'SegEnds_NonXtal_Prot#'!A:AL,31,FALSE)-VLOOKUP(A79,'SegEnds_NonXtal_Prot#'!A:AL,28,FALSE)</f>
        <v>44</v>
      </c>
      <c r="AJ79" s="1">
        <f>VLOOKUP(A79,'SegEnds_NonXtal_Prot#'!A:AL,34,FALSE)-VLOOKUP(A79,'SegEnds_NonXtal_Prot#'!A:AL,31,FALSE)</f>
        <v>44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Xtal</v>
      </c>
    </row>
    <row r="80" spans="1:38" x14ac:dyDescent="0.2">
      <c r="A80" s="1" t="s">
        <v>171</v>
      </c>
      <c r="B80" s="1" t="str">
        <f>VLOOKUP(A80,Xtal_Templ!B:C,2,FALSE)</f>
        <v>ccr5_human</v>
      </c>
      <c r="C80" s="5">
        <f>VLOOKUP($B80&amp;"__wt",'SegEnds_Xtal_BW#'!$A:$Z,3,FALSE)</f>
        <v>24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30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28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43</v>
      </c>
      <c r="AJ80" s="1">
        <f>VLOOKUP(A80,'SegEnds_NonXtal_Prot#'!A:AL,34,FALSE)-VLOOKUP(A80,'SegEnds_NonXtal_Prot#'!A:AL,31,FALSE)</f>
        <v>44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172</v>
      </c>
      <c r="B81" s="1" t="str">
        <f>VLOOKUP(A81,Xtal_Templ!B:C,2,FALSE)</f>
        <v>ccr5_human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24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f>VLOOKUP($B81&amp;"__wt",'SegEnds_Xtal_BW#'!$A:$Z,14,FALSE)</f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18</v>
      </c>
      <c r="AE81" s="1">
        <f>VLOOKUP(A81,'SegEnds_NonXtal_Prot#'!A:AL,16,FALSE)-VLOOKUP(A81,'SegEnds_NonXtal_Prot#'!A:AL,10,FALSE)</f>
        <v>50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52</v>
      </c>
      <c r="AI81" s="1">
        <f>VLOOKUP(A81,'SegEnds_NonXtal_Prot#'!A:AL,31,FALSE)-VLOOKUP(A81,'SegEnds_NonXtal_Prot#'!A:AL,28,FALSE)</f>
        <v>43</v>
      </c>
      <c r="AJ81" s="1">
        <f>VLOOKUP(A81,'SegEnds_NonXtal_Prot#'!A:AL,34,FALSE)-VLOOKUP(A81,'SegEnds_NonXtal_Prot#'!A:AL,31,FALSE)</f>
        <v>44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173</v>
      </c>
      <c r="B82" s="1" t="str">
        <f>VLOOKUP(A82,Xtal_Templ!B:C,2,FALSE)</f>
        <v>ccr5_human</v>
      </c>
      <c r="C82" s="5">
        <f>VLOOKUP($B82&amp;"__wt",'SegEnds_Xtal_BW#'!$A:$Z,3,FALSE)</f>
        <v>24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f>VLOOKUP($B82&amp;"__wt",'SegEnds_Xtal_BW#'!$A:$Z,14,FALSE)</f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68</v>
      </c>
      <c r="U82" s="1">
        <f t="array" ref="U82">INDEX(ICL3_classA!$H$2:$H$37,MATCH(MIN(ABS(AI82-ICL3_classA!$F$2:$F$37)),ABS(AI82-ICL3_classA!$F$2:$F$37),0))</f>
        <v>28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18</v>
      </c>
      <c r="AE82" s="1">
        <f>VLOOKUP(A82,'SegEnds_NonXtal_Prot#'!A:AL,16,FALSE)-VLOOKUP(A82,'SegEnds_NonXtal_Prot#'!A:AL,10,FALSE)</f>
        <v>50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28</v>
      </c>
      <c r="AH82" s="1">
        <f>VLOOKUP(A82,'SegEnds_NonXtal_Prot#'!A:AL,28,FALSE)-VLOOKUP(A82,'SegEnds_NonXtal_Prot#'!A:AL,22,FALSE)</f>
        <v>53</v>
      </c>
      <c r="AI82" s="1">
        <f>VLOOKUP(A82,'SegEnds_NonXtal_Prot#'!A:AL,31,FALSE)-VLOOKUP(A82,'SegEnds_NonXtal_Prot#'!A:AL,28,FALSE)</f>
        <v>44</v>
      </c>
      <c r="AJ82" s="1">
        <f>VLOOKUP(A82,'SegEnds_NonXtal_Prot#'!A:AL,34,FALSE)-VLOOKUP(A82,'SegEnds_NonXtal_Prot#'!A:AL,31,FALSE)</f>
        <v>44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Xtal</v>
      </c>
    </row>
    <row r="83" spans="1:38" x14ac:dyDescent="0.2">
      <c r="A83" s="12" t="s">
        <v>174</v>
      </c>
      <c r="B83" s="12" t="str">
        <f>VLOOKUP(A83,Xtal_Templ!B:C,2,FALSE)</f>
        <v>ccr9_human</v>
      </c>
      <c r="C83" s="13">
        <f>VLOOKUP($B83&amp;"__wt",'SegEnds_Xtal_BW#'!$A:$Z,3,FALSE)</f>
        <v>27</v>
      </c>
      <c r="D83" s="12">
        <f>VLOOKUP($B83&amp;"__wt",'SegEnds_Xtal_BW#'!$A:$Z,4,FALSE)</f>
        <v>60</v>
      </c>
      <c r="E83" s="12">
        <f>VLOOKUP($B83&amp;"__wt",'SegEnds_Xtal_BW#'!$A:$Z,5,FALSE)</f>
        <v>48</v>
      </c>
      <c r="F83" s="12">
        <f>VLOOKUP($B83&amp;"__wt",'SegEnds_Xtal_BW#'!$A:$Z,6,FALSE)</f>
        <v>51</v>
      </c>
      <c r="G83" s="12">
        <v>37</v>
      </c>
      <c r="H83" s="12">
        <v>66</v>
      </c>
      <c r="I83" s="12">
        <f>VLOOKUP($B83&amp;"__wt",'SegEnds_Xtal_BW#'!$A:$Z,9,FALSE)</f>
        <v>49</v>
      </c>
      <c r="J83" s="12">
        <f>VLOOKUP($B83&amp;"__wt",'SegEnds_Xtal_BW#'!$A:$Z,10,FALSE)</f>
        <v>52</v>
      </c>
      <c r="K83" s="12">
        <v>21</v>
      </c>
      <c r="L83" s="12">
        <f>VLOOKUP($B83&amp;"__wt",'SegEnds_Xtal_BW#'!$A:$Z,12,FALSE)</f>
        <v>56</v>
      </c>
      <c r="M83" s="12">
        <f>VLOOKUP($B83&amp;"__wt",'SegEnds_Xtal_BW#'!$A:$Z,13,FALSE)</f>
        <v>50</v>
      </c>
      <c r="N83" s="12">
        <v>58</v>
      </c>
      <c r="O83" s="87">
        <v>38</v>
      </c>
      <c r="P83" s="12">
        <f>VLOOKUP($B83&amp;"__wt",'SegEnds_Xtal_BW#'!$A:$Z,16,FALSE)</f>
        <v>64</v>
      </c>
      <c r="Q83" s="12">
        <f>VLOOKUP($B83&amp;"__wt",'SegEnds_Xtal_BW#'!$A:$Z,17,FALSE)</f>
        <v>50</v>
      </c>
      <c r="R83" s="12">
        <f>VLOOKUP($B83&amp;"__wt",'SegEnds_Xtal_BW#'!$A:$Z,18,FALSE)</f>
        <v>52</v>
      </c>
      <c r="S83" s="12">
        <f>VLOOKUP($B83&amp;"__wt",'SegEnds_Xtal_BW#'!$A:$Z,19,FALSE)</f>
        <v>33</v>
      </c>
      <c r="T83" s="12">
        <f t="array" ref="T83">INDEX(ICL3_classA!$G$2:$G$37,MATCH(MIN(ABS(AI83-ICL3_classA!$F$2:$F$37)),ABS(AI83-ICL3_classA!$F$2:$F$37),0))</f>
        <v>68</v>
      </c>
      <c r="U83" s="12">
        <f t="array" ref="U83">INDEX(ICL3_classA!$H$2:$H$37,MATCH(MIN(ABS(AI83-ICL3_classA!$F$2:$F$37)),ABS(AI83-ICL3_classA!$F$2:$F$37),0))</f>
        <v>30</v>
      </c>
      <c r="V83" s="12">
        <v>65</v>
      </c>
      <c r="W83" s="12">
        <v>24</v>
      </c>
      <c r="X83" s="12">
        <f>VLOOKUP($B83&amp;"__wt",'SegEnds_Xtal_BW#'!$A:$Z,24,FALSE)</f>
        <v>56</v>
      </c>
      <c r="Y83" s="12">
        <f>VLOOKUP($B83&amp;"__wt",'SegEnds_Xtal_BW#'!$A:$Z,25,FALSE)</f>
        <v>47</v>
      </c>
      <c r="Z83" s="12">
        <f>VLOOKUP($B83&amp;"__wt",'SegEnds_Xtal_BW#'!$A:$Z,26,FALSE)</f>
        <v>67</v>
      </c>
      <c r="AA83" s="36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2">
        <f>VLOOKUP(A83,'SegEnds_NonXtal_Prot#'!A:AL,10,FALSE)-VLOOKUP(A83,'SegEnds_NonXtal_Prot#'!A:AL,7,FALSE)</f>
        <v>15</v>
      </c>
      <c r="AD83" s="12">
        <f>VLOOKUP(A83,'SegEnds_NonXtal_Prot#'!A:AL,13,FALSE)-VLOOKUP(A83,'SegEnds_NonXtal_Prot#'!A:AL,10,FALSE)</f>
        <v>19</v>
      </c>
      <c r="AE83" s="12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22</v>
      </c>
      <c r="AG83" s="12">
        <f>VLOOKUP(A83,'SegEnds_NonXtal_Prot#'!A:AL,28,FALSE)-VLOOKUP(A83,'SegEnds_NonXtal_Prot#'!A:AL,25,FALSE)</f>
        <v>29</v>
      </c>
      <c r="AH83" s="1">
        <f>VLOOKUP(A83,'SegEnds_NonXtal_Prot#'!A:AL,28,FALSE)-VLOOKUP(A83,'SegEnds_NonXtal_Prot#'!A:AL,22,FALSE)</f>
        <v>54</v>
      </c>
      <c r="AI83" s="12">
        <f>VLOOKUP(A83,'SegEnds_NonXtal_Prot#'!A:AL,31,FALSE)-VLOOKUP(A83,'SegEnds_NonXtal_Prot#'!A:AL,28,FALSE)</f>
        <v>43</v>
      </c>
      <c r="AJ83" s="12">
        <f>VLOOKUP(A83,'SegEnds_NonXtal_Prot#'!A:AL,34,FALSE)-VLOOKUP(A83,'SegEnds_NonXtal_Prot#'!A:AL,31,FALSE)</f>
        <v>44</v>
      </c>
      <c r="AK83" s="1">
        <f>VLOOKUP(A83,'SegEnds_NonXtal_Prot#'!A:AL,37,FALSE)-VLOOKUP(A83,'SegEnds_NonXtal_Prot#'!A:AL,34,FALSE)</f>
        <v>10</v>
      </c>
      <c r="AL83" s="12" t="str">
        <f>IF(ISERROR(MATCH(A83,'SegEnds_Xtal_Prot#'!B:B, 0)), "NoXtal", "Xtal")</f>
        <v>NoXtal</v>
      </c>
    </row>
    <row r="84" spans="1:38" x14ac:dyDescent="0.2">
      <c r="A84" s="12" t="s">
        <v>175</v>
      </c>
      <c r="B84" s="12" t="str">
        <f>VLOOKUP(A84,Xtal_Templ!B:C,2,FALSE)</f>
        <v>ccr9_human</v>
      </c>
      <c r="C84" s="13">
        <f>VLOOKUP($B84&amp;"__wt",'SegEnds_Xtal_BW#'!$A:$Z,3,FALSE)</f>
        <v>27</v>
      </c>
      <c r="D84" s="12">
        <f>VLOOKUP($B84&amp;"__wt",'SegEnds_Xtal_BW#'!$A:$Z,4,FALSE)</f>
        <v>60</v>
      </c>
      <c r="E84" s="12">
        <f>VLOOKUP($B84&amp;"__wt",'SegEnds_Xtal_BW#'!$A:$Z,5,FALSE)</f>
        <v>48</v>
      </c>
      <c r="F84" s="12">
        <f>VLOOKUP($B84&amp;"__wt",'SegEnds_Xtal_BW#'!$A:$Z,6,FALSE)</f>
        <v>51</v>
      </c>
      <c r="G84" s="12">
        <v>37</v>
      </c>
      <c r="H84" s="12">
        <v>66</v>
      </c>
      <c r="I84" s="12">
        <f>VLOOKUP($B84&amp;"__wt",'SegEnds_Xtal_BW#'!$A:$Z,9,FALSE)</f>
        <v>49</v>
      </c>
      <c r="J84" s="12">
        <f>VLOOKUP($B84&amp;"__wt",'SegEnds_Xtal_BW#'!$A:$Z,10,FALSE)</f>
        <v>52</v>
      </c>
      <c r="K84" s="12">
        <v>24</v>
      </c>
      <c r="L84" s="12">
        <f>VLOOKUP($B84&amp;"__wt",'SegEnds_Xtal_BW#'!$A:$Z,12,FALSE)</f>
        <v>56</v>
      </c>
      <c r="M84" s="12">
        <f>VLOOKUP($B84&amp;"__wt",'SegEnds_Xtal_BW#'!$A:$Z,13,FALSE)</f>
        <v>50</v>
      </c>
      <c r="N84" s="12">
        <v>58</v>
      </c>
      <c r="O84" s="87">
        <v>38</v>
      </c>
      <c r="P84" s="12">
        <f>VLOOKUP($B84&amp;"__wt",'SegEnds_Xtal_BW#'!$A:$Z,16,FALSE)</f>
        <v>64</v>
      </c>
      <c r="Q84" s="12">
        <f>VLOOKUP($B84&amp;"__wt",'SegEnds_Xtal_BW#'!$A:$Z,17,FALSE)</f>
        <v>50</v>
      </c>
      <c r="R84" s="12">
        <f>VLOOKUP($B84&amp;"__wt",'SegEnds_Xtal_BW#'!$A:$Z,18,FALSE)</f>
        <v>52</v>
      </c>
      <c r="S84" s="12">
        <f>VLOOKUP($B84&amp;"__wt",'SegEnds_Xtal_BW#'!$A:$Z,19,FALSE)</f>
        <v>33</v>
      </c>
      <c r="T84" s="12">
        <f t="array" ref="T84">INDEX(ICL3_classA!$G$2:$G$37,MATCH(MIN(ABS(AI84-ICL3_classA!$F$2:$F$37)),ABS(AI84-ICL3_classA!$F$2:$F$37),0))</f>
        <v>68</v>
      </c>
      <c r="U84" s="12">
        <f t="array" ref="U84">INDEX(ICL3_classA!$H$2:$H$37,MATCH(MIN(ABS(AI84-ICL3_classA!$F$2:$F$37)),ABS(AI84-ICL3_classA!$F$2:$F$37),0))</f>
        <v>30</v>
      </c>
      <c r="V84" s="12">
        <v>65</v>
      </c>
      <c r="W84" s="12">
        <v>24</v>
      </c>
      <c r="X84" s="12">
        <f>VLOOKUP($B84&amp;"__wt",'SegEnds_Xtal_BW#'!$A:$Z,24,FALSE)</f>
        <v>56</v>
      </c>
      <c r="Y84" s="12">
        <f>VLOOKUP($B84&amp;"__wt",'SegEnds_Xtal_BW#'!$A:$Z,25,FALSE)</f>
        <v>47</v>
      </c>
      <c r="Z84" s="12">
        <f>VLOOKUP($B84&amp;"__wt",'SegEnds_Xtal_BW#'!$A:$Z,26,FALSE)</f>
        <v>67</v>
      </c>
      <c r="AA84" s="36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2">
        <f>VLOOKUP(A84,'SegEnds_NonXtal_Prot#'!A:AL,10,FALSE)-VLOOKUP(A84,'SegEnds_NonXtal_Prot#'!A:AL,7,FALSE)</f>
        <v>15</v>
      </c>
      <c r="AD84" s="12">
        <f>VLOOKUP(A84,'SegEnds_NonXtal_Prot#'!A:AL,13,FALSE)-VLOOKUP(A84,'SegEnds_NonXtal_Prot#'!A:AL,10,FALSE)</f>
        <v>18</v>
      </c>
      <c r="AE84" s="12">
        <f>VLOOKUP(A84,'SegEnds_NonXtal_Prot#'!A:AL,16,FALSE)-VLOOKUP(A84,'SegEnds_NonXtal_Prot#'!A:AL,10,FALSE)</f>
        <v>50</v>
      </c>
      <c r="AF84" s="1">
        <f>VLOOKUP(A84,'SegEnds_NonXtal_Prot#'!A:AL,22,FALSE)-VLOOKUP(A84,'SegEnds_NonXtal_Prot#'!A:AL,19,FALSE)</f>
        <v>22</v>
      </c>
      <c r="AG84" s="12">
        <f>VLOOKUP(A84,'SegEnds_NonXtal_Prot#'!A:AL,28,FALSE)-VLOOKUP(A84,'SegEnds_NonXtal_Prot#'!A:AL,25,FALSE)</f>
        <v>25</v>
      </c>
      <c r="AH84" s="1">
        <f>VLOOKUP(A84,'SegEnds_NonXtal_Prot#'!A:AL,28,FALSE)-VLOOKUP(A84,'SegEnds_NonXtal_Prot#'!A:AL,22,FALSE)</f>
        <v>52</v>
      </c>
      <c r="AI84" s="12">
        <f>VLOOKUP(A84,'SegEnds_NonXtal_Prot#'!A:AL,31,FALSE)-VLOOKUP(A84,'SegEnds_NonXtal_Prot#'!A:AL,28,FALSE)</f>
        <v>43</v>
      </c>
      <c r="AJ84" s="12">
        <f>VLOOKUP(A84,'SegEnds_NonXtal_Prot#'!A:AL,34,FALSE)-VLOOKUP(A84,'SegEnds_NonXtal_Prot#'!A:AL,31,FALSE)</f>
        <v>45</v>
      </c>
      <c r="AK84" s="1">
        <f>VLOOKUP(A84,'SegEnds_NonXtal_Prot#'!A:AL,37,FALSE)-VLOOKUP(A84,'SegEnds_NonXtal_Prot#'!A:AL,34,FALSE)</f>
        <v>10</v>
      </c>
      <c r="AL84" s="12" t="str">
        <f>IF(ISERROR(MATCH(A84,'SegEnds_Xtal_Prot#'!B:B, 0)), "NoXtal", "Xtal")</f>
        <v>NoXtal</v>
      </c>
    </row>
    <row r="85" spans="1:38" x14ac:dyDescent="0.2">
      <c r="A85" s="1" t="s">
        <v>176</v>
      </c>
      <c r="B85" s="1" t="str">
        <f>VLOOKUP(A85,Xtal_Templ!B:C,2,FALSE)</f>
        <v>ccr5_human</v>
      </c>
      <c r="C85" s="5">
        <f>VLOOKUP($B85&amp;"__wt",'SegEnds_Xtal_BW#'!$A:$Z,3,FALSE)</f>
        <v>24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24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30</v>
      </c>
      <c r="T85" s="1">
        <f t="array" ref="T85">INDEX(ICL3_classA!$G$2:$G$37,MATCH(MIN(ABS(AI85-ICL3_classA!$F$2:$F$37)),ABS(AI85-ICL3_classA!$F$2:$F$37),0))</f>
        <v>68</v>
      </c>
      <c r="U85" s="1">
        <f t="array" ref="U85">INDEX(ICL3_classA!$H$2:$H$37,MATCH(MIN(ABS(AI85-ICL3_classA!$F$2:$F$37)),ABS(AI85-ICL3_classA!$F$2:$F$37),0))</f>
        <v>30</v>
      </c>
      <c r="V85" s="1">
        <v>65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50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43</v>
      </c>
      <c r="AJ85" s="1">
        <f>VLOOKUP(A85,'SegEnds_NonXtal_Prot#'!A:AL,34,FALSE)-VLOOKUP(A85,'SegEnds_NonXtal_Prot#'!A:AL,31,FALSE)</f>
        <v>44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2" t="s">
        <v>177</v>
      </c>
      <c r="B86" s="12" t="str">
        <f>VLOOKUP(A86,Xtal_Templ!B:C,2,FALSE)</f>
        <v>ccr9_human</v>
      </c>
      <c r="C86" s="13">
        <f>VLOOKUP($B86&amp;"__wt",'SegEnds_Xtal_BW#'!$A:$Z,3,FALSE)</f>
        <v>27</v>
      </c>
      <c r="D86" s="12">
        <f>VLOOKUP($B86&amp;"__wt",'SegEnds_Xtal_BW#'!$A:$Z,4,FALSE)</f>
        <v>60</v>
      </c>
      <c r="E86" s="12">
        <f>VLOOKUP($B86&amp;"__wt",'SegEnds_Xtal_BW#'!$A:$Z,5,FALSE)</f>
        <v>48</v>
      </c>
      <c r="F86" s="12">
        <f>VLOOKUP($B86&amp;"__wt",'SegEnds_Xtal_BW#'!$A:$Z,6,FALSE)</f>
        <v>51</v>
      </c>
      <c r="G86" s="12">
        <v>37</v>
      </c>
      <c r="H86" s="12">
        <v>66</v>
      </c>
      <c r="I86" s="12">
        <f>VLOOKUP($B86&amp;"__wt",'SegEnds_Xtal_BW#'!$A:$Z,9,FALSE)</f>
        <v>49</v>
      </c>
      <c r="J86" s="12">
        <f>VLOOKUP($B86&amp;"__wt",'SegEnds_Xtal_BW#'!$A:$Z,10,FALSE)</f>
        <v>52</v>
      </c>
      <c r="K86" s="12">
        <v>24</v>
      </c>
      <c r="L86" s="12">
        <f>VLOOKUP($B86&amp;"__wt",'SegEnds_Xtal_BW#'!$A:$Z,12,FALSE)</f>
        <v>56</v>
      </c>
      <c r="M86" s="12">
        <f>VLOOKUP($B86&amp;"__wt",'SegEnds_Xtal_BW#'!$A:$Z,13,FALSE)</f>
        <v>50</v>
      </c>
      <c r="N86" s="12">
        <f>VLOOKUP($B86&amp;"__wt",'SegEnds_Xtal_BW#'!$A:$Z,14,FALSE)</f>
        <v>56</v>
      </c>
      <c r="O86" s="87">
        <f>VLOOKUP($B86&amp;"__wt",'SegEnds_Xtal_BW#'!$A:$Z,15,FALSE)</f>
        <v>35</v>
      </c>
      <c r="P86" s="12">
        <f>VLOOKUP($B86&amp;"__wt",'SegEnds_Xtal_BW#'!$A:$Z,16,FALSE)</f>
        <v>64</v>
      </c>
      <c r="Q86" s="12">
        <f>VLOOKUP($B86&amp;"__wt",'SegEnds_Xtal_BW#'!$A:$Z,17,FALSE)</f>
        <v>50</v>
      </c>
      <c r="R86" s="12">
        <f>VLOOKUP($B86&amp;"__wt",'SegEnds_Xtal_BW#'!$A:$Z,18,FALSE)</f>
        <v>52</v>
      </c>
      <c r="S86" s="12">
        <f>VLOOKUP($B86&amp;"__wt",'SegEnds_Xtal_BW#'!$A:$Z,19,FALSE)</f>
        <v>33</v>
      </c>
      <c r="T86" s="12">
        <f t="array" ref="T86">INDEX(ICL3_classA!$G$2:$G$37,MATCH(MIN(ABS(AI86-ICL3_classA!$F$2:$F$37)),ABS(AI86-ICL3_classA!$F$2:$F$37),0))</f>
        <v>68</v>
      </c>
      <c r="U86" s="12">
        <f t="array" ref="U86">INDEX(ICL3_classA!$H$2:$H$37,MATCH(MIN(ABS(AI86-ICL3_classA!$F$2:$F$37)),ABS(AI86-ICL3_classA!$F$2:$F$37),0))</f>
        <v>30</v>
      </c>
      <c r="V86" s="12">
        <v>65</v>
      </c>
      <c r="W86" s="12">
        <v>24</v>
      </c>
      <c r="X86" s="12">
        <f>VLOOKUP($B86&amp;"__wt",'SegEnds_Xtal_BW#'!$A:$Z,24,FALSE)</f>
        <v>56</v>
      </c>
      <c r="Y86" s="12">
        <f>VLOOKUP($B86&amp;"__wt",'SegEnds_Xtal_BW#'!$A:$Z,25,FALSE)</f>
        <v>47</v>
      </c>
      <c r="Z86" s="12">
        <f>VLOOKUP($B86&amp;"__wt",'SegEnds_Xtal_BW#'!$A:$Z,26,FALSE)</f>
        <v>67</v>
      </c>
      <c r="AA86" s="36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2">
        <f>VLOOKUP(A86,'SegEnds_NonXtal_Prot#'!A:AL,10,FALSE)-VLOOKUP(A86,'SegEnds_NonXtal_Prot#'!A:AL,7,FALSE)</f>
        <v>15</v>
      </c>
      <c r="AD86" s="12">
        <f>VLOOKUP(A86,'SegEnds_NonXtal_Prot#'!A:AL,13,FALSE)-VLOOKUP(A86,'SegEnds_NonXtal_Prot#'!A:AL,10,FALSE)</f>
        <v>18</v>
      </c>
      <c r="AE86" s="12">
        <f>VLOOKUP(A86,'SegEnds_NonXtal_Prot#'!A:AL,16,FALSE)-VLOOKUP(A86,'SegEnds_NonXtal_Prot#'!A:AL,10,FALSE)</f>
        <v>50</v>
      </c>
      <c r="AF86" s="1">
        <f>VLOOKUP(A86,'SegEnds_NonXtal_Prot#'!A:AL,22,FALSE)-VLOOKUP(A86,'SegEnds_NonXtal_Prot#'!A:AL,19,FALSE)</f>
        <v>22</v>
      </c>
      <c r="AG86" s="12">
        <f>VLOOKUP(A86,'SegEnds_NonXtal_Prot#'!A:AL,28,FALSE)-VLOOKUP(A86,'SegEnds_NonXtal_Prot#'!A:AL,25,FALSE)</f>
        <v>28</v>
      </c>
      <c r="AH86" s="1">
        <f>VLOOKUP(A86,'SegEnds_NonXtal_Prot#'!A:AL,28,FALSE)-VLOOKUP(A86,'SegEnds_NonXtal_Prot#'!A:AL,22,FALSE)</f>
        <v>53</v>
      </c>
      <c r="AI86" s="12">
        <f>VLOOKUP(A86,'SegEnds_NonXtal_Prot#'!A:AL,31,FALSE)-VLOOKUP(A86,'SegEnds_NonXtal_Prot#'!A:AL,28,FALSE)</f>
        <v>43</v>
      </c>
      <c r="AJ86" s="12">
        <f>VLOOKUP(A86,'SegEnds_NonXtal_Prot#'!A:AL,34,FALSE)-VLOOKUP(A86,'SegEnds_NonXtal_Prot#'!A:AL,31,FALSE)</f>
        <v>45</v>
      </c>
      <c r="AK86" s="1">
        <f>VLOOKUP(A86,'SegEnds_NonXtal_Prot#'!A:AL,37,FALSE)-VLOOKUP(A86,'SegEnds_NonXtal_Prot#'!A:AL,34,FALSE)</f>
        <v>10</v>
      </c>
      <c r="AL86" s="12" t="str">
        <f>IF(ISERROR(MATCH(A86,'SegEnds_Xtal_Prot#'!B:B, 0)), "NoXtal", "Xtal")</f>
        <v>Xtal</v>
      </c>
    </row>
    <row r="87" spans="1:38" x14ac:dyDescent="0.2">
      <c r="A87" s="1" t="s">
        <v>178</v>
      </c>
      <c r="B87" s="1" t="str">
        <f>VLOOKUP(A87,Xtal_Templ!B:C,2,FALSE)</f>
        <v>ccr5_human</v>
      </c>
      <c r="C87" s="5">
        <f>VLOOKUP($B87&amp;"__wt",'SegEnds_Xtal_BW#'!$A:$Z,3,FALSE)</f>
        <v>24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63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26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58</v>
      </c>
      <c r="O87" s="87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30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30</v>
      </c>
      <c r="V87" s="1">
        <v>64</v>
      </c>
      <c r="W87" s="1">
        <v>24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 t="e">
        <f>VLOOKUP(A87,'SegEnds_NonXtal_Prot#'!A:AL,13,FALSE)-VLOOKUP(A87,'SegEnds_NonXtal_Prot#'!A:AL,10,FALSE)</f>
        <v>#VALUE!</v>
      </c>
      <c r="AE87" s="1">
        <f>VLOOKUP(A87,'SegEnds_NonXtal_Prot#'!A:AL,16,FALSE)-VLOOKUP(A87,'SegEnds_NonXtal_Prot#'!A:AL,10,FALSE)</f>
        <v>44</v>
      </c>
      <c r="AF87" s="1">
        <f>VLOOKUP(A87,'SegEnds_NonXtal_Prot#'!A:AL,22,FALSE)-VLOOKUP(A87,'SegEnds_NonXtal_Prot#'!A:AL,19,FALSE)</f>
        <v>21</v>
      </c>
      <c r="AG87" s="1">
        <f>VLOOKUP(A87,'SegEnds_NonXtal_Prot#'!A:AL,28,FALSE)-VLOOKUP(A87,'SegEnds_NonXtal_Prot#'!A:AL,25,FALSE)</f>
        <v>31</v>
      </c>
      <c r="AH87" s="1">
        <f>VLOOKUP(A87,'SegEnds_NonXtal_Prot#'!A:AL,28,FALSE)-VLOOKUP(A87,'SegEnds_NonXtal_Prot#'!A:AL,22,FALSE)</f>
        <v>56</v>
      </c>
      <c r="AI87" s="1">
        <f>VLOOKUP(A87,'SegEnds_NonXtal_Prot#'!A:AL,31,FALSE)-VLOOKUP(A87,'SegEnds_NonXtal_Prot#'!A:AL,28,FALSE)</f>
        <v>41</v>
      </c>
      <c r="AJ87" s="1">
        <f>VLOOKUP(A87,'SegEnds_NonXtal_Prot#'!A:AL,34,FALSE)-VLOOKUP(A87,'SegEnds_NonXtal_Prot#'!A:AL,31,FALSE)</f>
        <v>44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179</v>
      </c>
      <c r="B88" s="1" t="str">
        <f>VLOOKUP(A88,Xtal_Templ!B:C,2,FALSE)</f>
        <v>ptafr_human</v>
      </c>
      <c r="C88" s="5">
        <f>VLOOKUP($B88&amp;"__wt",'SegEnds_Xtal_BW#'!$A:$Z,3,FALSE)</f>
        <v>27</v>
      </c>
      <c r="D88" s="1">
        <f>VLOOKUP($B88&amp;"__wt",'SegEnds_Xtal_BW#'!$A:$Z,4,FALSE)</f>
        <v>61</v>
      </c>
      <c r="E88" s="1" t="str">
        <f>VLOOKUP($B88&amp;"__wt",'SegEnds_Xtal_BW#'!$A:$Z,5,FALSE)</f>
        <v>-</v>
      </c>
      <c r="F88" s="1" t="str">
        <f>VLOOKUP($B88&amp;"__wt",'SegEnds_Xtal_BW#'!$A:$Z,6,FALSE)</f>
        <v>-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f>VLOOKUP($B88&amp;"__wt",'SegEnds_Xtal_BW#'!$A:$Z,15,FALSE)</f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33</v>
      </c>
      <c r="T88" s="1">
        <f t="array" ref="T88">INDEX(ICL3_classA!$G$2:$G$37,MATCH(MIN(ABS(AI88-ICL3_classA!$F$2:$F$37)),ABS(AI88-ICL3_classA!$F$2:$F$37),0))</f>
        <v>67</v>
      </c>
      <c r="U88" s="1">
        <f t="array" ref="U88">INDEX(ICL3_classA!$H$2:$H$37,MATCH(MIN(ABS(AI88-ICL3_classA!$F$2:$F$37)),ABS(AI88-ICL3_classA!$F$2:$F$37),0))</f>
        <v>26</v>
      </c>
      <c r="V88" s="1">
        <v>64</v>
      </c>
      <c r="W88" s="1">
        <v>24</v>
      </c>
      <c r="X88" s="1">
        <f>VLOOKUP($B88&amp;"__wt",'SegEnds_Xtal_BW#'!$A:$Z,24,FALSE)</f>
        <v>59</v>
      </c>
      <c r="Y88" s="1">
        <f>VLOOKUP($B88&amp;"__wt",'SegEnds_Xtal_BW#'!$A:$Z,25,FALSE)</f>
        <v>50</v>
      </c>
      <c r="Z88" s="1">
        <f>VLOOKUP($B88&amp;"__wt",'SegEnds_Xtal_BW#'!$A:$Z,26,FALSE)</f>
        <v>63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 t="e">
        <f>VLOOKUP(A88,'SegEnds_NonXtal_Prot#'!A:AL,10,FALSE)-VLOOKUP(A88,'SegEnds_NonXtal_Prot#'!A:AL,7,FALSE)</f>
        <v>#VALUE!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28</v>
      </c>
      <c r="AH88" s="1">
        <f>VLOOKUP(A88,'SegEnds_NonXtal_Prot#'!A:AL,28,FALSE)-VLOOKUP(A88,'SegEnds_NonXtal_Prot#'!A:AL,22,FALSE)</f>
        <v>53</v>
      </c>
      <c r="AI88" s="1">
        <f>VLOOKUP(A88,'SegEnds_NonXtal_Prot#'!A:AL,31,FALSE)-VLOOKUP(A88,'SegEnds_NonXtal_Prot#'!A:AL,28,FALSE)</f>
        <v>47</v>
      </c>
      <c r="AJ88" s="1">
        <f>VLOOKUP(A88,'SegEnds_NonXtal_Prot#'!A:AL,34,FALSE)-VLOOKUP(A88,'SegEnds_NonXtal_Prot#'!A:AL,31,FALSE)</f>
        <v>44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180</v>
      </c>
      <c r="B89" s="1" t="str">
        <f>VLOOKUP(A89,Xtal_Templ!B:C,2,FALSE)</f>
        <v>p2ry1_human</v>
      </c>
      <c r="C89" s="5">
        <f>VLOOKUP($B89&amp;"__wt",'SegEnds_Xtal_BW#'!$A:$Z,3,FALSE)</f>
        <v>30</v>
      </c>
      <c r="D89" s="1">
        <f>VLOOKUP($B89&amp;"__wt",'SegEnds_Xtal_BW#'!$A:$Z,4,FALSE)</f>
        <v>60</v>
      </c>
      <c r="E89" s="1" t="str">
        <f>VLOOKUP($B89&amp;"__wt",'SegEnds_Xtal_BW#'!$A:$Z,5,FALSE)</f>
        <v>-</v>
      </c>
      <c r="F89" s="1" t="str">
        <f>VLOOKUP($B89&amp;"__wt",'SegEnds_Xtal_BW#'!$A:$Z,6,FALSE)</f>
        <v>-</v>
      </c>
      <c r="G89" s="1">
        <v>37</v>
      </c>
      <c r="H89" s="12">
        <f>VLOOKUP($B89&amp;"__wt",'SegEnds_Xtal_BW#'!$A:$Z,8,FALSE)</f>
        <v>66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64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32</v>
      </c>
      <c r="T89" s="1">
        <f t="array" ref="T89">INDEX(ICL3_classA!$G$2:$G$37,MATCH(MIN(ABS(AI89-ICL3_classA!$F$2:$F$37)),ABS(AI89-ICL3_classA!$F$2:$F$37),0))</f>
        <v>68</v>
      </c>
      <c r="U89" s="1">
        <f t="array" ref="U89">INDEX(ICL3_classA!$H$2:$H$37,MATCH(MIN(ABS(AI89-ICL3_classA!$F$2:$F$37)),ABS(AI89-ICL3_classA!$F$2:$F$37),0))</f>
        <v>24</v>
      </c>
      <c r="V89" s="1">
        <v>61</v>
      </c>
      <c r="W89" s="1">
        <v>28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 t="e">
        <f>VLOOKUP(A89,'SegEnds_NonXtal_Prot#'!A:AL,10,FALSE)-VLOOKUP(A89,'SegEnds_NonXtal_Prot#'!A:AL,7,FALSE)</f>
        <v>#VALUE!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50</v>
      </c>
      <c r="AI89" s="1">
        <f>VLOOKUP(A89,'SegEnds_NonXtal_Prot#'!A:AL,31,FALSE)-VLOOKUP(A89,'SegEnds_NonXtal_Prot#'!A:AL,28,FALSE)</f>
        <v>49</v>
      </c>
      <c r="AJ89" s="1">
        <f>VLOOKUP(A89,'SegEnds_NonXtal_Prot#'!A:AL,34,FALSE)-VLOOKUP(A89,'SegEnds_NonXtal_Prot#'!A:AL,31,FALSE)</f>
        <v>40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184</v>
      </c>
      <c r="B90" s="1" t="str">
        <f>VLOOKUP(A90,Xtal_Templ!B:C,2,FALSE)</f>
        <v>ccr2_human</v>
      </c>
      <c r="C90" s="5">
        <f>VLOOKUP($B90&amp;"__wt",'SegEnds_Xtal_BW#'!$A:$Z,3,FALSE)</f>
        <v>27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31</v>
      </c>
      <c r="T90" s="1">
        <f t="array" ref="T90">INDEX(ICL3_classA!$G$2:$G$37,MATCH(MIN(ABS(AI90-ICL3_classA!$F$2:$F$37)),ABS(AI90-ICL3_classA!$F$2:$F$37),0))</f>
        <v>68</v>
      </c>
      <c r="U90" s="1">
        <f t="array" ref="U90">INDEX(ICL3_classA!$H$2:$H$37,MATCH(MIN(ABS(AI90-ICL3_classA!$F$2:$F$37)),ABS(AI90-ICL3_classA!$F$2:$F$37),0))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 t="e">
        <f>VLOOKUP(A90,'SegEnds_NonXtal_Prot#'!A:AL,13,FALSE)-VLOOKUP(A90,'SegEnds_NonXtal_Prot#'!A:AL,10,FALSE)</f>
        <v>#VALUE!</v>
      </c>
      <c r="AE90" s="1">
        <f>VLOOKUP(A90,'SegEnds_NonXtal_Prot#'!A:AL,16,FALSE)-VLOOKUP(A90,'SegEnds_NonXtal_Prot#'!A:AL,10,FALSE)</f>
        <v>50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49</v>
      </c>
      <c r="AI90" s="1">
        <f>VLOOKUP(A90,'SegEnds_NonXtal_Prot#'!A:AL,31,FALSE)-VLOOKUP(A90,'SegEnds_NonXtal_Prot#'!A:AL,28,FALSE)</f>
        <v>43</v>
      </c>
      <c r="AJ90" s="1">
        <f>VLOOKUP(A90,'SegEnds_NonXtal_Prot#'!A:AL,34,FALSE)-VLOOKUP(A90,'SegEnds_NonXtal_Prot#'!A:AL,31,FALSE)</f>
        <v>44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185</v>
      </c>
      <c r="B91" s="1" t="str">
        <f>VLOOKUP(A91,Xtal_Templ!B:C,2,FALSE)</f>
        <v>ccr2_human</v>
      </c>
      <c r="C91" s="5">
        <f>VLOOKUP($B91&amp;"__wt",'SegEnds_Xtal_BW#'!$A:$Z,3,FALSE)</f>
        <v>27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31</v>
      </c>
      <c r="T91" s="1">
        <f t="array" ref="T91">INDEX(ICL3_classA!$G$2:$G$37,MATCH(MIN(ABS(AI91-ICL3_classA!$F$2:$F$37)),ABS(AI91-ICL3_classA!$F$2:$F$37),0))</f>
        <v>68</v>
      </c>
      <c r="U91" s="1">
        <f t="array" ref="U91">INDEX(ICL3_classA!$H$2:$H$37,MATCH(MIN(ABS(AI91-ICL3_classA!$F$2:$F$37)),ABS(AI91-ICL3_classA!$F$2:$F$37),0))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18</v>
      </c>
      <c r="AE91" s="1">
        <f>VLOOKUP(A91,'SegEnds_NonXtal_Prot#'!A:AL,16,FALSE)-VLOOKUP(A91,'SegEnds_NonXtal_Prot#'!A:AL,10,FALSE)</f>
        <v>50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27</v>
      </c>
      <c r="AH91" s="1">
        <f>VLOOKUP(A91,'SegEnds_NonXtal_Prot#'!A:AL,28,FALSE)-VLOOKUP(A91,'SegEnds_NonXtal_Prot#'!A:AL,22,FALSE)</f>
        <v>53</v>
      </c>
      <c r="AI91" s="1">
        <f>VLOOKUP(A91,'SegEnds_NonXtal_Prot#'!A:AL,31,FALSE)-VLOOKUP(A91,'SegEnds_NonXtal_Prot#'!A:AL,28,FALSE)</f>
        <v>43</v>
      </c>
      <c r="AJ91" s="1">
        <f>VLOOKUP(A91,'SegEnds_NonXtal_Prot#'!A:AL,34,FALSE)-VLOOKUP(A91,'SegEnds_NonXtal_Prot#'!A:AL,31,FALSE)</f>
        <v>45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186</v>
      </c>
      <c r="B92" s="1" t="str">
        <f>VLOOKUP(A92,Xtal_Templ!B:C,2,FALSE)</f>
        <v>ccr9_human</v>
      </c>
      <c r="C92" s="5">
        <f>VLOOKUP($B92&amp;"__wt",'SegEnds_Xtal_BW#'!$A:$Z,3,FALSE)</f>
        <v>27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v>56</v>
      </c>
      <c r="O92" s="108"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33</v>
      </c>
      <c r="T92" s="1">
        <f t="array" ref="T92">INDEX(ICL3_classA!$G$2:$G$37,MATCH(MIN(ABS(AI92-ICL3_classA!$F$2:$F$37)),ABS(AI92-ICL3_classA!$F$2:$F$37),0))</f>
        <v>68</v>
      </c>
      <c r="U92" s="1">
        <f t="array" ref="U92">INDEX(ICL3_classA!$H$2:$H$37,MATCH(MIN(ABS(AI92-ICL3_classA!$F$2:$F$37)),ABS(AI92-ICL3_classA!$F$2:$F$37),0))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67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18</v>
      </c>
      <c r="AE92" s="1">
        <f>VLOOKUP(A92,'SegEnds_NonXtal_Prot#'!A:AL,16,FALSE)-VLOOKUP(A92,'SegEnds_NonXtal_Prot#'!A:AL,10,FALSE)</f>
        <v>50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27</v>
      </c>
      <c r="AH92" s="1">
        <f>VLOOKUP(A92,'SegEnds_NonXtal_Prot#'!A:AL,28,FALSE)-VLOOKUP(A92,'SegEnds_NonXtal_Prot#'!A:AL,22,FALSE)</f>
        <v>53</v>
      </c>
      <c r="AI92" s="1">
        <f>VLOOKUP(A92,'SegEnds_NonXtal_Prot#'!A:AL,31,FALSE)-VLOOKUP(A92,'SegEnds_NonXtal_Prot#'!A:AL,28,FALSE)</f>
        <v>43</v>
      </c>
      <c r="AJ92" s="1">
        <f>VLOOKUP(A92,'SegEnds_NonXtal_Prot#'!A:AL,34,FALSE)-VLOOKUP(A92,'SegEnds_NonXtal_Prot#'!A:AL,31,FALSE)</f>
        <v>45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187</v>
      </c>
      <c r="B93" s="1" t="str">
        <f>VLOOKUP(A93,Xtal_Templ!B:C,2,FALSE)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INDEX(ICL3_classA!$G$2:$G$37,MATCH(MIN(ABS(AI93-ICL3_classA!$F$2:$F$37)),ABS(AI93-ICL3_classA!$F$2:$F$37),0))</f>
        <v>68</v>
      </c>
      <c r="U93" s="1">
        <f t="array" ref="U93">INDEX(ICL3_classA!$H$2:$H$37,MATCH(MIN(ABS(AI93-ICL3_classA!$F$2:$F$37)),ABS(AI93-ICL3_classA!$F$2:$F$37),0))</f>
        <v>30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18</v>
      </c>
      <c r="AE93" s="1">
        <f>VLOOKUP(A93,'SegEnds_NonXtal_Prot#'!A:AL,16,FALSE)-VLOOKUP(A93,'SegEnds_NonXtal_Prot#'!A:AL,10,FALSE)</f>
        <v>50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51</v>
      </c>
      <c r="AI93" s="1">
        <f>VLOOKUP(A93,'SegEnds_NonXtal_Prot#'!A:AL,31,FALSE)-VLOOKUP(A93,'SegEnds_NonXtal_Prot#'!A:AL,28,FALSE)</f>
        <v>43</v>
      </c>
      <c r="AJ93" s="1">
        <f>VLOOKUP(A93,'SegEnds_NonXtal_Prot#'!A:AL,34,FALSE)-VLOOKUP(A93,'SegEnds_NonXtal_Prot#'!A:AL,31,FALSE)</f>
        <v>45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1172</v>
      </c>
      <c r="B94" s="1" t="str">
        <f>VLOOKUP(A94,Xtal_Templ!B:C,2,FALSE)</f>
        <v>cxcr4_human</v>
      </c>
      <c r="C94" s="5">
        <f>VLOOKUP($B94&amp;"__wt",'SegEnds_Xtal_BW#'!$A:$Z,3,FALSE)</f>
        <v>24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24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68</v>
      </c>
      <c r="U94" s="1">
        <f t="array" ref="U94">INDEX(ICL3_classA!$H$2:$H$37,MATCH(MIN(ABS(AI94-ICL3_classA!$F$2:$F$37)),ABS(AI94-ICL3_classA!$F$2:$F$37),0))</f>
        <v>30</v>
      </c>
      <c r="V94" s="1">
        <v>64</v>
      </c>
      <c r="W94" s="1">
        <v>24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18</v>
      </c>
      <c r="AE94" s="1">
        <f>VLOOKUP(A94,'SegEnds_NonXtal_Prot#'!A:AL,16,FALSE)-VLOOKUP(A94,'SegEnds_NonXtal_Prot#'!A:AL,10,FALSE)</f>
        <v>50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25</v>
      </c>
      <c r="AH94" s="1">
        <f>VLOOKUP(A94,'SegEnds_NonXtal_Prot#'!A:AL,28,FALSE)-VLOOKUP(A94,'SegEnds_NonXtal_Prot#'!A:AL,22,FALSE)</f>
        <v>50</v>
      </c>
      <c r="AI94" s="1">
        <f>VLOOKUP(A94,'SegEnds_NonXtal_Prot#'!A:AL,31,FALSE)-VLOOKUP(A94,'SegEnds_NonXtal_Prot#'!A:AL,28,FALSE)</f>
        <v>43</v>
      </c>
      <c r="AJ94" s="1">
        <f>VLOOKUP(A94,'SegEnds_NonXtal_Prot#'!A:AL,34,FALSE)-VLOOKUP(A94,'SegEnds_NonXtal_Prot#'!A:AL,31,FALSE)</f>
        <v>45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188</v>
      </c>
      <c r="B95" s="1" t="str">
        <f>VLOOKUP(A95,Xtal_Templ!B:C,2,FALSE)</f>
        <v>cxcr4_human</v>
      </c>
      <c r="C95" s="5">
        <f>VLOOKUP($B95&amp;"__wt",'SegEnds_Xtal_BW#'!$A:$Z,3,FALSE)</f>
        <v>24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32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28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18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56</v>
      </c>
      <c r="AI95" s="1">
        <f>VLOOKUP(A95,'SegEnds_NonXtal_Prot#'!A:AL,31,FALSE)-VLOOKUP(A95,'SegEnds_NonXtal_Prot#'!A:AL,28,FALSE)</f>
        <v>44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2" t="s">
        <v>189</v>
      </c>
      <c r="B96" s="12" t="str">
        <f>VLOOKUP(A96,Xtal_Templ!B:C,2,FALSE)</f>
        <v>ccr9_human</v>
      </c>
      <c r="C96" s="13">
        <f>VLOOKUP($B96&amp;"__wt",'SegEnds_Xtal_BW#'!$A:$Z,3,FALSE)</f>
        <v>27</v>
      </c>
      <c r="D96" s="12">
        <f>VLOOKUP($B96&amp;"__wt",'SegEnds_Xtal_BW#'!$A:$Z,4,FALSE)</f>
        <v>60</v>
      </c>
      <c r="E96" s="12">
        <f>VLOOKUP($B96&amp;"__wt",'SegEnds_Xtal_BW#'!$A:$Z,5,FALSE)</f>
        <v>48</v>
      </c>
      <c r="F96" s="12">
        <f>VLOOKUP($B96&amp;"__wt",'SegEnds_Xtal_BW#'!$A:$Z,6,FALSE)</f>
        <v>51</v>
      </c>
      <c r="G96" s="12">
        <v>37</v>
      </c>
      <c r="H96" s="12">
        <v>66</v>
      </c>
      <c r="I96" s="12">
        <f>VLOOKUP($B96&amp;"__wt",'SegEnds_Xtal_BW#'!$A:$Z,9,FALSE)</f>
        <v>49</v>
      </c>
      <c r="J96" s="12">
        <f>VLOOKUP($B96&amp;"__wt",'SegEnds_Xtal_BW#'!$A:$Z,10,FALSE)</f>
        <v>52</v>
      </c>
      <c r="K96" s="12">
        <v>24</v>
      </c>
      <c r="L96" s="12">
        <f>VLOOKUP($B96&amp;"__wt",'SegEnds_Xtal_BW#'!$A:$Z,12,FALSE)</f>
        <v>56</v>
      </c>
      <c r="M96" s="12">
        <f>VLOOKUP($B96&amp;"__wt",'SegEnds_Xtal_BW#'!$A:$Z,13,FALSE)</f>
        <v>50</v>
      </c>
      <c r="N96" s="12">
        <v>58</v>
      </c>
      <c r="O96" s="87">
        <v>38</v>
      </c>
      <c r="P96" s="12">
        <f>VLOOKUP($B96&amp;"__wt",'SegEnds_Xtal_BW#'!$A:$Z,16,FALSE)</f>
        <v>64</v>
      </c>
      <c r="Q96" s="12">
        <f>VLOOKUP($B96&amp;"__wt",'SegEnds_Xtal_BW#'!$A:$Z,17,FALSE)</f>
        <v>50</v>
      </c>
      <c r="R96" s="12">
        <f>VLOOKUP($B96&amp;"__wt",'SegEnds_Xtal_BW#'!$A:$Z,18,FALSE)</f>
        <v>52</v>
      </c>
      <c r="S96" s="12">
        <f>VLOOKUP($B96&amp;"__wt",'SegEnds_Xtal_BW#'!$A:$Z,19,FALSE)</f>
        <v>33</v>
      </c>
      <c r="T96" s="12">
        <f t="array" ref="T96">INDEX(ICL3_classA!$G$2:$G$37,MATCH(MIN(ABS(AI96-ICL3_classA!$F$2:$F$37)),ABS(AI96-ICL3_classA!$F$2:$F$37),0))</f>
        <v>68</v>
      </c>
      <c r="U96" s="12">
        <f t="array" ref="U96">INDEX(ICL3_classA!$H$2:$H$37,MATCH(MIN(ABS(AI96-ICL3_classA!$F$2:$F$37)),ABS(AI96-ICL3_classA!$F$2:$F$37),0))</f>
        <v>30</v>
      </c>
      <c r="V96" s="12">
        <v>61</v>
      </c>
      <c r="W96" s="12">
        <v>28</v>
      </c>
      <c r="X96" s="12">
        <f>VLOOKUP($B96&amp;"__wt",'SegEnds_Xtal_BW#'!$A:$Z,24,FALSE)</f>
        <v>56</v>
      </c>
      <c r="Y96" s="12">
        <f>VLOOKUP($B96&amp;"__wt",'SegEnds_Xtal_BW#'!$A:$Z,25,FALSE)</f>
        <v>47</v>
      </c>
      <c r="Z96" s="12">
        <f>VLOOKUP($B96&amp;"__wt",'SegEnds_Xtal_BW#'!$A:$Z,26,FALSE)</f>
        <v>67</v>
      </c>
      <c r="AA96" s="36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2">
        <f>VLOOKUP(A96,'SegEnds_NonXtal_Prot#'!A:AL,10,FALSE)-VLOOKUP(A96,'SegEnds_NonXtal_Prot#'!A:AL,7,FALSE)</f>
        <v>15</v>
      </c>
      <c r="AD96" s="12">
        <f>VLOOKUP(A96,'SegEnds_NonXtal_Prot#'!A:AL,13,FALSE)-VLOOKUP(A96,'SegEnds_NonXtal_Prot#'!A:AL,10,FALSE)</f>
        <v>18</v>
      </c>
      <c r="AE96" s="12">
        <f>VLOOKUP(A96,'SegEnds_NonXtal_Prot#'!A:AL,16,FALSE)-VLOOKUP(A96,'SegEnds_NonXtal_Prot#'!A:AL,10,FALSE)</f>
        <v>50</v>
      </c>
      <c r="AF96" s="1">
        <f>VLOOKUP(A96,'SegEnds_NonXtal_Prot#'!A:AL,22,FALSE)-VLOOKUP(A96,'SegEnds_NonXtal_Prot#'!A:AL,19,FALSE)</f>
        <v>22</v>
      </c>
      <c r="AG96" s="12">
        <f>VLOOKUP(A96,'SegEnds_NonXtal_Prot#'!A:AL,28,FALSE)-VLOOKUP(A96,'SegEnds_NonXtal_Prot#'!A:AL,25,FALSE)</f>
        <v>23</v>
      </c>
      <c r="AH96" s="1">
        <f>VLOOKUP(A96,'SegEnds_NonXtal_Prot#'!A:AL,28,FALSE)-VLOOKUP(A96,'SegEnds_NonXtal_Prot#'!A:AL,22,FALSE)</f>
        <v>47</v>
      </c>
      <c r="AI96" s="12">
        <f>VLOOKUP(A96,'SegEnds_NonXtal_Prot#'!A:AL,31,FALSE)-VLOOKUP(A96,'SegEnds_NonXtal_Prot#'!A:AL,28,FALSE)</f>
        <v>43</v>
      </c>
      <c r="AJ96" s="12">
        <f>VLOOKUP(A96,'SegEnds_NonXtal_Prot#'!A:AL,34,FALSE)-VLOOKUP(A96,'SegEnds_NonXtal_Prot#'!A:AL,31,FALSE)</f>
        <v>39</v>
      </c>
      <c r="AK96" s="1">
        <f>VLOOKUP(A96,'SegEnds_NonXtal_Prot#'!A:AL,37,FALSE)-VLOOKUP(A96,'SegEnds_NonXtal_Prot#'!A:AL,34,FALSE)</f>
        <v>10</v>
      </c>
      <c r="AL96" s="12" t="str">
        <f>IF(ISERROR(MATCH(A96,'SegEnds_Xtal_Prot#'!B:B, 0)), "NoXtal", "Xtal")</f>
        <v>NoXtal</v>
      </c>
    </row>
    <row r="97" spans="1:38" x14ac:dyDescent="0.2">
      <c r="A97" s="1" t="s">
        <v>191</v>
      </c>
      <c r="B97" s="1" t="str">
        <f>VLOOKUP(A97,Xtal_Templ!B:C,2,FALSE)</f>
        <v>drd2_human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58</v>
      </c>
      <c r="O97" s="87">
        <v>38</v>
      </c>
      <c r="P97" s="1">
        <f>VLOOKUP($B97&amp;"__wt",'SegEnds_Xtal_BW#'!$A:$Z,16,FALSE)</f>
        <v>62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INDEX(ICL3_classA!$G$2:$G$37,MATCH(MIN(ABS(AI97-ICL3_classA!$F$2:$F$37)),ABS(AI97-ICL3_classA!$F$2:$F$37),0))</f>
        <v>75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21</v>
      </c>
      <c r="AG97" s="1">
        <f>VLOOKUP(A97,'SegEnds_NonXtal_Prot#'!A:AL,28,FALSE)-VLOOKUP(A97,'SegEnds_NonXtal_Prot#'!A:AL,25,FALSE)</f>
        <v>19</v>
      </c>
      <c r="AH97" s="1">
        <f>VLOOKUP(A97,'SegEnds_NonXtal_Prot#'!A:AL,28,FALSE)-VLOOKUP(A97,'SegEnds_NonXtal_Prot#'!A:AL,22,FALSE)</f>
        <v>41</v>
      </c>
      <c r="AI97" s="1">
        <f>VLOOKUP(A97,'SegEnds_NonXtal_Prot#'!A:AL,31,FALSE)-VLOOKUP(A97,'SegEnds_NonXtal_Prot#'!A:AL,28,FALSE)</f>
        <v>187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192</v>
      </c>
      <c r="B98" s="1" t="str">
        <f>VLOOKUP(A98,Xtal_Templ!B:C,2,FALSE)</f>
        <v>drd3_human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58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v>35</v>
      </c>
      <c r="T98" s="1">
        <f t="array" ref="T98">INDEX(ICL3_classA!$G$2:$G$37,MATCH(MIN(ABS(AI98-ICL3_classA!$F$2:$F$37)),ABS(AI98-ICL3_classA!$F$2:$F$37),0))</f>
        <v>76</v>
      </c>
      <c r="U98" s="1">
        <f t="array" ref="U98">INDEX(ICL3_classA!$H$2:$H$37,MATCH(MIN(ABS(AI98-ICL3_classA!$F$2:$F$37)),ABS(AI98-ICL3_classA!$F$2:$F$37),0))</f>
        <v>24</v>
      </c>
      <c r="V98" s="1">
        <f>VLOOKUP($B98&amp;"__wt",'SegEnds_Xtal_BW#'!$A:$Z,22,FALSE)</f>
        <v>60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23</v>
      </c>
      <c r="AG98" s="1">
        <f>VLOOKUP(A98,'SegEnds_NonXtal_Prot#'!A:AL,28,FALSE)-VLOOKUP(A98,'SegEnds_NonXtal_Prot#'!A:AL,25,FALSE)</f>
        <v>19</v>
      </c>
      <c r="AH98" s="1">
        <f>VLOOKUP(A98,'SegEnds_NonXtal_Prot#'!A:AL,28,FALSE)-VLOOKUP(A98,'SegEnds_NonXtal_Prot#'!A:AL,22,FALSE)</f>
        <v>42</v>
      </c>
      <c r="AI98" s="1">
        <f>VLOOKUP(A98,'SegEnds_NonXtal_Prot#'!A:AL,31,FALSE)-VLOOKUP(A98,'SegEnds_NonXtal_Prot#'!A:AL,28,FALSE)</f>
        <v>144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193</v>
      </c>
      <c r="B99" s="1" t="str">
        <f>VLOOKUP(A99,Xtal_Templ!B:C,2,FALSE)</f>
        <v>drd4_human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38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19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1">
        <f>VLOOKUP($B99&amp;"__wt",'SegEnds_Xtal_BW#'!$A:$Z,16,FALSE)</f>
        <v>63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v>35</v>
      </c>
      <c r="T99" s="1">
        <f t="array" ref="T99">INDEX(ICL3_classA!$G$2:$G$37,MATCH(MIN(ABS(AI99-ICL3_classA!$F$2:$F$37)),ABS(AI99-ICL3_classA!$F$2:$F$37),0))</f>
        <v>75</v>
      </c>
      <c r="U99" s="1">
        <f t="array" ref="U99">INDEX(ICL3_classA!$H$2:$H$37,MATCH(MIN(ABS(AI99-ICL3_classA!$F$2:$F$37)),ABS(AI99-ICL3_classA!$F$2:$F$37),0))</f>
        <v>24</v>
      </c>
      <c r="V99" s="1">
        <f>VLOOKUP($B99&amp;"__wt",'SegEnds_Xtal_BW#'!$A:$Z,22,FALSE)</f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21</v>
      </c>
      <c r="AE99" s="1">
        <f>VLOOKUP(A99,'SegEnds_NonXtal_Prot#'!A:AL,16,FALSE)-VLOOKUP(A99,'SegEnds_NonXtal_Prot#'!A:AL,10,FALSE)</f>
        <v>53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19</v>
      </c>
      <c r="AH99" s="1">
        <f>VLOOKUP(A99,'SegEnds_NonXtal_Prot#'!A:AL,28,FALSE)-VLOOKUP(A99,'SegEnds_NonXtal_Prot#'!A:AL,22,FALSE)</f>
        <v>44</v>
      </c>
      <c r="AI99" s="1">
        <f>VLOOKUP(A99,'SegEnds_NonXtal_Prot#'!A:AL,31,FALSE)-VLOOKUP(A99,'SegEnds_NonXtal_Prot#'!A:AL,28,FALSE)</f>
        <v>205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195</v>
      </c>
      <c r="B100" s="1" t="str">
        <f>VLOOKUP(A100,Xtal_Templ!B:C,2,FALSE)</f>
        <v>ednrb_human</v>
      </c>
      <c r="C100" s="5">
        <f>VLOOKUP($B100&amp;"__wt",'SegEnds_Xtal_BW#'!$A:$Z,3,FALSE)</f>
        <v>22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52</v>
      </c>
      <c r="G100" s="1">
        <v>38</v>
      </c>
      <c r="H100" s="12"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9">
        <v>21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28</v>
      </c>
      <c r="T100" s="1">
        <f t="array" ref="T100">INDEX(ICL3_classA!$G$2:$G$37,MATCH(MIN(ABS(AI100-ICL3_classA!$F$2:$F$37)),ABS(AI100-ICL3_classA!$F$2:$F$37),0))</f>
        <v>72</v>
      </c>
      <c r="U100" s="1">
        <f t="array" ref="U100">INDEX(ICL3_classA!$H$2:$H$37,MATCH(MIN(ABS(AI100-ICL3_classA!$F$2:$F$37)),ABS(AI100-ICL3_classA!$F$2:$F$37),0))</f>
        <v>24</v>
      </c>
      <c r="V100" s="1">
        <v>62</v>
      </c>
      <c r="W100" s="1">
        <v>24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60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57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57</v>
      </c>
      <c r="AI100" s="1">
        <f>VLOOKUP(A100,'SegEnds_NonXtal_Prot#'!A:AL,31,FALSE)-VLOOKUP(A100,'SegEnds_NonXtal_Prot#'!A:AL,28,FALSE)</f>
        <v>54</v>
      </c>
      <c r="AJ100" s="1">
        <f>VLOOKUP(A100,'SegEnds_NonXtal_Prot#'!A:AL,34,FALSE)-VLOOKUP(A100,'SegEnds_NonXtal_Prot#'!A:AL,31,FALSE)</f>
        <v>45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196</v>
      </c>
      <c r="B101" s="1" t="str">
        <f>VLOOKUP(A101,Xtal_Templ!B:C,2,FALSE)</f>
        <v>ednrb_human</v>
      </c>
      <c r="C101" s="5">
        <f>VLOOKUP($B101&amp;"__wt",'SegEnds_Xtal_BW#'!$A:$Z,3,FALSE)</f>
        <v>22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52</v>
      </c>
      <c r="G101" s="1">
        <v>38</v>
      </c>
      <c r="H101" s="12">
        <f>VLOOKUP($B101&amp;"__wt",'SegEnds_Xtal_BW#'!$A:$Z,8,FALSE)</f>
        <v>67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f>VLOOKUP($B101&amp;"__wt",'SegEnds_Xtal_BW#'!$A:$Z,14,FALSE)</f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28</v>
      </c>
      <c r="T101" s="1">
        <f t="array" ref="T101">INDEX(ICL3_classA!$G$2:$G$37,MATCH(MIN(ABS(AI101-ICL3_classA!$F$2:$F$37)),ABS(AI101-ICL3_classA!$F$2:$F$37),0))</f>
        <v>72</v>
      </c>
      <c r="U101" s="1">
        <f t="array" ref="U101">INDEX(ICL3_classA!$H$2:$H$37,MATCH(MIN(ABS(AI101-ICL3_classA!$F$2:$F$37)),ABS(AI101-ICL3_classA!$F$2:$F$37),0))</f>
        <v>24</v>
      </c>
      <c r="V101" s="1">
        <v>62</v>
      </c>
      <c r="W101" s="1">
        <v>24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60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30</v>
      </c>
      <c r="AH101" s="1">
        <f>VLOOKUP(A101,'SegEnds_NonXtal_Prot#'!A:AL,28,FALSE)-VLOOKUP(A101,'SegEnds_NonXtal_Prot#'!A:AL,22,FALSE)</f>
        <v>59</v>
      </c>
      <c r="AI101" s="1">
        <f>VLOOKUP(A101,'SegEnds_NonXtal_Prot#'!A:AL,31,FALSE)-VLOOKUP(A101,'SegEnds_NonXtal_Prot#'!A:AL,28,FALSE)</f>
        <v>53</v>
      </c>
      <c r="AJ101" s="1">
        <f>VLOOKUP(A101,'SegEnds_NonXtal_Prot#'!A:AL,34,FALSE)-VLOOKUP(A101,'SegEnds_NonXtal_Prot#'!A:AL,31,FALSE)</f>
        <v>45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197</v>
      </c>
      <c r="B102" s="1" t="str">
        <f>VLOOKUP(A102,Xtal_Templ!B:C,2,FALSE)</f>
        <v>ednrb_human</v>
      </c>
      <c r="C102" s="5">
        <f>VLOOKUP($B102&amp;"__wt",'SegEnds_Xtal_BW#'!$A:$Z,3,FALSE)</f>
        <v>22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52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21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64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28</v>
      </c>
      <c r="T102" s="1">
        <f t="array" ref="T102">INDEX(ICL3_classA!$G$2:$G$37,MATCH(MIN(ABS(AI102-ICL3_classA!$F$2:$F$37)),ABS(AI102-ICL3_classA!$F$2:$F$37),0))</f>
        <v>72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28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60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 t="e">
        <f>VLOOKUP(A102,'SegEnds_NonXtal_Prot#'!A:AL,13,FALSE)-VLOOKUP(A102,'SegEnds_NonXtal_Prot#'!A:AL,10,FALSE)</f>
        <v>#VALUE!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35</v>
      </c>
      <c r="AH102" s="1">
        <f>VLOOKUP(A102,'SegEnds_NonXtal_Prot#'!A:AL,28,FALSE)-VLOOKUP(A102,'SegEnds_NonXtal_Prot#'!A:AL,22,FALSE)</f>
        <v>65</v>
      </c>
      <c r="AI102" s="1">
        <f>VLOOKUP(A102,'SegEnds_NonXtal_Prot#'!A:AL,31,FALSE)-VLOOKUP(A102,'SegEnds_NonXtal_Prot#'!A:AL,28,FALSE)</f>
        <v>53</v>
      </c>
      <c r="AJ102" s="1">
        <f>VLOOKUP(A102,'SegEnds_NonXtal_Prot#'!A:AL,34,FALSE)-VLOOKUP(A102,'SegEnds_NonXtal_Prot#'!A:AL,31,FALSE)</f>
        <v>39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204</v>
      </c>
      <c r="B103" s="1" t="str">
        <f>VLOOKUP(A103,Xtal_Templ!B:C,2,FALSE)</f>
        <v>aa2ar_human</v>
      </c>
      <c r="C103" s="5">
        <f>VLOOKUP($B103&amp;"__wt",'SegEnds_Xtal_BW#'!$A:$Z,3,FALSE)</f>
        <v>27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f>VLOOKUP($B103&amp;"__wt",'SegEnds_Xtal_BW#'!$A:$Z,19,FALSE)</f>
        <v>34</v>
      </c>
      <c r="T103" s="1">
        <f t="array" ref="T103">INDEX(ICL3_classA!$G$2:$G$37,MATCH(MIN(ABS(AI103-ICL3_classA!$F$2:$F$37)),ABS(AI103-ICL3_classA!$F$2:$F$37),0))</f>
        <v>67</v>
      </c>
      <c r="U103" s="1">
        <f t="array" ref="U103">INDEX(ICL3_classA!$H$2:$H$37,MATCH(MIN(ABS(AI103-ICL3_classA!$F$2:$F$37)),ABS(AI103-ICL3_classA!$F$2:$F$37),0))</f>
        <v>26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69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14</v>
      </c>
      <c r="AD103" s="1">
        <f>VLOOKUP(A103,'SegEnds_NonXtal_Prot#'!A:AL,13,FALSE)-VLOOKUP(A103,'SegEnds_NonXtal_Prot#'!A:AL,10,FALSE)</f>
        <v>28</v>
      </c>
      <c r="AE103" s="1">
        <f>VLOOKUP(A103,'SegEnds_NonXtal_Prot#'!A:AL,16,FALSE)-VLOOKUP(A103,'SegEnds_NonXtal_Prot#'!A:AL,10,FALSE)</f>
        <v>59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24</v>
      </c>
      <c r="AH103" s="1">
        <f>VLOOKUP(A103,'SegEnds_NonXtal_Prot#'!A:AL,28,FALSE)-VLOOKUP(A103,'SegEnds_NonXtal_Prot#'!A:AL,22,FALSE)</f>
        <v>47</v>
      </c>
      <c r="AI103" s="1">
        <f>VLOOKUP(A103,'SegEnds_NonXtal_Prot#'!A:AL,31,FALSE)-VLOOKUP(A103,'SegEnds_NonXtal_Prot#'!A:AL,28,FALSE)</f>
        <v>46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206</v>
      </c>
      <c r="B104" s="1" t="str">
        <f>VLOOKUP(A104,Xtal_Templ!B:C,2,FALSE)</f>
        <v>oprk_human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f>VLOOKUP($B104&amp;"__wt",'SegEnds_Xtal_BW#'!$A:$Z,15,FALSE)</f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30</v>
      </c>
      <c r="T104" s="1">
        <f t="array" ref="T104">INDEX(ICL3_classA!$G$2:$G$37,MATCH(MIN(ABS(AI104-ICL3_classA!$F$2:$F$37)),ABS(AI104-ICL3_classA!$F$2:$F$37),0))</f>
        <v>72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24</v>
      </c>
      <c r="AH104" s="1">
        <f>VLOOKUP(A104,'SegEnds_NonXtal_Prot#'!A:AL,28,FALSE)-VLOOKUP(A104,'SegEnds_NonXtal_Prot#'!A:AL,22,FALSE)</f>
        <v>49</v>
      </c>
      <c r="AI104" s="1">
        <f>VLOOKUP(A104,'SegEnds_NonXtal_Prot#'!A:AL,31,FALSE)-VLOOKUP(A104,'SegEnds_NonXtal_Prot#'!A:AL,28,FALSE)</f>
        <v>52</v>
      </c>
      <c r="AJ104" s="1">
        <f>VLOOKUP(A104,'SegEnds_NonXtal_Prot#'!A:AL,34,FALSE)-VLOOKUP(A104,'SegEnds_NonXtal_Prot#'!A:AL,31,FALSE)</f>
        <v>38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208</v>
      </c>
      <c r="B105" s="1" t="str">
        <f>VLOOKUP(A105,Xtal_Templ!B:C,2,FALSE)</f>
        <v>ox2r_human</v>
      </c>
      <c r="C105" s="5">
        <f>VLOOKUP($B105&amp;"__wt",'SegEnds_Xtal_BW#'!$A:$Z,3,FALSE)</f>
        <v>31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f>VLOOKUP($B105&amp;"__wt",'SegEnds_Xtal_BW#'!$A:$Z,15,FALSE)</f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33</v>
      </c>
      <c r="T105" s="1">
        <f t="array" ref="T105">INDEX(ICL3_classA!$G$2:$G$37,MATCH(MIN(ABS(AI105-ICL3_classA!$F$2:$F$37)),ABS(AI105-ICL3_classA!$F$2:$F$37),0))</f>
        <v>76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28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58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25</v>
      </c>
      <c r="AH105" s="1">
        <f>VLOOKUP(A105,'SegEnds_NonXtal_Prot#'!A:AL,28,FALSE)-VLOOKUP(A105,'SegEnds_NonXtal_Prot#'!A:AL,22,FALSE)</f>
        <v>51</v>
      </c>
      <c r="AI105" s="1">
        <f>VLOOKUP(A105,'SegEnds_NonXtal_Prot#'!A:AL,31,FALSE)-VLOOKUP(A105,'SegEnds_NonXtal_Prot#'!A:AL,28,FALSE)</f>
        <v>118</v>
      </c>
      <c r="AJ105" s="1">
        <f>VLOOKUP(A105,'SegEnds_NonXtal_Prot#'!A:AL,34,FALSE)-VLOOKUP(A105,'SegEnds_NonXtal_Prot#'!A:AL,31,FALSE)</f>
        <v>39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209</v>
      </c>
      <c r="B106" s="1" t="str">
        <f>VLOOKUP(A106,Xtal_Templ!B:C,2,FALSE)</f>
        <v>ntr1_rat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v>67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f>VLOOKUP($B106&amp;"__wt",'SegEnds_Xtal_BW#'!$A:$Z,15,FALSE)</f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INDEX(ICL3_classA!$G$2:$G$37,MATCH(MIN(ABS(AI106-ICL3_classA!$F$2:$F$37)),ABS(AI106-ICL3_classA!$F$2:$F$37),0))</f>
        <v>72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28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26</v>
      </c>
      <c r="AH106" s="1">
        <f>VLOOKUP(A106,'SegEnds_NonXtal_Prot#'!A:AL,28,FALSE)-VLOOKUP(A106,'SegEnds_NonXtal_Prot#'!A:AL,22,FALSE)</f>
        <v>56</v>
      </c>
      <c r="AI106" s="1">
        <f>VLOOKUP(A106,'SegEnds_NonXtal_Prot#'!A:AL,31,FALSE)-VLOOKUP(A106,'SegEnds_NonXtal_Prot#'!A:AL,28,FALSE)</f>
        <v>54</v>
      </c>
      <c r="AJ106" s="1">
        <f>VLOOKUP(A106,'SegEnds_NonXtal_Prot#'!A:AL,34,FALSE)-VLOOKUP(A106,'SegEnds_NonXtal_Prot#'!A:AL,31,FALSE)</f>
        <v>42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212</v>
      </c>
      <c r="B107" s="1" t="str">
        <f>VLOOKUP(A107,Xtal_Templ!B:C,2,FALSE)</f>
        <v>ccr5_human</v>
      </c>
      <c r="C107" s="5">
        <f>VLOOKUP($B107&amp;"__wt",'SegEnds_Xtal_BW#'!$A:$Z,3,FALSE)</f>
        <v>24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66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22</v>
      </c>
      <c r="AH107" s="1">
        <f>VLOOKUP(A107,'SegEnds_NonXtal_Prot#'!A:AL,28,FALSE)-VLOOKUP(A107,'SegEnds_NonXtal_Prot#'!A:AL,22,FALSE)</f>
        <v>48</v>
      </c>
      <c r="AI107" s="1">
        <f>VLOOKUP(A107,'SegEnds_NonXtal_Prot#'!A:AL,31,FALSE)-VLOOKUP(A107,'SegEnds_NonXtal_Prot#'!A:AL,28,FALSE)</f>
        <v>210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214</v>
      </c>
      <c r="B108" s="1" t="str">
        <f>VLOOKUP(A108,Xtal_Templ!B:C,2,FALSE)</f>
        <v>p2ry1_human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 t="str">
        <f>VLOOKUP($B108&amp;"__wt",'SegEnds_Xtal_BW#'!$A:$Z,5,FALSE)</f>
        <v>-</v>
      </c>
      <c r="F108" s="1" t="str">
        <f>VLOOKUP($B108&amp;"__wt",'SegEnds_Xtal_BW#'!$A:$Z,6,FALSE)</f>
        <v>-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f>VLOOKUP($B108&amp;"__wt",'SegEnds_Xtal_BW#'!$A:$Z,14,FALSE)</f>
        <v>57</v>
      </c>
      <c r="O108" s="87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32</v>
      </c>
      <c r="T108" s="1">
        <f t="array" ref="T108">INDEX(ICL3_classA!$G$2:$G$37,MATCH(MIN(ABS(AI108-ICL3_classA!$F$2:$F$37)),ABS(AI108-ICL3_classA!$F$2:$F$37),0))</f>
        <v>67</v>
      </c>
      <c r="U108" s="1">
        <f t="array" ref="U108">INDEX(ICL3_classA!$H$2:$H$37,MATCH(MIN(ABS(AI108-ICL3_classA!$F$2:$F$37)),ABS(AI108-ICL3_classA!$F$2:$F$37),0))</f>
        <v>26</v>
      </c>
      <c r="V108" s="1">
        <v>64</v>
      </c>
      <c r="W108" s="1">
        <v>24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 t="e">
        <f>VLOOKUP(A108,'SegEnds_NonXtal_Prot#'!A:AL,10,FALSE)-VLOOKUP(A108,'SegEnds_NonXtal_Prot#'!A:AL,7,FALSE)</f>
        <v>#VALUE!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 t="e">
        <f>VLOOKUP(A108,'SegEnds_NonXtal_Prot#'!A:AL,22,FALSE)-VLOOKUP(A108,'SegEnds_NonXtal_Prot#'!A:AL,19,FALSE)</f>
        <v>#VALUE!</v>
      </c>
      <c r="AG108" s="1">
        <f>VLOOKUP(A108,'SegEnds_NonXtal_Prot#'!A:AL,28,FALSE)-VLOOKUP(A108,'SegEnds_NonXtal_Prot#'!A:AL,25,FALSE)</f>
        <v>25</v>
      </c>
      <c r="AH108" s="1">
        <f>VLOOKUP(A108,'SegEnds_NonXtal_Prot#'!A:AL,28,FALSE)-VLOOKUP(A108,'SegEnds_NonXtal_Prot#'!A:AL,22,FALSE)</f>
        <v>44</v>
      </c>
      <c r="AI108" s="1">
        <f>VLOOKUP(A108,'SegEnds_NonXtal_Prot#'!A:AL,31,FALSE)-VLOOKUP(A108,'SegEnds_NonXtal_Prot#'!A:AL,28,FALSE)</f>
        <v>46</v>
      </c>
      <c r="AJ108" s="1">
        <f>VLOOKUP(A108,'SegEnds_NonXtal_Prot#'!A:AL,34,FALSE)-VLOOKUP(A108,'SegEnds_NonXtal_Prot#'!A:AL,31,FALSE)</f>
        <v>48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215</v>
      </c>
      <c r="B109" s="1" t="str">
        <f>VLOOKUP(A109,Xtal_Templ!B:C,2,FALSE)</f>
        <v>ox2r_human</v>
      </c>
      <c r="C109" s="5">
        <f>VLOOKUP($B109&amp;"__wt",'SegEnds_Xtal_BW#'!$A:$Z,3,FALSE)</f>
        <v>31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56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33</v>
      </c>
      <c r="T109" s="1">
        <f t="array" ref="T109">INDEX(ICL3_classA!$G$2:$G$37,MATCH(MIN(ABS(AI109-ICL3_classA!$F$2:$F$37)),ABS(AI109-ICL3_classA!$F$2:$F$37),0))</f>
        <v>73</v>
      </c>
      <c r="U109" s="1">
        <f t="array" ref="U109">INDEX(ICL3_classA!$H$2:$H$37,MATCH(MIN(ABS(AI109-ICL3_classA!$F$2:$F$37)),ABS(AI109-ICL3_classA!$F$2:$F$37),0))</f>
        <v>22</v>
      </c>
      <c r="V109" s="1">
        <v>61</v>
      </c>
      <c r="W109" s="1"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58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60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27</v>
      </c>
      <c r="AH109" s="1">
        <f>VLOOKUP(A109,'SegEnds_NonXtal_Prot#'!A:AL,28,FALSE)-VLOOKUP(A109,'SegEnds_NonXtal_Prot#'!A:AL,22,FALSE)</f>
        <v>55</v>
      </c>
      <c r="AI109" s="1">
        <f>VLOOKUP(A109,'SegEnds_NonXtal_Prot#'!A:AL,31,FALSE)-VLOOKUP(A109,'SegEnds_NonXtal_Prot#'!A:AL,28,FALSE)</f>
        <v>57</v>
      </c>
      <c r="AJ109" s="1">
        <f>VLOOKUP(A109,'SegEnds_NonXtal_Prot#'!A:AL,34,FALSE)-VLOOKUP(A109,'SegEnds_NonXtal_Prot#'!A:AL,31,FALSE)</f>
        <v>38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217</v>
      </c>
      <c r="B110" s="1" t="str">
        <f>VLOOKUP(A110,Xtal_Templ!B:C,2,FALSE)</f>
        <v>par1_human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32</v>
      </c>
      <c r="T110" s="1">
        <f t="array" ref="T110">INDEX(ICL3_classA!$G$2:$G$37,MATCH(MIN(ABS(AI110-ICL3_classA!$F$2:$F$37)),ABS(AI110-ICL3_classA!$F$2:$F$37),0))</f>
        <v>68</v>
      </c>
      <c r="U110" s="1">
        <f t="array" ref="U110">INDEX(ICL3_classA!$H$2:$H$37,MATCH(MIN(ABS(AI110-ICL3_classA!$F$2:$F$37)),ABS(AI110-ICL3_classA!$F$2:$F$37),0))</f>
        <v>28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61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30</v>
      </c>
      <c r="AH110" s="1">
        <f>VLOOKUP(A110,'SegEnds_NonXtal_Prot#'!A:AL,28,FALSE)-VLOOKUP(A110,'SegEnds_NonXtal_Prot#'!A:AL,22,FALSE)</f>
        <v>56</v>
      </c>
      <c r="AI110" s="1">
        <f>VLOOKUP(A110,'SegEnds_NonXtal_Prot#'!A:AL,31,FALSE)-VLOOKUP(A110,'SegEnds_NonXtal_Prot#'!A:AL,28,FALSE)</f>
        <v>44</v>
      </c>
      <c r="AJ110" s="1">
        <f>VLOOKUP(A110,'SegEnds_NonXtal_Prot#'!A:AL,34,FALSE)-VLOOKUP(A110,'SegEnds_NonXtal_Prot#'!A:AL,31,FALSE)</f>
        <v>40</v>
      </c>
      <c r="AK110" s="1">
        <f>VLOOKUP(A110,'SegEnds_NonXtal_Prot#'!A:AL,37,FALSE)-VLOOKUP(A110,'SegEnds_NonXtal_Prot#'!A:AL,34,FALSE)</f>
        <v>11</v>
      </c>
      <c r="AL110" s="1" t="str">
        <f>IF(ISERROR(MATCH(A110,'SegEnds_Xtal_Prot#'!B:B, 0)), "NoXtal", "Xtal")</f>
        <v>NoXtal</v>
      </c>
    </row>
    <row r="111" spans="1:38" x14ac:dyDescent="0.2">
      <c r="A111" s="1" t="s">
        <v>227</v>
      </c>
      <c r="B111" s="1" t="str">
        <f>VLOOKUP(A111,Xtal_Templ!B:C,2,FALSE)</f>
        <v>5ht1b_human</v>
      </c>
      <c r="C111" s="5">
        <f>VLOOKUP($B111&amp;"__wt",'SegEnds_Xtal_BW#'!$A:$Z,3,FALSE)</f>
        <v>28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f>VLOOKUP($B111&amp;"__wt",'SegEnds_Xtal_BW#'!$A:$Z,14,FALSE)</f>
        <v>57</v>
      </c>
      <c r="O111" s="87">
        <v>38</v>
      </c>
      <c r="P111" s="1">
        <v>63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76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22</v>
      </c>
      <c r="AH111" s="1">
        <f>VLOOKUP(A111,'SegEnds_NonXtal_Prot#'!A:AL,28,FALSE)-VLOOKUP(A111,'SegEnds_NonXtal_Prot#'!A:AL,22,FALSE)</f>
        <v>48</v>
      </c>
      <c r="AI111" s="1">
        <f>VLOOKUP(A111,'SegEnds_NonXtal_Prot#'!A:AL,31,FALSE)-VLOOKUP(A111,'SegEnds_NonXtal_Prot#'!A:AL,28,FALSE)</f>
        <v>85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229</v>
      </c>
      <c r="B112" s="1" t="str">
        <f>VLOOKUP(A112,Xtal_Templ!B:C,2,FALSE)</f>
        <v>p2y12_human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66</v>
      </c>
      <c r="I112" s="1" t="str">
        <f>VLOOKUP($B112&amp;"__wt",'SegEnds_Xtal_BW#'!$A:$Z,9,FALSE)</f>
        <v>-</v>
      </c>
      <c r="J112" s="1" t="str">
        <f>VLOOKUP($B112&amp;"__wt",'SegEnds_Xtal_BW#'!$A:$Z,10,FALSE)</f>
        <v>-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30</v>
      </c>
      <c r="T112" s="1">
        <f t="array" ref="T112">INDEX(ICL3_classA!$G$2:$G$37,MATCH(MIN(ABS(AI112-ICL3_classA!$F$2:$F$37)),ABS(AI112-ICL3_classA!$F$2:$F$37),0))</f>
        <v>67</v>
      </c>
      <c r="U112" s="1">
        <f t="array" ref="U112">INDEX(ICL3_classA!$H$2:$H$37,MATCH(MIN(ABS(AI112-ICL3_classA!$F$2:$F$37)),ABS(AI112-ICL3_classA!$F$2:$F$37),0))</f>
        <v>26</v>
      </c>
      <c r="V112" s="1">
        <v>64</v>
      </c>
      <c r="W112" s="1">
        <v>24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57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 t="e">
        <f>VLOOKUP(A112,'SegEnds_NonXtal_Prot#'!A:AL,10,FALSE)-VLOOKUP(A112,'SegEnds_NonXtal_Prot#'!A:AL,7,FALSE)</f>
        <v>#VALUE!</v>
      </c>
      <c r="AD112" s="1" t="e">
        <f>VLOOKUP(A112,'SegEnds_NonXtal_Prot#'!A:AL,13,FALSE)-VLOOKUP(A112,'SegEnds_NonXtal_Prot#'!A:AL,10,FALSE)</f>
        <v>#VALUE!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26</v>
      </c>
      <c r="AH112" s="1">
        <f>VLOOKUP(A112,'SegEnds_NonXtal_Prot#'!A:AL,28,FALSE)-VLOOKUP(A112,'SegEnds_NonXtal_Prot#'!A:AL,22,FALSE)</f>
        <v>52</v>
      </c>
      <c r="AI112" s="1">
        <f>VLOOKUP(A112,'SegEnds_NonXtal_Prot#'!A:AL,31,FALSE)-VLOOKUP(A112,'SegEnds_NonXtal_Prot#'!A:AL,28,FALSE)</f>
        <v>47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230</v>
      </c>
      <c r="B113" s="1" t="str">
        <f>VLOOKUP(A113,Xtal_Templ!B:C,2,FALSE)</f>
        <v>ox1r_human</v>
      </c>
      <c r="C113" s="5">
        <f>VLOOKUP($B113&amp;"__wt",'SegEnds_Xtal_BW#'!$A:$Z,3,FALSE)</f>
        <v>32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67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INDEX(ICL3_classA!$G$2:$G$37,MATCH(MIN(ABS(AI113-ICL3_classA!$F$2:$F$37)),ABS(AI113-ICL3_classA!$F$2:$F$37),0))</f>
        <v>74</v>
      </c>
      <c r="U113" s="1">
        <f t="array" ref="U113">INDEX(ICL3_classA!$H$2:$H$37,MATCH(MIN(ABS(AI113-ICL3_classA!$F$2:$F$37)),ABS(AI113-ICL3_classA!$F$2:$F$37),0))</f>
        <v>21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58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21</v>
      </c>
      <c r="AE113" s="1">
        <f>VLOOKUP(A113,'SegEnds_NonXtal_Prot#'!A:AL,16,FALSE)-VLOOKUP(A113,'SegEnds_NonXtal_Prot#'!A:AL,10,FALSE)</f>
        <v>53</v>
      </c>
      <c r="AF113" s="1">
        <f>VLOOKUP(A113,'SegEnds_NonXtal_Prot#'!A:AL,22,FALSE)-VLOOKUP(A113,'SegEnds_NonXtal_Prot#'!A:AL,19,FALSE)</f>
        <v>20</v>
      </c>
      <c r="AG113" s="1">
        <f>VLOOKUP(A113,'SegEnds_NonXtal_Prot#'!A:AL,28,FALSE)-VLOOKUP(A113,'SegEnds_NonXtal_Prot#'!A:AL,25,FALSE)</f>
        <v>61</v>
      </c>
      <c r="AH113" s="1">
        <f>VLOOKUP(A113,'SegEnds_NonXtal_Prot#'!A:AL,28,FALSE)-VLOOKUP(A113,'SegEnds_NonXtal_Prot#'!A:AL,22,FALSE)</f>
        <v>87</v>
      </c>
      <c r="AI113" s="1">
        <f>VLOOKUP(A113,'SegEnds_NonXtal_Prot#'!A:AL,31,FALSE)-VLOOKUP(A113,'SegEnds_NonXtal_Prot#'!A:AL,28,FALSE)</f>
        <v>66</v>
      </c>
      <c r="AJ113" s="1">
        <f>VLOOKUP(A113,'SegEnds_NonXtal_Prot#'!A:AL,34,FALSE)-VLOOKUP(A113,'SegEnds_NonXtal_Prot#'!A:AL,31,FALSE)</f>
        <v>36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231</v>
      </c>
      <c r="B114" s="1" t="str">
        <f>VLOOKUP(A114,Xtal_Templ!B:C,2,FALSE)</f>
        <v>p2ry1_human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v>56</v>
      </c>
      <c r="O114" s="87">
        <f>VLOOKUP($B114&amp;"__wt",'SegEnds_Xtal_BW#'!$A:$Z,15,FALSE)</f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32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24</v>
      </c>
      <c r="V114" s="1">
        <v>64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 t="e">
        <f>VLOOKUP(A114,'SegEnds_NonXtal_Prot#'!A:AL,10,FALSE)-VLOOKUP(A114,'SegEnds_NonXtal_Prot#'!A:AL,7,FALSE)</f>
        <v>#VALUE!</v>
      </c>
      <c r="AD114" s="1">
        <f>VLOOKUP(A114,'SegEnds_NonXtal_Prot#'!A:AL,13,FALSE)-VLOOKUP(A114,'SegEnds_NonXtal_Prot#'!A:AL,10,FALSE)</f>
        <v>19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19</v>
      </c>
      <c r="AG114" s="1">
        <f>VLOOKUP(A114,'SegEnds_NonXtal_Prot#'!A:AL,28,FALSE)-VLOOKUP(A114,'SegEnds_NonXtal_Prot#'!A:AL,25,FALSE)</f>
        <v>29</v>
      </c>
      <c r="AH114" s="1">
        <f>VLOOKUP(A114,'SegEnds_NonXtal_Prot#'!A:AL,28,FALSE)-VLOOKUP(A114,'SegEnds_NonXtal_Prot#'!A:AL,22,FALSE)</f>
        <v>55</v>
      </c>
      <c r="AI114" s="1">
        <f>VLOOKUP(A114,'SegEnds_NonXtal_Prot#'!A:AL,31,FALSE)-VLOOKUP(A114,'SegEnds_NonXtal_Prot#'!A:AL,28,FALSE)</f>
        <v>48</v>
      </c>
      <c r="AJ114" s="1">
        <f>VLOOKUP(A114,'SegEnds_NonXtal_Prot#'!A:AL,34,FALSE)-VLOOKUP(A114,'SegEnds_NonXtal_Prot#'!A:AL,31,FALSE)</f>
        <v>44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232</v>
      </c>
      <c r="B115" s="1" t="str">
        <f>VLOOKUP(A115,Xtal_Templ!B:C,2,FALSE)</f>
        <v>ox1r_human</v>
      </c>
      <c r="C115" s="5">
        <f>VLOOKUP($B115&amp;"__wt",'SegEnds_Xtal_BW#'!$A:$Z,3,FALSE)</f>
        <v>32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56</v>
      </c>
      <c r="O115" s="87">
        <f>VLOOKUP($B115&amp;"__wt",'SegEnds_Xtal_BW#'!$A:$Z,15,FALSE)</f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32</v>
      </c>
      <c r="T115" s="1">
        <f t="array" ref="T115">INDEX(ICL3_classA!$G$2:$G$37,MATCH(MIN(ABS(AI115-ICL3_classA!$F$2:$F$37)),ABS(AI115-ICL3_classA!$F$2:$F$37),0))</f>
        <v>74</v>
      </c>
      <c r="U115" s="1">
        <f t="array" ref="U115">INDEX(ICL3_classA!$H$2:$H$37,MATCH(MIN(ABS(AI115-ICL3_classA!$F$2:$F$37)),ABS(AI115-ICL3_classA!$F$2:$F$37),0))</f>
        <v>21</v>
      </c>
      <c r="V115" s="1">
        <v>61</v>
      </c>
      <c r="W115" s="1">
        <v>31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58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22</v>
      </c>
      <c r="AE115" s="1">
        <f>VLOOKUP(A115,'SegEnds_NonXtal_Prot#'!A:AL,16,FALSE)-VLOOKUP(A115,'SegEnds_NonXtal_Prot#'!A:AL,10,FALSE)</f>
        <v>55</v>
      </c>
      <c r="AF115" s="1" t="e">
        <f>VLOOKUP(A115,'SegEnds_NonXtal_Prot#'!A:AL,22,FALSE)-VLOOKUP(A115,'SegEnds_NonXtal_Prot#'!A:AL,19,FALSE)</f>
        <v>#VALUE!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50</v>
      </c>
      <c r="AI115" s="1">
        <f>VLOOKUP(A115,'SegEnds_NonXtal_Prot#'!A:AL,31,FALSE)-VLOOKUP(A115,'SegEnds_NonXtal_Prot#'!A:AL,28,FALSE)</f>
        <v>64</v>
      </c>
      <c r="AJ115" s="1">
        <f>VLOOKUP(A115,'SegEnds_NonXtal_Prot#'!A:AL,34,FALSE)-VLOOKUP(A115,'SegEnds_NonXtal_Prot#'!A:AL,31,FALSE)</f>
        <v>36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233</v>
      </c>
      <c r="B116" s="1" t="str">
        <f>VLOOKUP(A116,Xtal_Templ!B:C,2,FALSE)</f>
        <v>apj_human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52</v>
      </c>
      <c r="G116" s="1">
        <v>37</v>
      </c>
      <c r="H116" s="12">
        <f>VLOOKUP($B116&amp;"__wt",'SegEnds_Xtal_BW#'!$A:$Z,8,FALSE)</f>
        <v>67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7"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30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28</v>
      </c>
      <c r="AH116" s="1">
        <f>VLOOKUP(A116,'SegEnds_NonXtal_Prot#'!A:AL,28,FALSE)-VLOOKUP(A116,'SegEnds_NonXtal_Prot#'!A:AL,22,FALSE)</f>
        <v>52</v>
      </c>
      <c r="AI116" s="1">
        <f>VLOOKUP(A116,'SegEnds_NonXtal_Prot#'!A:AL,31,FALSE)-VLOOKUP(A116,'SegEnds_NonXtal_Prot#'!A:AL,28,FALSE)</f>
        <v>43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234</v>
      </c>
      <c r="B117" s="1" t="str">
        <f>VLOOKUP(A117,Xtal_Templ!B:C,2,FALSE)</f>
        <v>oprk_human</v>
      </c>
      <c r="C117" s="5">
        <f>VLOOKUP($B117&amp;"__wt",'SegEnds_Xtal_BW#'!$A:$Z,3,FALSE)</f>
        <v>30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30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64</v>
      </c>
      <c r="W117" s="1">
        <v>24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27</v>
      </c>
      <c r="AH117" s="1">
        <f>VLOOKUP(A117,'SegEnds_NonXtal_Prot#'!A:AL,28,FALSE)-VLOOKUP(A117,'SegEnds_NonXtal_Prot#'!A:AL,22,FALSE)</f>
        <v>52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46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236</v>
      </c>
      <c r="B118" s="1" t="str">
        <f>VLOOKUP(A118,Xtal_Templ!B:C,2,FALSE)</f>
        <v>ccr5_human</v>
      </c>
      <c r="C118" s="5">
        <f>VLOOKUP($B118&amp;"__wt",'SegEnds_Xtal_BW#'!$A:$Z,3,FALSE)</f>
        <v>24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66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24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f>VLOOKUP($B118&amp;"__wt",'SegEnds_Xtal_BW#'!$A:$Z,15,FALSE)</f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34</v>
      </c>
      <c r="T118" s="1">
        <f t="array" ref="T118">INDEX(ICL3_classA!$G$2:$G$37,MATCH(MIN(ABS(AI118-ICL3_classA!$F$2:$F$37)),ABS(AI118-ICL3_classA!$F$2:$F$37),0))</f>
        <v>68</v>
      </c>
      <c r="U118" s="1">
        <f t="array" ref="U118">INDEX(ICL3_classA!$H$2:$H$37,MATCH(MIN(ABS(AI118-ICL3_classA!$F$2:$F$37)),ABS(AI118-ICL3_classA!$F$2:$F$37),0))</f>
        <v>24</v>
      </c>
      <c r="V118" s="1">
        <v>64</v>
      </c>
      <c r="W118" s="1">
        <v>24</v>
      </c>
      <c r="X118" s="128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19</v>
      </c>
      <c r="AE118" s="1">
        <f>VLOOKUP(A118,'SegEnds_NonXtal_Prot#'!A:AL,16,FALSE)-VLOOKUP(A118,'SegEnds_NonXtal_Prot#'!A:AL,10,FALSE)</f>
        <v>50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21</v>
      </c>
      <c r="AH118" s="1">
        <f>VLOOKUP(A118,'SegEnds_NonXtal_Prot#'!A:AL,28,FALSE)-VLOOKUP(A118,'SegEnds_NonXtal_Prot#'!A:AL,22,FALSE)</f>
        <v>44</v>
      </c>
      <c r="AI118" s="1">
        <f>VLOOKUP(A118,'SegEnds_NonXtal_Prot#'!A:AL,31,FALSE)-VLOOKUP(A118,'SegEnds_NonXtal_Prot#'!A:AL,28,FALSE)</f>
        <v>48</v>
      </c>
      <c r="AJ118" s="1">
        <f>VLOOKUP(A118,'SegEnds_NonXtal_Prot#'!A:AL,34,FALSE)-VLOOKUP(A118,'SegEnds_NonXtal_Prot#'!A:AL,31,FALSE)</f>
        <v>47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4" t="s">
        <v>238</v>
      </c>
      <c r="B119" s="4" t="str">
        <f>VLOOKUP(A119,Xtal_Templ!B:C,2,FALSE)</f>
        <v>lpar1_human</v>
      </c>
      <c r="C119" s="5">
        <f>VLOOKUP($B119&amp;"__wt",'SegEnds_Xtal_BW#'!$A:$Z,3,FALSE)</f>
        <v>30</v>
      </c>
      <c r="D119" s="4">
        <f>VLOOKUP($B119&amp;"__wt",'SegEnds_Xtal_BW#'!$A:$Z,4,FALSE)</f>
        <v>60</v>
      </c>
      <c r="E119" s="4">
        <f>VLOOKUP($B119&amp;"__wt",'SegEnds_Xtal_BW#'!$A:$Z,5,FALSE)</f>
        <v>48</v>
      </c>
      <c r="F119" s="4">
        <f>VLOOKUP($B119&amp;"__wt",'SegEnds_Xtal_BW#'!$A:$Z,6,FALSE)</f>
        <v>51</v>
      </c>
      <c r="G119" s="4">
        <v>37</v>
      </c>
      <c r="H119" s="11">
        <v>62</v>
      </c>
      <c r="I119" s="4">
        <v>48</v>
      </c>
      <c r="J119" s="4">
        <v>52</v>
      </c>
      <c r="K119" s="11">
        <v>24</v>
      </c>
      <c r="L119" s="4">
        <f>VLOOKUP($B119&amp;"__wt",'SegEnds_Xtal_BW#'!$A:$Z,12,FALSE)</f>
        <v>56</v>
      </c>
      <c r="M119" s="4">
        <f>VLOOKUP($B119&amp;"__wt",'SegEnds_Xtal_BW#'!$A:$Z,13,FALSE)</f>
        <v>50</v>
      </c>
      <c r="N119" s="11">
        <v>57</v>
      </c>
      <c r="O119" s="88">
        <v>38</v>
      </c>
      <c r="P119" s="4">
        <f>VLOOKUP($B119&amp;"__wt",'SegEnds_Xtal_BW#'!$A:$Z,16,FALSE)</f>
        <v>63</v>
      </c>
      <c r="Q119" s="4" t="str">
        <f>VLOOKUP($B119&amp;"__wt",'SegEnds_Xtal_BW#'!$A:$Z,17,FALSE)</f>
        <v>-</v>
      </c>
      <c r="R119" s="4" t="str">
        <f>VLOOKUP($B119&amp;"__wt",'SegEnds_Xtal_BW#'!$A:$Z,18,FALSE)</f>
        <v>-</v>
      </c>
      <c r="S119" s="4">
        <f>VLOOKUP($B119&amp;"__wt",'SegEnds_Xtal_BW#'!$A:$Z,19,FALSE)</f>
        <v>36</v>
      </c>
      <c r="T119" s="4">
        <f t="array" ref="T119">INDEX(ICL3_classA!$G$2:$G$37,MATCH(MIN(ABS(AI119-ICL3_classA!$F$2:$F$37)),ABS(AI119-ICL3_classA!$F$2:$F$37),0))</f>
        <v>73</v>
      </c>
      <c r="U119" s="4">
        <f t="array" ref="U119">INDEX(ICL3_classA!$H$2:$H$37,MATCH(MIN(ABS(AI119-ICL3_classA!$F$2:$F$37)),ABS(AI119-ICL3_classA!$F$2:$F$37),0))</f>
        <v>22</v>
      </c>
      <c r="V119" s="4">
        <v>61</v>
      </c>
      <c r="W119" s="4">
        <v>34</v>
      </c>
      <c r="X119" s="4">
        <f>VLOOKUP($B119&amp;"__wt",'SegEnds_Xtal_BW#'!$A:$Z,24,FALSE)</f>
        <v>56</v>
      </c>
      <c r="Y119" s="4">
        <f>VLOOKUP($B119&amp;"__wt",'SegEnds_Xtal_BW#'!$A:$Z,25,FALSE)</f>
        <v>47</v>
      </c>
      <c r="Z119" s="4">
        <f>VLOOKUP($B119&amp;"__wt",'SegEnds_Xtal_BW#'!$A:$Z,26,FALSE)</f>
        <v>59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4" t="e">
        <f>VLOOKUP(A119,'SegEnds_NonXtal_Prot#'!A:AL,10,FALSE)-VLOOKUP(A119,'SegEnds_NonXtal_Prot#'!A:AL,7,FALSE)</f>
        <v>#VALUE!</v>
      </c>
      <c r="AD119" s="4">
        <f>VLOOKUP(A119,'SegEnds_NonXtal_Prot#'!A:AL,13,FALSE)-VLOOKUP(A119,'SegEnds_NonXtal_Prot#'!A:AL,10,FALSE)</f>
        <v>15</v>
      </c>
      <c r="AE119" s="4">
        <f>VLOOKUP(A119,'SegEnds_NonXtal_Prot#'!A:AL,16,FALSE)-VLOOKUP(A119,'SegEnds_NonXtal_Prot#'!A:AL,10,FALSE)</f>
        <v>48</v>
      </c>
      <c r="AF119" s="1">
        <f>VLOOKUP(A119,'SegEnds_NonXtal_Prot#'!A:AL,22,FALSE)-VLOOKUP(A119,'SegEnds_NonXtal_Prot#'!A:AL,19,FALSE)</f>
        <v>20</v>
      </c>
      <c r="AG119" s="4" t="e">
        <f>VLOOKUP(A119,'SegEnds_NonXtal_Prot#'!A:AL,28,FALSE)-VLOOKUP(A119,'SegEnds_NonXtal_Prot#'!A:AL,25,FALSE)</f>
        <v>#VALUE!</v>
      </c>
      <c r="AH119" s="1">
        <f>VLOOKUP(A119,'SegEnds_NonXtal_Prot#'!A:AL,28,FALSE)-VLOOKUP(A119,'SegEnds_NonXtal_Prot#'!A:AL,22,FALSE)</f>
        <v>44</v>
      </c>
      <c r="AI119" s="4">
        <f>VLOOKUP(A119,'SegEnds_NonXtal_Prot#'!A:AL,31,FALSE)-VLOOKUP(A119,'SegEnds_NonXtal_Prot#'!A:AL,28,FALSE)</f>
        <v>57</v>
      </c>
      <c r="AJ119" s="4">
        <f>VLOOKUP(A119,'SegEnds_NonXtal_Prot#'!A:AL,34,FALSE)-VLOOKUP(A119,'SegEnds_NonXtal_Prot#'!A:AL,31,FALSE)</f>
        <v>32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239</v>
      </c>
      <c r="B120" s="1" t="str">
        <f>VLOOKUP(A120,Xtal_Templ!B:C,2,FALSE)</f>
        <v>apj_human</v>
      </c>
      <c r="C120" s="5">
        <f>VLOOKUP($B120&amp;"__wt",'SegEnds_Xtal_BW#'!$A:$Z,3,FALSE)</f>
        <v>33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52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f>VLOOKUP($B120&amp;"__wt",'SegEnds_Xtal_BW#'!$A:$Z,14,FALSE)</f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30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24</v>
      </c>
      <c r="V120" s="1">
        <v>61</v>
      </c>
      <c r="W120" s="1">
        <v>24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61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24</v>
      </c>
      <c r="AH120" s="1">
        <f>VLOOKUP(A120,'SegEnds_NonXtal_Prot#'!A:AL,28,FALSE)-VLOOKUP(A120,'SegEnds_NonXtal_Prot#'!A:AL,22,FALSE)</f>
        <v>49</v>
      </c>
      <c r="AI120" s="1">
        <f>VLOOKUP(A120,'SegEnds_NonXtal_Prot#'!A:AL,31,FALSE)-VLOOKUP(A120,'SegEnds_NonXtal_Prot#'!A:AL,28,FALSE)</f>
        <v>49</v>
      </c>
      <c r="AJ120" s="1">
        <f>VLOOKUP(A120,'SegEnds_NonXtal_Prot#'!A:AL,34,FALSE)-VLOOKUP(A120,'SegEnds_NonXtal_Prot#'!A:AL,31,FALSE)</f>
        <v>43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240</v>
      </c>
      <c r="B121" s="1" t="str">
        <f>VLOOKUP(A121,Xtal_Templ!B:C,2,FALSE)</f>
        <v>apj_human</v>
      </c>
      <c r="C121" s="5">
        <f>VLOOKUP($B121&amp;"__wt",'SegEnds_Xtal_BW#'!$A:$Z,3,FALSE)</f>
        <v>33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52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67</v>
      </c>
      <c r="U121" s="1">
        <f t="array" ref="U121">INDEX(ICL3_classA!$H$2:$H$37,MATCH(MIN(ABS(AI121-ICL3_classA!$F$2:$F$37)),ABS(AI121-ICL3_classA!$F$2:$F$37),0))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23</v>
      </c>
      <c r="AH121" s="1">
        <f>VLOOKUP(A121,'SegEnds_NonXtal_Prot#'!A:AL,28,FALSE)-VLOOKUP(A121,'SegEnds_NonXtal_Prot#'!A:AL,22,FALSE)</f>
        <v>48</v>
      </c>
      <c r="AI121" s="1">
        <f>VLOOKUP(A121,'SegEnds_NonXtal_Prot#'!A:AL,31,FALSE)-VLOOKUP(A121,'SegEnds_NonXtal_Prot#'!A:AL,28,FALSE)</f>
        <v>46</v>
      </c>
      <c r="AJ121" s="1">
        <f>VLOOKUP(A121,'SegEnds_NonXtal_Prot#'!A:AL,34,FALSE)-VLOOKUP(A121,'SegEnds_NonXtal_Prot#'!A:AL,31,FALSE)</f>
        <v>44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241</v>
      </c>
      <c r="B122" s="1" t="str">
        <f>VLOOKUP(A122,Xtal_Templ!B:C,2,FALSE)</f>
        <v>apj_human</v>
      </c>
      <c r="C122" s="5">
        <f>VLOOKUP($B122&amp;"__wt",'SegEnds_Xtal_BW#'!$A:$Z,3,FALSE)</f>
        <v>33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52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21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68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19</v>
      </c>
      <c r="AE122" s="1">
        <f>VLOOKUP(A122,'SegEnds_NonXtal_Prot#'!A:AL,16,FALSE)-VLOOKUP(A122,'SegEnds_NonXtal_Prot#'!A:AL,10,FALSE)</f>
        <v>51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27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48</v>
      </c>
      <c r="AJ122" s="1">
        <f>VLOOKUP(A122,'SegEnds_NonXtal_Prot#'!A:AL,34,FALSE)-VLOOKUP(A122,'SegEnds_NonXtal_Prot#'!A:AL,31,FALSE)</f>
        <v>36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4" t="s">
        <v>242</v>
      </c>
      <c r="B123" s="4" t="str">
        <f>VLOOKUP(A123,Xtal_Templ!B:C,2,FALSE)</f>
        <v>ox2r_human</v>
      </c>
      <c r="C123" s="5">
        <f>VLOOKUP($B123&amp;"__wt",'SegEnds_Xtal_BW#'!$A:$Z,3,FALSE)</f>
        <v>31</v>
      </c>
      <c r="D123" s="4">
        <f>VLOOKUP($B123&amp;"__wt",'SegEnds_Xtal_BW#'!$A:$Z,4,FALSE)</f>
        <v>60</v>
      </c>
      <c r="E123" s="4">
        <f>VLOOKUP($B123&amp;"__wt",'SegEnds_Xtal_BW#'!$A:$Z,5,FALSE)</f>
        <v>48</v>
      </c>
      <c r="F123" s="4">
        <f>VLOOKUP($B123&amp;"__wt",'SegEnds_Xtal_BW#'!$A:$Z,6,FALSE)</f>
        <v>51</v>
      </c>
      <c r="G123" s="4">
        <v>37</v>
      </c>
      <c r="H123" s="12">
        <f>VLOOKUP($B123&amp;"__wt",'SegEnds_Xtal_BW#'!$A:$Z,8,FALSE)</f>
        <v>68</v>
      </c>
      <c r="I123" s="4">
        <f>VLOOKUP($B123&amp;"__wt",'SegEnds_Xtal_BW#'!$A:$Z,9,FALSE)</f>
        <v>49</v>
      </c>
      <c r="J123" s="4">
        <f>VLOOKUP($B123&amp;"__wt",'SegEnds_Xtal_BW#'!$A:$Z,10,FALSE)</f>
        <v>52</v>
      </c>
      <c r="K123" s="11">
        <v>18</v>
      </c>
      <c r="L123" s="4">
        <f>VLOOKUP($B123&amp;"__wt",'SegEnds_Xtal_BW#'!$A:$Z,12,FALSE)</f>
        <v>56</v>
      </c>
      <c r="M123" s="4">
        <f>VLOOKUP($B123&amp;"__wt",'SegEnds_Xtal_BW#'!$A:$Z,13,FALSE)</f>
        <v>50</v>
      </c>
      <c r="N123" s="11">
        <v>53</v>
      </c>
      <c r="O123" s="87">
        <f>VLOOKUP($B123&amp;"__wt",'SegEnds_Xtal_BW#'!$A:$Z,15,FALSE)</f>
        <v>38</v>
      </c>
      <c r="P123" s="4">
        <f>VLOOKUP($B123&amp;"__wt",'SegEnds_Xtal_BW#'!$A:$Z,16,FALSE)</f>
        <v>64</v>
      </c>
      <c r="Q123" s="4">
        <f>VLOOKUP($B123&amp;"__wt",'SegEnds_Xtal_BW#'!$A:$Z,17,FALSE)</f>
        <v>50</v>
      </c>
      <c r="R123" s="4">
        <f>VLOOKUP($B123&amp;"__wt",'SegEnds_Xtal_BW#'!$A:$Z,18,FALSE)</f>
        <v>52</v>
      </c>
      <c r="S123" s="4">
        <f>VLOOKUP($B123&amp;"__wt",'SegEnds_Xtal_BW#'!$A:$Z,19,FALSE)</f>
        <v>33</v>
      </c>
      <c r="T123" s="4">
        <f t="array" ref="T123">INDEX(ICL3_classA!$G$2:$G$37,MATCH(MIN(ABS(AI123-ICL3_classA!$F$2:$F$37)),ABS(AI123-ICL3_classA!$F$2:$F$37),0))</f>
        <v>73</v>
      </c>
      <c r="U123" s="4">
        <f t="array" ref="U123">INDEX(ICL3_classA!$H$2:$H$37,MATCH(MIN(ABS(AI123-ICL3_classA!$F$2:$F$37)),ABS(AI123-ICL3_classA!$F$2:$F$37),0))</f>
        <v>22</v>
      </c>
      <c r="V123" s="4">
        <v>61</v>
      </c>
      <c r="W123" s="4">
        <v>31</v>
      </c>
      <c r="X123" s="4">
        <f>VLOOKUP($B123&amp;"__wt",'SegEnds_Xtal_BW#'!$A:$Z,24,FALSE)</f>
        <v>56</v>
      </c>
      <c r="Y123" s="4">
        <f>VLOOKUP($B123&amp;"__wt",'SegEnds_Xtal_BW#'!$A:$Z,25,FALSE)</f>
        <v>47</v>
      </c>
      <c r="Z123" s="4">
        <f>VLOOKUP($B123&amp;"__wt",'SegEnds_Xtal_BW#'!$A:$Z,26,FALSE)</f>
        <v>58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4">
        <f>VLOOKUP(A123,'SegEnds_NonXtal_Prot#'!A:AL,10,FALSE)-VLOOKUP(A123,'SegEnds_NonXtal_Prot#'!A:AL,7,FALSE)</f>
        <v>15</v>
      </c>
      <c r="AD123" s="4">
        <f>VLOOKUP(A123,'SegEnds_NonXtal_Prot#'!A:AL,13,FALSE)-VLOOKUP(A123,'SegEnds_NonXtal_Prot#'!A:AL,10,FALSE)</f>
        <v>20</v>
      </c>
      <c r="AE123" s="4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18</v>
      </c>
      <c r="AG123" s="4">
        <f>VLOOKUP(A123,'SegEnds_NonXtal_Prot#'!A:AL,28,FALSE)-VLOOKUP(A123,'SegEnds_NonXtal_Prot#'!A:AL,25,FALSE)</f>
        <v>25</v>
      </c>
      <c r="AH123" s="1">
        <f>VLOOKUP(A123,'SegEnds_NonXtal_Prot#'!A:AL,28,FALSE)-VLOOKUP(A123,'SegEnds_NonXtal_Prot#'!A:AL,22,FALSE)</f>
        <v>47</v>
      </c>
      <c r="AI123" s="4">
        <f>VLOOKUP(A123,'SegEnds_NonXtal_Prot#'!A:AL,31,FALSE)-VLOOKUP(A123,'SegEnds_NonXtal_Prot#'!A:AL,28,FALSE)</f>
        <v>56</v>
      </c>
      <c r="AJ123" s="4">
        <f>VLOOKUP(A123,'SegEnds_NonXtal_Prot#'!A:AL,34,FALSE)-VLOOKUP(A123,'SegEnds_NonXtal_Prot#'!A:AL,31,FALSE)</f>
        <v>36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243</v>
      </c>
      <c r="B124" s="1" t="str">
        <f>VLOOKUP(A124,Xtal_Templ!B:C,2,FALSE)</f>
        <v>par2_human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 t="str">
        <f>VLOOKUP($B124&amp;"__wt",'SegEnds_Xtal_BW#'!$A:$Z,5,FALSE)</f>
        <v>-</v>
      </c>
      <c r="F124" s="1" t="str">
        <f>VLOOKUP($B124&amp;"__wt",'SegEnds_Xtal_BW#'!$A:$Z,6,FALSE)</f>
        <v>-</v>
      </c>
      <c r="G124" s="1">
        <v>37</v>
      </c>
      <c r="H124" s="12">
        <v>66</v>
      </c>
      <c r="I124" s="1">
        <f>VLOOKUP($B124&amp;"__wt",'SegEnds_Xtal_BW#'!$A:$Z,9,FALSE)</f>
        <v>47</v>
      </c>
      <c r="J124" s="1">
        <f>VLOOKUP($B124&amp;"__wt",'SegEnds_Xtal_BW#'!$A:$Z,10,FALSE)</f>
        <v>52</v>
      </c>
      <c r="K124" s="12">
        <v>24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62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08">
        <v>38</v>
      </c>
      <c r="T124" s="1">
        <f t="array" ref="T124">INDEX(ICL3_classA!$G$2:$G$37,MATCH(MIN(ABS(AI124-ICL3_classA!$F$2:$F$37)),ABS(AI124-ICL3_classA!$F$2:$F$37),0))</f>
        <v>68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28</v>
      </c>
      <c r="AC124" s="1">
        <f>VLOOKUP(A124,'SegEnds_NonXtal_Prot#'!A:AL,10,FALSE)-VLOOKUP(A124,'SegEnds_NonXtal_Prot#'!A:AL,7,FALSE)</f>
        <v>15</v>
      </c>
      <c r="AD124" s="1" t="e">
        <f>VLOOKUP(A124,'SegEnds_NonXtal_Prot#'!A:AL,13,FALSE)-VLOOKUP(A124,'SegEnds_NonXtal_Prot#'!A:AL,10,FALSE)</f>
        <v>#VALUE!</v>
      </c>
      <c r="AE124" s="1">
        <f>VLOOKUP(A124,'SegEnds_NonXtal_Prot#'!A:AL,16,FALSE)-VLOOKUP(A124,'SegEnds_NonXtal_Prot#'!A:AL,10,FALSE)</f>
        <v>49</v>
      </c>
      <c r="AF124" s="1">
        <f>VLOOKUP(A124,'SegEnds_NonXtal_Prot#'!A:AL,22,FALSE)-VLOOKUP(A124,'SegEnds_NonXtal_Prot#'!A:AL,19,FALSE)</f>
        <v>20</v>
      </c>
      <c r="AG124" s="1" t="e">
        <f>VLOOKUP(A124,'SegEnds_NonXtal_Prot#'!A:AL,28,FALSE)-VLOOKUP(A124,'SegEnds_NonXtal_Prot#'!A:AL,25,FALSE)</f>
        <v>#VALUE!</v>
      </c>
      <c r="AH124" s="1">
        <f>VLOOKUP(A124,'SegEnds_NonXtal_Prot#'!A:AL,28,FALSE)-VLOOKUP(A124,'SegEnds_NonXtal_Prot#'!A:AL,22,FALSE)</f>
        <v>33</v>
      </c>
      <c r="AI124" s="1">
        <f>VLOOKUP(A124,'SegEnds_NonXtal_Prot#'!A:AL,31,FALSE)-VLOOKUP(A124,'SegEnds_NonXtal_Prot#'!A:AL,28,FALSE)</f>
        <v>48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246</v>
      </c>
      <c r="B125" s="1" t="str">
        <f>VLOOKUP(A125,Xtal_Templ!B:C,2,FALSE)</f>
        <v>agtr1_human</v>
      </c>
      <c r="C125" s="5">
        <f>VLOOKUP($B125&amp;"__wt",'SegEnds_Xtal_BW#'!$A:$Z,3,FALSE)</f>
        <v>30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34</v>
      </c>
      <c r="T125" s="1">
        <f t="array" ref="T125">INDEX(ICL3_classA!$G$2:$G$37,MATCH(MIN(ABS(AI125-ICL3_classA!$F$2:$F$37)),ABS(AI125-ICL3_classA!$F$2:$F$37),0))</f>
        <v>67</v>
      </c>
      <c r="U125" s="1">
        <f t="array" ref="U125">INDEX(ICL3_classA!$H$2:$H$37,MATCH(MIN(ABS(AI125-ICL3_classA!$F$2:$F$37)),ABS(AI125-ICL3_classA!$F$2:$F$37),0))</f>
        <v>28</v>
      </c>
      <c r="V125" s="1">
        <v>64</v>
      </c>
      <c r="W125" s="1">
        <v>24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20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50</v>
      </c>
      <c r="AI125" s="1">
        <f>VLOOKUP(A125,'SegEnds_NonXtal_Prot#'!A:AL,31,FALSE)-VLOOKUP(A125,'SegEnds_NonXtal_Prot#'!A:AL,28,FALSE)</f>
        <v>45</v>
      </c>
      <c r="AJ125" s="1">
        <f>VLOOKUP(A125,'SegEnds_NonXtal_Prot#'!A:AL,34,FALSE)-VLOOKUP(A125,'SegEnds_NonXtal_Prot#'!A:AL,31,FALSE)</f>
        <v>45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248</v>
      </c>
      <c r="B126" s="1" t="str">
        <f>VLOOKUP(A126,Xtal_Templ!B:C,2,FALSE)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58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v>35</v>
      </c>
      <c r="T126" s="1">
        <f t="array" ref="T126">INDEX(ICL3_classA!$G$2:$G$37,MATCH(MIN(ABS(AI126-ICL3_classA!$F$2:$F$37)),ABS(AI126-ICL3_classA!$F$2:$F$37),0))</f>
        <v>76</v>
      </c>
      <c r="U126" s="1">
        <f t="array" ref="U126">INDEX(ICL3_classA!$H$2:$H$37,MATCH(MIN(ABS(AI126-ICL3_classA!$F$2:$F$37)),ABS(AI126-ICL3_classA!$F$2:$F$37),0))</f>
        <v>24</v>
      </c>
      <c r="V126" s="1">
        <v>61</v>
      </c>
      <c r="W126" s="1"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56</v>
      </c>
      <c r="AF126" s="1">
        <f>VLOOKUP(A126,'SegEnds_NonXtal_Prot#'!A:AL,22,FALSE)-VLOOKUP(A126,'SegEnds_NonXtal_Prot#'!A:AL,19,FALSE)</f>
        <v>21</v>
      </c>
      <c r="AG126" s="1">
        <f>VLOOKUP(A126,'SegEnds_NonXtal_Prot#'!A:AL,28,FALSE)-VLOOKUP(A126,'SegEnds_NonXtal_Prot#'!A:AL,25,FALSE)</f>
        <v>18</v>
      </c>
      <c r="AH126" s="1">
        <f>VLOOKUP(A126,'SegEnds_NonXtal_Prot#'!A:AL,28,FALSE)-VLOOKUP(A126,'SegEnds_NonXtal_Prot#'!A:AL,22,FALSE)</f>
        <v>41</v>
      </c>
      <c r="AI126" s="1">
        <f>VLOOKUP(A126,'SegEnds_NonXtal_Prot#'!A:AL,31,FALSE)-VLOOKUP(A126,'SegEnds_NonXtal_Prot#'!A:AL,28,FALSE)</f>
        <v>110</v>
      </c>
      <c r="AJ126" s="1">
        <f>VLOOKUP(A126,'SegEnds_NonXtal_Prot#'!A:AL,34,FALSE)-VLOOKUP(A126,'SegEnds_NonXtal_Prot#'!A:AL,31,FALSE)</f>
        <v>36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249</v>
      </c>
      <c r="B127" s="1" t="str">
        <f>VLOOKUP(A127,Xtal_Templ!B:C,2,FALSE)</f>
        <v>lpar1_human</v>
      </c>
      <c r="C127" s="5">
        <f>VLOOKUP($B127&amp;"__wt",'SegEnds_Xtal_BW#'!$A:$Z,3,FALSE)</f>
        <v>30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51</v>
      </c>
      <c r="G127" s="1">
        <v>37</v>
      </c>
      <c r="H127" s="12">
        <v>62</v>
      </c>
      <c r="I127" s="1">
        <v>48</v>
      </c>
      <c r="J127" s="1">
        <v>52</v>
      </c>
      <c r="K127" s="12">
        <v>24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63</v>
      </c>
      <c r="Q127" s="1" t="str">
        <f>VLOOKUP($B127&amp;"__wt",'SegEnds_Xtal_BW#'!$A:$Z,17,FALSE)</f>
        <v>-</v>
      </c>
      <c r="R127" s="1" t="str">
        <f>VLOOKUP($B127&amp;"__wt",'SegEnds_Xtal_BW#'!$A:$Z,18,FALSE)</f>
        <v>-</v>
      </c>
      <c r="S127" s="1">
        <f>VLOOKUP($B127&amp;"__wt",'SegEnds_Xtal_BW#'!$A:$Z,19,FALSE)</f>
        <v>36</v>
      </c>
      <c r="T127" s="1">
        <f t="array" ref="T127">INDEX(ICL3_classA!$G$2:$G$37,MATCH(MIN(ABS(AI127-ICL3_classA!$F$2:$F$37)),ABS(AI127-ICL3_classA!$F$2:$F$37),0))</f>
        <v>73</v>
      </c>
      <c r="U127" s="1">
        <f t="array" ref="U127">INDEX(ICL3_classA!$H$2:$H$37,MATCH(MIN(ABS(AI127-ICL3_classA!$F$2:$F$37)),ABS(AI127-ICL3_classA!$F$2:$F$37),0))</f>
        <v>22</v>
      </c>
      <c r="V127" s="1">
        <v>61</v>
      </c>
      <c r="W127" s="1">
        <v>34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>
        <f>VLOOKUP(A127,'SegEnds_NonXtal_Prot#'!A:AL,13,FALSE)-VLOOKUP(A127,'SegEnds_NonXtal_Prot#'!A:AL,10,FALSE)</f>
        <v>15</v>
      </c>
      <c r="AE127" s="1">
        <f>VLOOKUP(A127,'SegEnds_NonXtal_Prot#'!A:AL,16,FALSE)-VLOOKUP(A127,'SegEnds_NonXtal_Prot#'!A:AL,10,FALSE)</f>
        <v>48</v>
      </c>
      <c r="AF127" s="1">
        <f>VLOOKUP(A127,'SegEnds_NonXtal_Prot#'!A:AL,22,FALSE)-VLOOKUP(A127,'SegEnds_NonXtal_Prot#'!A:AL,19,FALSE)</f>
        <v>20</v>
      </c>
      <c r="AG127" s="1" t="e">
        <f>VLOOKUP(A127,'SegEnds_NonXtal_Prot#'!A:AL,28,FALSE)-VLOOKUP(A127,'SegEnds_NonXtal_Prot#'!A:AL,25,FALSE)</f>
        <v>#VALUE!</v>
      </c>
      <c r="AH127" s="1">
        <f>VLOOKUP(A127,'SegEnds_NonXtal_Prot#'!A:AL,28,FALSE)-VLOOKUP(A127,'SegEnds_NonXtal_Prot#'!A:AL,22,FALSE)</f>
        <v>44</v>
      </c>
      <c r="AI127" s="1">
        <f>VLOOKUP(A127,'SegEnds_NonXtal_Prot#'!A:AL,31,FALSE)-VLOOKUP(A127,'SegEnds_NonXtal_Prot#'!A:AL,28,FALSE)</f>
        <v>57</v>
      </c>
      <c r="AJ127" s="1">
        <f>VLOOKUP(A127,'SegEnds_NonXtal_Prot#'!A:AL,34,FALSE)-VLOOKUP(A127,'SegEnds_NonXtal_Prot#'!A:AL,31,FALSE)</f>
        <v>32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250</v>
      </c>
      <c r="B128" s="1" t="str">
        <f>VLOOKUP(A128,Xtal_Templ!B:C,2,FALSE)</f>
        <v>oprd_mouse</v>
      </c>
      <c r="C128" s="5">
        <f>VLOOKUP($B128&amp;"__wt",'SegEnds_Xtal_BW#'!$A:$Z,3,FALSE)</f>
        <v>24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60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50</v>
      </c>
      <c r="AI128" s="1">
        <f>VLOOKUP(A128,'SegEnds_NonXtal_Prot#'!A:AL,31,FALSE)-VLOOKUP(A128,'SegEnds_NonXtal_Prot#'!A:AL,28,FALSE)</f>
        <v>48</v>
      </c>
      <c r="AJ128" s="1">
        <f>VLOOKUP(A128,'SegEnds_NonXtal_Prot#'!A:AL,34,FALSE)-VLOOKUP(A128,'SegEnds_NonXtal_Prot#'!A:AL,31,FALSE)</f>
        <v>42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253</v>
      </c>
      <c r="B129" s="1" t="str">
        <f>VLOOKUP(A129,Xtal_Templ!B:C,2,FALSE)</f>
        <v>ptafr_human</v>
      </c>
      <c r="C129" s="5">
        <f>VLOOKUP($B129&amp;"__wt",'SegEnds_Xtal_BW#'!$A:$Z,3,FALSE)</f>
        <v>27</v>
      </c>
      <c r="D129" s="1">
        <f>VLOOKUP($B129&amp;"__wt",'SegEnds_Xtal_BW#'!$A:$Z,4,FALSE)</f>
        <v>61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f>VLOOKUP($B129&amp;"__wt",'SegEnds_Xtal_BW#'!$A:$Z,14,FALSE)</f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33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23</v>
      </c>
      <c r="V129" s="1">
        <v>61</v>
      </c>
      <c r="W129" s="1">
        <v>24</v>
      </c>
      <c r="X129" s="1">
        <f>VLOOKUP($B129&amp;"__wt",'SegEnds_Xtal_BW#'!$A:$Z,24,FALSE)</f>
        <v>59</v>
      </c>
      <c r="Y129" s="1">
        <f>VLOOKUP($B129&amp;"__wt",'SegEnds_Xtal_BW#'!$A:$Z,25,FALSE)</f>
        <v>50</v>
      </c>
      <c r="Z129" s="1">
        <f>VLOOKUP($B129&amp;"__wt",'SegEnds_Xtal_BW#'!$A:$Z,26,FALSE)</f>
        <v>63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26</v>
      </c>
      <c r="AH129" s="1">
        <f>VLOOKUP(A129,'SegEnds_NonXtal_Prot#'!A:AL,28,FALSE)-VLOOKUP(A129,'SegEnds_NonXtal_Prot#'!A:AL,22,FALSE)</f>
        <v>51</v>
      </c>
      <c r="AI129" s="1">
        <f>VLOOKUP(A129,'SegEnds_NonXtal_Prot#'!A:AL,31,FALSE)-VLOOKUP(A129,'SegEnds_NonXtal_Prot#'!A:AL,28,FALSE)</f>
        <v>51</v>
      </c>
      <c r="AJ129" s="1">
        <f>VLOOKUP(A129,'SegEnds_NonXtal_Prot#'!A:AL,34,FALSE)-VLOOKUP(A129,'SegEnds_NonXtal_Prot#'!A:AL,31,FALSE)</f>
        <v>43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254</v>
      </c>
      <c r="B130" s="1" t="str">
        <f>VLOOKUP(A130,Xtal_Templ!B:C,2,FALSE)</f>
        <v>ccr2_human</v>
      </c>
      <c r="C130" s="5">
        <f>VLOOKUP($B130&amp;"__wt",'SegEnds_Xtal_BW#'!$A:$Z,3,FALSE)</f>
        <v>27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v>35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24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28</v>
      </c>
      <c r="AC130" s="1">
        <f>VLOOKUP(A130,'SegEnds_NonXtal_Prot#'!A:AL,10,FALSE)-VLOOKUP(A130,'SegEnds_NonXtal_Prot#'!A:AL,7,FALSE)</f>
        <v>15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21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49</v>
      </c>
      <c r="AJ130" s="1">
        <f>VLOOKUP(A130,'SegEnds_NonXtal_Prot#'!A:AL,34,FALSE)-VLOOKUP(A130,'SegEnds_NonXtal_Prot#'!A:AL,31,FALSE)</f>
        <v>41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255</v>
      </c>
      <c r="B131" s="1" t="str">
        <f>VLOOKUP(A131,Xtal_Templ!B:C,2,FALSE)</f>
        <v>ednrb_human</v>
      </c>
      <c r="C131" s="5">
        <f>VLOOKUP($B131&amp;"__wt",'SegEnds_Xtal_BW#'!$A:$Z,3,FALSE)</f>
        <v>22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52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28</v>
      </c>
      <c r="T131" s="1">
        <f t="array" ref="T131">INDEX(ICL3_classA!$G$2:$G$37,MATCH(MIN(ABS(AI131-ICL3_classA!$F$2:$F$37)),ABS(AI131-ICL3_classA!$F$2:$F$37),0))</f>
        <v>72</v>
      </c>
      <c r="U131" s="1">
        <f t="array" ref="U131">INDEX(ICL3_classA!$H$2:$H$37,MATCH(MIN(ABS(AI131-ICL3_classA!$F$2:$F$37)),ABS(AI131-ICL3_classA!$F$2:$F$37),0))</f>
        <v>24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60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28</v>
      </c>
      <c r="AC131" s="1">
        <f>VLOOKUP(A131,'SegEnds_NonXtal_Prot#'!A:AL,10,FALSE)-VLOOKUP(A131,'SegEnds_NonXtal_Prot#'!A:AL,7,FALSE)</f>
        <v>15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35</v>
      </c>
      <c r="AH131" s="1">
        <f>VLOOKUP(A131,'SegEnds_NonXtal_Prot#'!A:AL,28,FALSE)-VLOOKUP(A131,'SegEnds_NonXtal_Prot#'!A:AL,22,FALSE)</f>
        <v>67</v>
      </c>
      <c r="AI131" s="1">
        <f>VLOOKUP(A131,'SegEnds_NonXtal_Prot#'!A:AL,31,FALSE)-VLOOKUP(A131,'SegEnds_NonXtal_Prot#'!A:AL,28,FALSE)</f>
        <v>53</v>
      </c>
      <c r="AJ131" s="1">
        <f>VLOOKUP(A131,'SegEnds_NonXtal_Prot#'!A:AL,34,FALSE)-VLOOKUP(A131,'SegEnds_NonXtal_Prot#'!A:AL,31,FALSE)</f>
        <v>39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257</v>
      </c>
      <c r="B132" s="1" t="str">
        <f>VLOOKUP(A132,Xtal_Templ!B:C,2,FALSE)</f>
        <v>ptafr_human</v>
      </c>
      <c r="C132" s="5">
        <f>VLOOKUP($B132&amp;"__wt",'SegEnds_Xtal_BW#'!$A:$Z,3,FALSE)</f>
        <v>27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f>VLOOKUP($B132&amp;"__wt",'SegEnds_Xtal_BW#'!$A:$Z,15,FALSE)</f>
        <v>38</v>
      </c>
      <c r="P132" s="1">
        <f>VLOOKUP($B132&amp;"__wt",'SegEnds_Xtal_BW#'!$A:$Z,16,FALSE)</f>
        <v>63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33</v>
      </c>
      <c r="T132" s="1">
        <f t="array" ref="T132">INDEX(ICL3_classA!$G$2:$G$37,MATCH(MIN(ABS(AI132-ICL3_classA!$F$2:$F$37)),ABS(AI132-ICL3_classA!$F$2:$F$37),0))</f>
        <v>67</v>
      </c>
      <c r="U132" s="1">
        <f t="array" ref="U132">INDEX(ICL3_classA!$H$2:$H$37,MATCH(MIN(ABS(AI132-ICL3_classA!$F$2:$F$37)),ABS(AI132-ICL3_classA!$F$2:$F$37),0))</f>
        <v>26</v>
      </c>
      <c r="V132" s="1">
        <v>64</v>
      </c>
      <c r="W132" s="1">
        <v>24</v>
      </c>
      <c r="X132" s="1">
        <f>VLOOKUP($B132&amp;"__wt",'SegEnds_Xtal_BW#'!$A:$Z,24,FALSE)</f>
        <v>59</v>
      </c>
      <c r="Y132" s="1">
        <f>VLOOKUP($B132&amp;"__wt",'SegEnds_Xtal_BW#'!$A:$Z,25,FALSE)</f>
        <v>50</v>
      </c>
      <c r="Z132" s="1">
        <f>VLOOKUP($B132&amp;"__wt",'SegEnds_Xtal_BW#'!$A:$Z,26,FALSE)</f>
        <v>63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28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25</v>
      </c>
      <c r="AH132" s="1">
        <f>VLOOKUP(A132,'SegEnds_NonXtal_Prot#'!A:AL,28,FALSE)-VLOOKUP(A132,'SegEnds_NonXtal_Prot#'!A:AL,22,FALSE)</f>
        <v>51</v>
      </c>
      <c r="AI132" s="1">
        <f>VLOOKUP(A132,'SegEnds_NonXtal_Prot#'!A:AL,31,FALSE)-VLOOKUP(A132,'SegEnds_NonXtal_Prot#'!A:AL,28,FALSE)</f>
        <v>46</v>
      </c>
      <c r="AJ132" s="1">
        <f>VLOOKUP(A132,'SegEnds_NonXtal_Prot#'!A:AL,34,FALSE)-VLOOKUP(A132,'SegEnds_NonXtal_Prot#'!A:AL,31,FALSE)</f>
        <v>44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259</v>
      </c>
      <c r="B133" s="1" t="str">
        <f>VLOOKUP(A133,Xtal_Templ!B:C,2,FALSE)</f>
        <v>5ht1b_human</v>
      </c>
      <c r="C133" s="5">
        <f>VLOOKUP($B133&amp;"__wt",'SegEnds_Xtal_BW#'!$A:$Z,3,FALSE)</f>
        <v>28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68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63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v>35</v>
      </c>
      <c r="T133" s="1">
        <f t="array" ref="T133">INDEX(ICL3_classA!$G$2:$G$37,MATCH(MIN(ABS(AI133-ICL3_classA!$F$2:$F$37)),ABS(AI133-ICL3_classA!$F$2:$F$37),0))</f>
        <v>76</v>
      </c>
      <c r="U133" s="1">
        <f t="array" ref="U133">INDEX(ICL3_classA!$H$2:$H$37,MATCH(MIN(ABS(AI133-ICL3_classA!$F$2:$F$37)),ABS(AI133-ICL3_classA!$F$2:$F$37),0))</f>
        <v>24</v>
      </c>
      <c r="V133" s="1">
        <v>61</v>
      </c>
      <c r="W133" s="1">
        <v>28</v>
      </c>
      <c r="X133" s="128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58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 t="e">
        <f>VLOOKUP(A133,'SegEnds_NonXtal_Prot#'!A:AL,22,FALSE)-VLOOKUP(A133,'SegEnds_NonXtal_Prot#'!A:AL,19,FALSE)</f>
        <v>#VALUE!</v>
      </c>
      <c r="AG133" s="1">
        <f>VLOOKUP(A133,'SegEnds_NonXtal_Prot#'!A:AL,28,FALSE)-VLOOKUP(A133,'SegEnds_NonXtal_Prot#'!A:AL,25,FALSE)</f>
        <v>25</v>
      </c>
      <c r="AH133" s="1">
        <f>VLOOKUP(A133,'SegEnds_NonXtal_Prot#'!A:AL,28,FALSE)-VLOOKUP(A133,'SegEnds_NonXtal_Prot#'!A:AL,22,FALSE)</f>
        <v>51</v>
      </c>
      <c r="AI133" s="1">
        <f>VLOOKUP(A133,'SegEnds_NonXtal_Prot#'!A:AL,31,FALSE)-VLOOKUP(A133,'SegEnds_NonXtal_Prot#'!A:AL,28,FALSE)</f>
        <v>75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262</v>
      </c>
      <c r="B134" s="1" t="str">
        <f>VLOOKUP(A134,Xtal_Templ!B:C,2,FALSE)</f>
        <v>s1pr1_human</v>
      </c>
      <c r="C134" s="5">
        <f>VLOOKUP($B134&amp;"__wt",'SegEnds_Xtal_BW#'!$A:$Z,3,FALSE)</f>
        <v>29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62</v>
      </c>
      <c r="I134" s="1">
        <v>48</v>
      </c>
      <c r="J134" s="1">
        <v>52</v>
      </c>
      <c r="K134" s="12">
        <v>24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v>38</v>
      </c>
      <c r="P134" s="1">
        <f>VLOOKUP($B134&amp;"__wt",'SegEnds_Xtal_BW#'!$A:$Z,16,FALSE)</f>
        <v>63</v>
      </c>
      <c r="Q134" s="1" t="str">
        <f>VLOOKUP($B134&amp;"__wt",'SegEnds_Xtal_BW#'!$A:$Z,17,FALSE)</f>
        <v>-</v>
      </c>
      <c r="R134" s="1" t="str">
        <f>VLOOKUP($B134&amp;"__wt",'SegEnds_Xtal_BW#'!$A:$Z,18,FALSE)</f>
        <v>-</v>
      </c>
      <c r="S134" s="1">
        <f>VLOOKUP($B134&amp;"__wt",'SegEnds_Xtal_BW#'!$A:$Z,19,FALSE)</f>
        <v>36</v>
      </c>
      <c r="T134" s="1">
        <f t="array" ref="T134">INDEX(ICL3_classA!$G$2:$G$37,MATCH(MIN(ABS(AI134-ICL3_classA!$F$2:$F$37)),ABS(AI134-ICL3_classA!$F$2:$F$37),0))</f>
        <v>73</v>
      </c>
      <c r="U134" s="1">
        <f t="array" ref="U134">INDEX(ICL3_classA!$H$2:$H$37,MATCH(MIN(ABS(AI134-ICL3_classA!$F$2:$F$37)),ABS(AI134-ICL3_classA!$F$2:$F$37),0))</f>
        <v>22</v>
      </c>
      <c r="V134" s="1">
        <v>61</v>
      </c>
      <c r="W134" s="1">
        <v>34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15</v>
      </c>
      <c r="AE134" s="1">
        <f>VLOOKUP(A134,'SegEnds_NonXtal_Prot#'!A:AL,16,FALSE)-VLOOKUP(A134,'SegEnds_NonXtal_Prot#'!A:AL,10,FALSE)</f>
        <v>48</v>
      </c>
      <c r="AF134" s="1">
        <f>VLOOKUP(A134,'SegEnds_NonXtal_Prot#'!A:AL,22,FALSE)-VLOOKUP(A134,'SegEnds_NonXtal_Prot#'!A:AL,19,FALSE)</f>
        <v>20</v>
      </c>
      <c r="AG134" s="1" t="e">
        <f>VLOOKUP(A134,'SegEnds_NonXtal_Prot#'!A:AL,28,FALSE)-VLOOKUP(A134,'SegEnds_NonXtal_Prot#'!A:AL,25,FALSE)</f>
        <v>#VALUE!</v>
      </c>
      <c r="AH134" s="1">
        <f>VLOOKUP(A134,'SegEnds_NonXtal_Prot#'!A:AL,28,FALSE)-VLOOKUP(A134,'SegEnds_NonXtal_Prot#'!A:AL,22,FALSE)</f>
        <v>44</v>
      </c>
      <c r="AI134" s="1">
        <f>VLOOKUP(A134,'SegEnds_NonXtal_Prot#'!A:AL,31,FALSE)-VLOOKUP(A134,'SegEnds_NonXtal_Prot#'!A:AL,28,FALSE)</f>
        <v>57</v>
      </c>
      <c r="AJ134" s="1">
        <f>VLOOKUP(A134,'SegEnds_NonXtal_Prot#'!A:AL,34,FALSE)-VLOOKUP(A134,'SegEnds_NonXtal_Prot#'!A:AL,31,FALSE)</f>
        <v>32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265</v>
      </c>
      <c r="B135" s="1" t="str">
        <f>VLOOKUP(A135,Xtal_Templ!B:C,2,FALSE)</f>
        <v>5ht2c_human</v>
      </c>
      <c r="C135" s="5">
        <f>VLOOKUP($B135&amp;"__wt",'SegEnds_Xtal_BW#'!$A:$Z,3,FALSE)</f>
        <v>33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67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v>35</v>
      </c>
      <c r="T135" s="1">
        <f t="array" ref="T135">INDEX(ICL3_classA!$G$2:$G$37,MATCH(MIN(ABS(AI135-ICL3_classA!$F$2:$F$37)),ABS(AI135-ICL3_classA!$F$2:$F$37),0))</f>
        <v>76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51</v>
      </c>
      <c r="AI135" s="1">
        <f>VLOOKUP(A135,'SegEnds_NonXtal_Prot#'!A:AL,31,FALSE)-VLOOKUP(A135,'SegEnds_NonXtal_Prot#'!A:AL,28,FALSE)</f>
        <v>75</v>
      </c>
      <c r="AJ135" s="1">
        <f>VLOOKUP(A135,'SegEnds_NonXtal_Prot#'!A:AL,34,FALSE)-VLOOKUP(A135,'SegEnds_NonXtal_Prot#'!A:AL,31,FALSE)</f>
        <v>39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268</v>
      </c>
      <c r="B136" s="1" t="str">
        <f>VLOOKUP(A136,Xtal_Templ!B:C,2,FALSE)</f>
        <v>oprd_human</v>
      </c>
      <c r="C136" s="5">
        <f>VLOOKUP($B136&amp;"__wt",'SegEnds_Xtal_BW#'!$A:$Z,3,FALSE)</f>
        <v>22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56</v>
      </c>
      <c r="AF136" s="1">
        <f>VLOOKUP(A136,'SegEnds_NonXtal_Prot#'!A:AL,22,FALSE)-VLOOKUP(A136,'SegEnds_NonXtal_Prot#'!A:AL,19,FALSE)</f>
        <v>20</v>
      </c>
      <c r="AG136" s="1" t="e">
        <f>VLOOKUP(A136,'SegEnds_NonXtal_Prot#'!A:AL,28,FALSE)-VLOOKUP(A136,'SegEnds_NonXtal_Prot#'!A:AL,25,FALSE)</f>
        <v>#VALUE!</v>
      </c>
      <c r="AH136" s="1">
        <f>VLOOKUP(A136,'SegEnds_NonXtal_Prot#'!A:AL,28,FALSE)-VLOOKUP(A136,'SegEnds_NonXtal_Prot#'!A:AL,22,FALSE)</f>
        <v>53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42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269</v>
      </c>
      <c r="B137" s="1" t="str">
        <f>VLOOKUP(A137,Xtal_Templ!B:C,2,FALSE)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56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INDEX(ICL3_classA!$G$2:$G$37,MATCH(MIN(ABS(AI137-ICL3_classA!$F$2:$F$37)),ABS(AI137-ICL3_classA!$F$2:$F$37),0))</f>
        <v>73</v>
      </c>
      <c r="U137" s="1">
        <f t="array" ref="U137">INDEX(ICL3_classA!$H$2:$H$37,MATCH(MIN(ABS(AI137-ICL3_classA!$F$2:$F$37)),ABS(AI137-ICL3_classA!$F$2:$F$37),0))</f>
        <v>22</v>
      </c>
      <c r="V137" s="1">
        <v>61</v>
      </c>
      <c r="W137" s="1">
        <v>31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58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 t="e">
        <f>VLOOKUP(A137,'SegEnds_NonXtal_Prot#'!A:AL,22,FALSE)-VLOOKUP(A137,'SegEnds_NonXtal_Prot#'!A:AL,19,FALSE)</f>
        <v>#VALUE!</v>
      </c>
      <c r="AG137" s="1">
        <f>VLOOKUP(A137,'SegEnds_NonXtal_Prot#'!A:AL,28,FALSE)-VLOOKUP(A137,'SegEnds_NonXtal_Prot#'!A:AL,25,FALSE)</f>
        <v>27</v>
      </c>
      <c r="AH137" s="1">
        <f>VLOOKUP(A137,'SegEnds_NonXtal_Prot#'!A:AL,28,FALSE)-VLOOKUP(A137,'SegEnds_NonXtal_Prot#'!A:AL,22,FALSE)</f>
        <v>57</v>
      </c>
      <c r="AI137" s="1">
        <f>VLOOKUP(A137,'SegEnds_NonXtal_Prot#'!A:AL,31,FALSE)-VLOOKUP(A137,'SegEnds_NonXtal_Prot#'!A:AL,28,FALSE)</f>
        <v>56</v>
      </c>
      <c r="AJ137" s="1">
        <f>VLOOKUP(A137,'SegEnds_NonXtal_Prot#'!A:AL,34,FALSE)-VLOOKUP(A137,'SegEnds_NonXtal_Prot#'!A:AL,31,FALSE)</f>
        <v>35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270</v>
      </c>
      <c r="B138" s="1" t="str">
        <f>VLOOKUP(A138,Xtal_Templ!B:C,2,FALSE)</f>
        <v>ednrb_human</v>
      </c>
      <c r="C138" s="5">
        <f>VLOOKUP($B138&amp;"__wt",'SegEnds_Xtal_BW#'!$A:$Z,3,FALSE)</f>
        <v>22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52</v>
      </c>
      <c r="G138" s="1">
        <v>37</v>
      </c>
      <c r="H138" s="12">
        <f>VLOOKUP($B138&amp;"__wt",'SegEnds_Xtal_BW#'!$A:$Z,8,FALSE)</f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28</v>
      </c>
      <c r="T138" s="1">
        <f t="array" ref="T138">INDEX(ICL3_classA!$G$2:$G$37,MATCH(MIN(ABS(AI138-ICL3_classA!$F$2:$F$37)),ABS(AI138-ICL3_classA!$F$2:$F$37),0))</f>
        <v>74</v>
      </c>
      <c r="U138" s="1">
        <f t="array" ref="U138">INDEX(ICL3_classA!$H$2:$H$37,MATCH(MIN(ABS(AI138-ICL3_classA!$F$2:$F$37)),ABS(AI138-ICL3_classA!$F$2:$F$37),0))</f>
        <v>24</v>
      </c>
      <c r="V138" s="1">
        <v>61</v>
      </c>
      <c r="W138" s="1">
        <v>33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60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 t="e">
        <f>VLOOKUP(A138,'SegEnds_NonXtal_Prot#'!A:AL,13,FALSE)-VLOOKUP(A138,'SegEnds_NonXtal_Prot#'!A:AL,10,FALSE)</f>
        <v>#VALUE!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67</v>
      </c>
      <c r="AH138" s="1">
        <f>VLOOKUP(A138,'SegEnds_NonXtal_Prot#'!A:AL,28,FALSE)-VLOOKUP(A138,'SegEnds_NonXtal_Prot#'!A:AL,22,FALSE)</f>
        <v>90</v>
      </c>
      <c r="AI138" s="1">
        <f>VLOOKUP(A138,'SegEnds_NonXtal_Prot#'!A:AL,31,FALSE)-VLOOKUP(A138,'SegEnds_NonXtal_Prot#'!A:AL,28,FALSE)</f>
        <v>99</v>
      </c>
      <c r="AJ138" s="1">
        <f>VLOOKUP(A138,'SegEnds_NonXtal_Prot#'!A:AL,34,FALSE)-VLOOKUP(A138,'SegEnds_NonXtal_Prot#'!A:AL,31,FALSE)</f>
        <v>33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271</v>
      </c>
      <c r="B139" s="1" t="str">
        <f>VLOOKUP(A139,Xtal_Templ!B:C,2,FALSE)</f>
        <v>5ht2c_human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68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f>VLOOKUP($B139&amp;"__wt",'SegEnds_Xtal_BW#'!$A:$Z,15,FALSE)</f>
        <v>38</v>
      </c>
      <c r="P139" s="1">
        <f>VLOOKUP($B139&amp;"__wt",'SegEnds_Xtal_BW#'!$A:$Z,16,FALSE)</f>
        <v>67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v>35</v>
      </c>
      <c r="T139" s="1">
        <f t="array" ref="T139">INDEX(ICL3_classA!$G$2:$G$37,MATCH(MIN(ABS(AI139-ICL3_classA!$F$2:$F$37)),ABS(AI139-ICL3_classA!$F$2:$F$37),0))</f>
        <v>76</v>
      </c>
      <c r="U139" s="1">
        <f t="array" ref="U139">INDEX(ICL3_classA!$H$2:$H$37,MATCH(MIN(ABS(AI139-ICL3_classA!$F$2:$F$37)),ABS(AI139-ICL3_classA!$F$2:$F$37),0))</f>
        <v>24</v>
      </c>
      <c r="V139" s="1">
        <v>61</v>
      </c>
      <c r="W139" s="1">
        <v>31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60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21</v>
      </c>
      <c r="AE139" s="1">
        <f>VLOOKUP(A139,'SegEnds_NonXtal_Prot#'!A:AL,16,FALSE)-VLOOKUP(A139,'SegEnds_NonXtal_Prot#'!A:AL,10,FALSE)</f>
        <v>53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61</v>
      </c>
      <c r="AH139" s="1">
        <f>VLOOKUP(A139,'SegEnds_NonXtal_Prot#'!A:AL,28,FALSE)-VLOOKUP(A139,'SegEnds_NonXtal_Prot#'!A:AL,22,FALSE)</f>
        <v>87</v>
      </c>
      <c r="AI139" s="1">
        <f>VLOOKUP(A139,'SegEnds_NonXtal_Prot#'!A:AL,31,FALSE)-VLOOKUP(A139,'SegEnds_NonXtal_Prot#'!A:AL,28,FALSE)</f>
        <v>67</v>
      </c>
      <c r="AJ139" s="1">
        <f>VLOOKUP(A139,'SegEnds_NonXtal_Prot#'!A:AL,34,FALSE)-VLOOKUP(A139,'SegEnds_NonXtal_Prot#'!A:AL,31,FALSE)</f>
        <v>36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273</v>
      </c>
      <c r="B140" s="1" t="str">
        <f>VLOOKUP(A140,Xtal_Templ!B:C,2,FALSE)</f>
        <v>ox1r_human</v>
      </c>
      <c r="C140" s="5">
        <f>VLOOKUP($B140&amp;"__wt",'SegEnds_Xtal_BW#'!$A:$Z,3,FALSE)</f>
        <v>32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67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74</v>
      </c>
      <c r="U140" s="1">
        <f t="array" ref="U140">INDEX(ICL3_classA!$H$2:$H$37,MATCH(MIN(ABS(AI140-ICL3_classA!$F$2:$F$37)),ABS(AI140-ICL3_classA!$F$2:$F$37),0))</f>
        <v>21</v>
      </c>
      <c r="V140" s="1">
        <v>61</v>
      </c>
      <c r="W140" s="1">
        <v>32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 t="e">
        <f>VLOOKUP(A140,'SegEnds_NonXtal_Prot#'!A:AL,13,FALSE)-VLOOKUP(A140,'SegEnds_NonXtal_Prot#'!A:AL,10,FALSE)</f>
        <v>#VALUE!</v>
      </c>
      <c r="AE140" s="1">
        <f>VLOOKUP(A140,'SegEnds_NonXtal_Prot#'!A:AL,16,FALSE)-VLOOKUP(A140,'SegEnds_NonXtal_Prot#'!A:AL,10,FALSE)</f>
        <v>61</v>
      </c>
      <c r="AF140" s="1">
        <f>VLOOKUP(A140,'SegEnds_NonXtal_Prot#'!A:AL,22,FALSE)-VLOOKUP(A140,'SegEnds_NonXtal_Prot#'!A:AL,19,FALSE)</f>
        <v>20</v>
      </c>
      <c r="AG140" s="1" t="e">
        <f>VLOOKUP(A140,'SegEnds_NonXtal_Prot#'!A:AL,28,FALSE)-VLOOKUP(A140,'SegEnds_NonXtal_Prot#'!A:AL,25,FALSE)</f>
        <v>#VALUE!</v>
      </c>
      <c r="AH140" s="1">
        <f>VLOOKUP(A140,'SegEnds_NonXtal_Prot#'!A:AL,28,FALSE)-VLOOKUP(A140,'SegEnds_NonXtal_Prot#'!A:AL,22,FALSE)</f>
        <v>72</v>
      </c>
      <c r="AI140" s="1">
        <f>VLOOKUP(A140,'SegEnds_NonXtal_Prot#'!A:AL,31,FALSE)-VLOOKUP(A140,'SegEnds_NonXtal_Prot#'!A:AL,28,FALSE)</f>
        <v>61</v>
      </c>
      <c r="AJ140" s="1">
        <f>VLOOKUP(A140,'SegEnds_NonXtal_Prot#'!A:AL,34,FALSE)-VLOOKUP(A140,'SegEnds_NonXtal_Prot#'!A:AL,31,FALSE)</f>
        <v>34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274</v>
      </c>
      <c r="B141" s="1" t="str">
        <f>VLOOKUP(A141,Xtal_Templ!B:C,2,FALSE)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28</v>
      </c>
      <c r="T141" s="1">
        <f t="array" ref="T141">INDEX(ICL3_classA!$G$2:$G$37,MATCH(MIN(ABS(AI141-ICL3_classA!$F$2:$F$37)),ABS(AI141-ICL3_classA!$F$2:$F$37),0))</f>
        <v>73</v>
      </c>
      <c r="U141" s="1">
        <f t="array" ref="U141">INDEX(ICL3_classA!$H$2:$H$37,MATCH(MIN(ABS(AI141-ICL3_classA!$F$2:$F$37)),ABS(AI141-ICL3_classA!$F$2:$F$37),0))</f>
        <v>22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26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57</v>
      </c>
      <c r="AJ141" s="1">
        <f>VLOOKUP(A141,'SegEnds_NonXtal_Prot#'!A:AL,34,FALSE)-VLOOKUP(A141,'SegEnds_NonXtal_Prot#'!A:AL,31,FALSE)</f>
        <v>40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275</v>
      </c>
      <c r="B142" s="1" t="str">
        <f>VLOOKUP(A142,Xtal_Templ!B:C,2,FALSE)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INDEX(ICL3_classA!$G$2:$G$37,MATCH(MIN(ABS(AI142-ICL3_classA!$F$2:$F$37)),ABS(AI142-ICL3_classA!$F$2:$F$37),0))</f>
        <v>67</v>
      </c>
      <c r="U142" s="1">
        <f t="array" ref="U142">INDEX(ICL3_classA!$H$2:$H$37,MATCH(MIN(ABS(AI142-ICL3_classA!$F$2:$F$37)),ABS(AI142-ICL3_classA!$F$2:$F$37),0))</f>
        <v>26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23</v>
      </c>
      <c r="AH142" s="1">
        <f>VLOOKUP(A142,'SegEnds_NonXtal_Prot#'!A:AL,28,FALSE)-VLOOKUP(A142,'SegEnds_NonXtal_Prot#'!A:AL,22,FALSE)</f>
        <v>48</v>
      </c>
      <c r="AI142" s="1">
        <f>VLOOKUP(A142,'SegEnds_NonXtal_Prot#'!A:AL,31,FALSE)-VLOOKUP(A142,'SegEnds_NonXtal_Prot#'!A:AL,28,FALSE)</f>
        <v>47</v>
      </c>
      <c r="AJ142" s="1">
        <f>VLOOKUP(A142,'SegEnds_NonXtal_Prot#'!A:AL,34,FALSE)-VLOOKUP(A142,'SegEnds_NonXtal_Prot#'!A:AL,31,FALSE)</f>
        <v>40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276</v>
      </c>
      <c r="B143" s="1" t="str">
        <f>VLOOKUP(A143,Xtal_Templ!B:C,2,FALSE)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67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67</v>
      </c>
      <c r="U143" s="1">
        <f t="array" ref="U143">INDEX(ICL3_classA!$H$2:$H$37,MATCH(MIN(ABS(AI143-ICL3_classA!$F$2:$F$37)),ABS(AI143-ICL3_classA!$F$2:$F$37),0))</f>
        <v>26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23</v>
      </c>
      <c r="AH143" s="1">
        <f>VLOOKUP(A143,'SegEnds_NonXtal_Prot#'!A:AL,28,FALSE)-VLOOKUP(A143,'SegEnds_NonXtal_Prot#'!A:AL,22,FALSE)</f>
        <v>48</v>
      </c>
      <c r="AI143" s="1">
        <f>VLOOKUP(A143,'SegEnds_NonXtal_Prot#'!A:AL,31,FALSE)-VLOOKUP(A143,'SegEnds_NonXtal_Prot#'!A:AL,28,FALSE)</f>
        <v>46</v>
      </c>
      <c r="AJ143" s="1">
        <f>VLOOKUP(A143,'SegEnds_NonXtal_Prot#'!A:AL,34,FALSE)-VLOOKUP(A143,'SegEnds_NonXtal_Prot#'!A:AL,31,FALSE)</f>
        <v>45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277</v>
      </c>
      <c r="B144" s="1" t="str">
        <f>VLOOKUP(A144,Xtal_Templ!B:C,2,FALSE)</f>
        <v>p2ry1_human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INDEX(ICL3_classA!$G$2:$G$37,MATCH(MIN(ABS(AI144-ICL3_classA!$F$2:$F$37)),ABS(AI144-ICL3_classA!$F$2:$F$37),0))</f>
        <v>67</v>
      </c>
      <c r="U144" s="1">
        <f t="array" ref="U144">INDEX(ICL3_classA!$H$2:$H$37,MATCH(MIN(ABS(AI144-ICL3_classA!$F$2:$F$37)),ABS(AI144-ICL3_classA!$F$2:$F$37),0))</f>
        <v>26</v>
      </c>
      <c r="V144" s="1">
        <v>64</v>
      </c>
      <c r="W144" s="1">
        <v>24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23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46</v>
      </c>
      <c r="AJ144" s="1">
        <f>VLOOKUP(A144,'SegEnds_NonXtal_Prot#'!A:AL,34,FALSE)-VLOOKUP(A144,'SegEnds_NonXtal_Prot#'!A:AL,31,FALSE)</f>
        <v>45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278</v>
      </c>
      <c r="B145" s="1" t="str">
        <f>VLOOKUP(A145,Xtal_Templ!B:C,2,FALSE)</f>
        <v>hrh1_human</v>
      </c>
      <c r="C145" s="5">
        <f>VLOOKUP($B145&amp;"__wt",'SegEnds_Xtal_BW#'!$A:$Z,3,FALSE)</f>
        <v>34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67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f>VLOOKUP($B145&amp;"__wt",'SegEnds_Xtal_BW#'!$A:$Z,15,FALSE)</f>
        <v>38</v>
      </c>
      <c r="P145" s="1">
        <f>VLOOKUP($B145&amp;"__wt",'SegEnds_Xtal_BW#'!$A:$Z,16,FALSE)</f>
        <v>62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76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50</v>
      </c>
      <c r="AI145" s="1">
        <f>VLOOKUP(A145,'SegEnds_NonXtal_Prot#'!A:AL,31,FALSE)-VLOOKUP(A145,'SegEnds_NonXtal_Prot#'!A:AL,28,FALSE)</f>
        <v>228</v>
      </c>
      <c r="AJ145" s="1">
        <f>VLOOKUP(A145,'SegEnds_NonXtal_Prot#'!A:AL,34,FALSE)-VLOOKUP(A145,'SegEnds_NonXtal_Prot#'!A:AL,31,FALSE)</f>
        <v>35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Xtal</v>
      </c>
    </row>
    <row r="146" spans="1:38" x14ac:dyDescent="0.2">
      <c r="A146" s="1" t="s">
        <v>279</v>
      </c>
      <c r="B146" s="1" t="str">
        <f>VLOOKUP(A146,Xtal_Templ!B:C,2,FALSE)</f>
        <v>adrb2_human</v>
      </c>
      <c r="C146" s="5">
        <f>VLOOKUP($B146&amp;"__wt",'SegEnds_Xtal_BW#'!$A:$Z,3,FALSE)</f>
        <v>25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73</v>
      </c>
      <c r="U146" s="1">
        <f t="array" ref="U146">INDEX(ICL3_classA!$H$2:$H$37,MATCH(MIN(ABS(AI146-ICL3_classA!$F$2:$F$37)),ABS(AI146-ICL3_classA!$F$2:$F$37),0))</f>
        <v>22</v>
      </c>
      <c r="V146" s="1">
        <v>61</v>
      </c>
      <c r="W146" s="1">
        <v>31</v>
      </c>
      <c r="X146" s="108"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20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20</v>
      </c>
      <c r="AH146" s="1">
        <f>VLOOKUP(A146,'SegEnds_NonXtal_Prot#'!A:AL,28,FALSE)-VLOOKUP(A146,'SegEnds_NonXtal_Prot#'!A:AL,22,FALSE)</f>
        <v>51</v>
      </c>
      <c r="AI146" s="1">
        <f>VLOOKUP(A146,'SegEnds_NonXtal_Prot#'!A:AL,31,FALSE)-VLOOKUP(A146,'SegEnds_NonXtal_Prot#'!A:AL,28,FALSE)</f>
        <v>55</v>
      </c>
      <c r="AJ146" s="1">
        <f>VLOOKUP(A146,'SegEnds_NonXtal_Prot#'!A:AL,34,FALSE)-VLOOKUP(A146,'SegEnds_NonXtal_Prot#'!A:AL,31,FALSE)</f>
        <v>36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280</v>
      </c>
      <c r="B147" s="1" t="str">
        <f>VLOOKUP(A147,Xtal_Templ!B:C,2,FALSE)</f>
        <v>hrh1_human</v>
      </c>
      <c r="C147" s="5">
        <f>VLOOKUP($B147&amp;"__wt",'SegEnds_Xtal_BW#'!$A:$Z,3,FALSE)</f>
        <v>34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58</v>
      </c>
      <c r="O147" s="87">
        <f>VLOOKUP($B147&amp;"__wt",'SegEnds_Xtal_BW#'!$A:$Z,15,FALSE)</f>
        <v>38</v>
      </c>
      <c r="P147" s="1">
        <v>63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INDEX(ICL3_classA!$G$2:$G$37,MATCH(MIN(ABS(AI147-ICL3_classA!$F$2:$F$37)),ABS(AI147-ICL3_classA!$F$2:$F$37),0))</f>
        <v>75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">
        <v>31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21</v>
      </c>
      <c r="AG147" s="1">
        <f>VLOOKUP(A147,'SegEnds_NonXtal_Prot#'!A:AL,28,FALSE)-VLOOKUP(A147,'SegEnds_NonXtal_Prot#'!A:AL,25,FALSE)</f>
        <v>22</v>
      </c>
      <c r="AH147" s="1">
        <f>VLOOKUP(A147,'SegEnds_NonXtal_Prot#'!A:AL,28,FALSE)-VLOOKUP(A147,'SegEnds_NonXtal_Prot#'!A:AL,22,FALSE)</f>
        <v>50</v>
      </c>
      <c r="AI147" s="1">
        <f>VLOOKUP(A147,'SegEnds_NonXtal_Prot#'!A:AL,31,FALSE)-VLOOKUP(A147,'SegEnds_NonXtal_Prot#'!A:AL,28,FALSE)</f>
        <v>163</v>
      </c>
      <c r="AJ147" s="1">
        <f>VLOOKUP(A147,'SegEnds_NonXtal_Prot#'!A:AL,34,FALSE)-VLOOKUP(A147,'SegEnds_NonXtal_Prot#'!A:AL,31,FALSE)</f>
        <v>36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281</v>
      </c>
      <c r="B148" s="1" t="str">
        <f>VLOOKUP(A148,Xtal_Templ!B:C,2,FALSE)</f>
        <v>acm3_rat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21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58</v>
      </c>
      <c r="O148" s="87">
        <v>38</v>
      </c>
      <c r="P148" s="1"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19</v>
      </c>
      <c r="AE148" s="1">
        <f>VLOOKUP(A148,'SegEnds_NonXtal_Prot#'!A:AL,16,FALSE)-VLOOKUP(A148,'SegEnds_NonXtal_Prot#'!A:AL,10,FALSE)</f>
        <v>51</v>
      </c>
      <c r="AF148" s="1">
        <f>VLOOKUP(A148,'SegEnds_NonXtal_Prot#'!A:AL,22,FALSE)-VLOOKUP(A148,'SegEnds_NonXtal_Prot#'!A:AL,19,FALSE)</f>
        <v>21</v>
      </c>
      <c r="AG148" s="1">
        <f>VLOOKUP(A148,'SegEnds_NonXtal_Prot#'!A:AL,28,FALSE)-VLOOKUP(A148,'SegEnds_NonXtal_Prot#'!A:AL,25,FALSE)</f>
        <v>22</v>
      </c>
      <c r="AH148" s="1">
        <f>VLOOKUP(A148,'SegEnds_NonXtal_Prot#'!A:AL,28,FALSE)-VLOOKUP(A148,'SegEnds_NonXtal_Prot#'!A:AL,22,FALSE)</f>
        <v>46</v>
      </c>
      <c r="AI148" s="1">
        <f>VLOOKUP(A148,'SegEnds_NonXtal_Prot#'!A:AL,31,FALSE)-VLOOKUP(A148,'SegEnds_NonXtal_Prot#'!A:AL,28,FALSE)</f>
        <v>132</v>
      </c>
      <c r="AJ148" s="1">
        <f>VLOOKUP(A148,'SegEnds_NonXtal_Prot#'!A:AL,34,FALSE)-VLOOKUP(A148,'SegEnds_NonXtal_Prot#'!A:AL,31,FALSE)</f>
        <v>37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282</v>
      </c>
      <c r="B149" s="1" t="str">
        <f>VLOOKUP(A149,Xtal_Templ!B:C,2,FALSE)</f>
        <v>oprk_human</v>
      </c>
      <c r="C149" s="5">
        <f>VLOOKUP($B149&amp;"__wt",'SegEnds_Xtal_BW#'!$A:$Z,3,FALSE)</f>
        <v>30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30</v>
      </c>
      <c r="T149" s="1">
        <f t="array" ref="T149">INDEX(ICL3_classA!$G$2:$G$37,MATCH(MIN(ABS(AI149-ICL3_classA!$F$2:$F$37)),ABS(AI149-ICL3_classA!$F$2:$F$37),0))</f>
        <v>74</v>
      </c>
      <c r="U149" s="1">
        <f t="array" ref="U149">INDEX(ICL3_classA!$H$2:$H$37,MATCH(MIN(ABS(AI149-ICL3_classA!$F$2:$F$37)),ABS(AI149-ICL3_classA!$F$2:$F$37),0))</f>
        <v>21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25</v>
      </c>
      <c r="AH149" s="1">
        <f>VLOOKUP(A149,'SegEnds_NonXtal_Prot#'!A:AL,28,FALSE)-VLOOKUP(A149,'SegEnds_NonXtal_Prot#'!A:AL,22,FALSE)</f>
        <v>49</v>
      </c>
      <c r="AI149" s="1">
        <f>VLOOKUP(A149,'SegEnds_NonXtal_Prot#'!A:AL,31,FALSE)-VLOOKUP(A149,'SegEnds_NonXtal_Prot#'!A:AL,28,FALSE)</f>
        <v>62</v>
      </c>
      <c r="AJ149" s="1">
        <f>VLOOKUP(A149,'SegEnds_NonXtal_Prot#'!A:AL,34,FALSE)-VLOOKUP(A149,'SegEnds_NonXtal_Prot#'!A:AL,31,FALSE)</f>
        <v>42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283</v>
      </c>
      <c r="B150" s="1" t="str">
        <f>VLOOKUP(A150,Xtal_Templ!B:C,2,FALSE)</f>
        <v>agtr1_human</v>
      </c>
      <c r="C150" s="5">
        <f>VLOOKUP($B150&amp;"__wt",'SegEnds_Xtal_BW#'!$A:$Z,3,FALSE)</f>
        <v>30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67</v>
      </c>
      <c r="U150" s="1">
        <f t="array" ref="U150">INDEX(ICL3_classA!$H$2:$H$37,MATCH(MIN(ABS(AI150-ICL3_classA!$F$2:$F$37)),ABS(AI150-ICL3_classA!$F$2:$F$37),0))</f>
        <v>28</v>
      </c>
      <c r="V150" s="1">
        <v>61</v>
      </c>
      <c r="W150" s="1">
        <v>31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61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 t="e">
        <f>VLOOKUP(A150,'SegEnds_NonXtal_Prot#'!A:AL,13,FALSE)-VLOOKUP(A150,'SegEnds_NonXtal_Prot#'!A:AL,10,FALSE)</f>
        <v>#VALUE!</v>
      </c>
      <c r="AE150" s="1">
        <f>VLOOKUP(A150,'SegEnds_NonXtal_Prot#'!A:AL,16,FALSE)-VLOOKUP(A150,'SegEnds_NonXtal_Prot#'!A:AL,10,FALSE)</f>
        <v>59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47</v>
      </c>
      <c r="AI150" s="1">
        <f>VLOOKUP(A150,'SegEnds_NonXtal_Prot#'!A:AL,31,FALSE)-VLOOKUP(A150,'SegEnds_NonXtal_Prot#'!A:AL,28,FALSE)</f>
        <v>45</v>
      </c>
      <c r="AJ150" s="1">
        <f>VLOOKUP(A150,'SegEnds_NonXtal_Prot#'!A:AL,34,FALSE)-VLOOKUP(A150,'SegEnds_NonXtal_Prot#'!A:AL,31,FALSE)</f>
        <v>36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284</v>
      </c>
      <c r="B151" s="1" t="str">
        <f>VLOOKUP(A151,Xtal_Templ!B:C,2,FALSE)</f>
        <v>aa2ar_human</v>
      </c>
      <c r="C151" s="5">
        <f>VLOOKUP($B151&amp;"__wt",'SegEnds_Xtal_BW#'!$A:$Z,3,FALSE)</f>
        <v>27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34</v>
      </c>
      <c r="T151" s="1">
        <f t="array" ref="T151">INDEX(ICL3_classA!$G$2:$G$37,MATCH(MIN(ABS(AI151-ICL3_classA!$F$2:$F$37)),ABS(AI151-ICL3_classA!$F$2:$F$37),0))</f>
        <v>67</v>
      </c>
      <c r="U151" s="1">
        <f t="array" ref="U151">INDEX(ICL3_classA!$H$2:$H$37,MATCH(MIN(ABS(AI151-ICL3_classA!$F$2:$F$37)),ABS(AI151-ICL3_classA!$F$2:$F$37),0))</f>
        <v>28</v>
      </c>
      <c r="V151" s="1">
        <v>61</v>
      </c>
      <c r="W151" s="1">
        <v>31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69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 t="e">
        <f>VLOOKUP(A151,'SegEnds_NonXtal_Prot#'!A:AL,13,FALSE)-VLOOKUP(A151,'SegEnds_NonXtal_Prot#'!A:AL,10,FALSE)</f>
        <v>#VALUE!</v>
      </c>
      <c r="AE151" s="1">
        <f>VLOOKUP(A151,'SegEnds_NonXtal_Prot#'!A:AL,16,FALSE)-VLOOKUP(A151,'SegEnds_NonXtal_Prot#'!A:AL,10,FALSE)</f>
        <v>59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24</v>
      </c>
      <c r="AH151" s="1">
        <f>VLOOKUP(A151,'SegEnds_NonXtal_Prot#'!A:AL,28,FALSE)-VLOOKUP(A151,'SegEnds_NonXtal_Prot#'!A:AL,22,FALSE)</f>
        <v>47</v>
      </c>
      <c r="AI151" s="1">
        <f>VLOOKUP(A151,'SegEnds_NonXtal_Prot#'!A:AL,31,FALSE)-VLOOKUP(A151,'SegEnds_NonXtal_Prot#'!A:AL,28,FALSE)</f>
        <v>45</v>
      </c>
      <c r="AJ151" s="1">
        <f>VLOOKUP(A151,'SegEnds_NonXtal_Prot#'!A:AL,34,FALSE)-VLOOKUP(A151,'SegEnds_NonXtal_Prot#'!A:AL,31,FALSE)</f>
        <v>36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1" t="s">
        <v>103</v>
      </c>
      <c r="B152" s="1" t="str">
        <f>VLOOKUP(A152,Xtal_Templ!B:C,2,FALSE)</f>
        <v>lpar1_human</v>
      </c>
      <c r="C152" s="5">
        <f>VLOOKUP($B152&amp;"__wt",'SegEnds_Xtal_BW#'!$A:$Z,3,FALSE)</f>
        <v>30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v>63</v>
      </c>
      <c r="I152" s="1">
        <f>VLOOKUP($B152&amp;"__wt",'SegEnds_Xtal_BW#'!$A:$Z,9,FALSE)</f>
        <v>47</v>
      </c>
      <c r="J152" s="1">
        <f>VLOOKUP($B152&amp;"__wt",'SegEnds_Xtal_BW#'!$A:$Z,10,FALSE)</f>
        <v>53</v>
      </c>
      <c r="K152" s="12">
        <f>VLOOKUP($B152&amp;"__wt",'SegEnds_Xtal_BW#'!$A:$Z,11,FALSE)</f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56</v>
      </c>
      <c r="O152" s="87">
        <f>VLOOKUP($B152&amp;"__wt",'SegEnds_Xtal_BW#'!$A:$Z,15,FALSE)</f>
        <v>38</v>
      </c>
      <c r="P152" s="1">
        <f>VLOOKUP($B152&amp;"__wt",'SegEnds_Xtal_BW#'!$A:$Z,16,FALSE)</f>
        <v>63</v>
      </c>
      <c r="Q152" s="1" t="str">
        <f>VLOOKUP($B152&amp;"__wt",'SegEnds_Xtal_BW#'!$A:$Z,17,FALSE)</f>
        <v>-</v>
      </c>
      <c r="R152" s="1" t="str">
        <f>VLOOKUP($B152&amp;"__wt",'SegEnds_Xtal_BW#'!$A:$Z,18,FALSE)</f>
        <v>-</v>
      </c>
      <c r="S152" s="1">
        <f>VLOOKUP($B152&amp;"__wt",'SegEnds_Xtal_BW#'!$A:$Z,19,FALSE)</f>
        <v>36</v>
      </c>
      <c r="T152" s="1">
        <f t="array" ref="T152">INDEX(ICL3_classA!$G$2:$G$37,MATCH(MIN(ABS(AI152-ICL3_classA!$F$2:$F$37)),ABS(AI152-ICL3_classA!$F$2:$F$37),0))</f>
        <v>73</v>
      </c>
      <c r="U152" s="1">
        <f t="array" ref="U152">INDEX(ICL3_classA!$H$2:$H$37,MATCH(MIN(ABS(AI152-ICL3_classA!$F$2:$F$37)),ABS(AI152-ICL3_classA!$F$2:$F$37),0))</f>
        <v>22</v>
      </c>
      <c r="V152" s="1">
        <v>61</v>
      </c>
      <c r="W152" s="1">
        <v>30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>
        <f>VLOOKUP(A152,'SegEnds_NonXtal_Prot#'!A:AL,13,FALSE)-VLOOKUP(A152,'SegEnds_NonXtal_Prot#'!A:AL,10,FALSE)</f>
        <v>18</v>
      </c>
      <c r="AE152" s="1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19</v>
      </c>
      <c r="AG152" s="1" t="e">
        <f>VLOOKUP(A152,'SegEnds_NonXtal_Prot#'!A:AL,28,FALSE)-VLOOKUP(A152,'SegEnds_NonXtal_Prot#'!A:AL,25,FALSE)</f>
        <v>#VALUE!</v>
      </c>
      <c r="AH152" s="1">
        <f>VLOOKUP(A152,'SegEnds_NonXtal_Prot#'!A:AL,28,FALSE)-VLOOKUP(A152,'SegEnds_NonXtal_Prot#'!A:AL,22,FALSE)</f>
        <v>45</v>
      </c>
      <c r="AI152" s="1">
        <f>VLOOKUP(A152,'SegEnds_NonXtal_Prot#'!A:AL,31,FALSE)-VLOOKUP(A152,'SegEnds_NonXtal_Prot#'!A:AL,28,FALSE)</f>
        <v>56</v>
      </c>
      <c r="AJ152" s="1">
        <f>VLOOKUP(A152,'SegEnds_NonXtal_Prot#'!A:AL,34,FALSE)-VLOOKUP(A152,'SegEnds_NonXtal_Prot#'!A:AL,31,FALSE)</f>
        <v>35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Xtal</v>
      </c>
    </row>
    <row r="153" spans="1:38" x14ac:dyDescent="0.2">
      <c r="A153" s="1" t="s">
        <v>286</v>
      </c>
      <c r="B153" s="1" t="str">
        <f>VLOOKUP(A153,Xtal_Templ!B:C,2,FALSE)</f>
        <v>lpar1_human</v>
      </c>
      <c r="C153" s="5">
        <f>VLOOKUP($B153&amp;"__wt",'SegEnds_Xtal_BW#'!$A:$Z,3,FALSE)</f>
        <v>30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63</v>
      </c>
      <c r="I153" s="1">
        <f>VLOOKUP($B153&amp;"__wt",'SegEnds_Xtal_BW#'!$A:$Z,9,FALSE)</f>
        <v>47</v>
      </c>
      <c r="J153" s="1">
        <f>VLOOKUP($B153&amp;"__wt",'SegEnds_Xtal_BW#'!$A:$Z,10,FALSE)</f>
        <v>53</v>
      </c>
      <c r="K153" s="12"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08">
        <v>56</v>
      </c>
      <c r="O153" s="87">
        <f>VLOOKUP($B153&amp;"__wt",'SegEnds_Xtal_BW#'!$A:$Z,15,FALSE)</f>
        <v>38</v>
      </c>
      <c r="P153" s="1">
        <f>VLOOKUP($B153&amp;"__wt",'SegEnds_Xtal_BW#'!$A:$Z,16,FALSE)</f>
        <v>63</v>
      </c>
      <c r="Q153" s="1" t="str">
        <f>VLOOKUP($B153&amp;"__wt",'SegEnds_Xtal_BW#'!$A:$Z,17,FALSE)</f>
        <v>-</v>
      </c>
      <c r="R153" s="1" t="str">
        <f>VLOOKUP($B153&amp;"__wt",'SegEnds_Xtal_BW#'!$A:$Z,18,FALSE)</f>
        <v>-</v>
      </c>
      <c r="S153" s="1">
        <f>VLOOKUP($B153&amp;"__wt",'SegEnds_Xtal_BW#'!$A:$Z,19,FALSE)</f>
        <v>36</v>
      </c>
      <c r="T153" s="1">
        <f t="array" ref="T153">INDEX(ICL3_classA!$G$2:$G$37,MATCH(MIN(ABS(AI153-ICL3_classA!$F$2:$F$37)),ABS(AI153-ICL3_classA!$F$2:$F$37),0))</f>
        <v>73</v>
      </c>
      <c r="U153" s="1">
        <f t="array" ref="U153">INDEX(ICL3_classA!$H$2:$H$37,MATCH(MIN(ABS(AI153-ICL3_classA!$F$2:$F$37)),ABS(AI153-ICL3_classA!$F$2:$F$37),0))</f>
        <v>22</v>
      </c>
      <c r="V153" s="1">
        <v>61</v>
      </c>
      <c r="W153" s="1">
        <v>30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18</v>
      </c>
      <c r="AE153" s="1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19</v>
      </c>
      <c r="AG153" s="1" t="e">
        <f>VLOOKUP(A153,'SegEnds_NonXtal_Prot#'!A:AL,28,FALSE)-VLOOKUP(A153,'SegEnds_NonXtal_Prot#'!A:AL,25,FALSE)</f>
        <v>#VALUE!</v>
      </c>
      <c r="AH153" s="1">
        <f>VLOOKUP(A153,'SegEnds_NonXtal_Prot#'!A:AL,28,FALSE)-VLOOKUP(A153,'SegEnds_NonXtal_Prot#'!A:AL,22,FALSE)</f>
        <v>45</v>
      </c>
      <c r="AI153" s="1">
        <f>VLOOKUP(A153,'SegEnds_NonXtal_Prot#'!A:AL,31,FALSE)-VLOOKUP(A153,'SegEnds_NonXtal_Prot#'!A:AL,28,FALSE)</f>
        <v>56</v>
      </c>
      <c r="AJ153" s="1">
        <f>VLOOKUP(A153,'SegEnds_NonXtal_Prot#'!A:AL,34,FALSE)-VLOOKUP(A153,'SegEnds_NonXtal_Prot#'!A:AL,31,FALSE)</f>
        <v>36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287</v>
      </c>
      <c r="B154" s="1" t="str">
        <f>VLOOKUP(A154,Xtal_Templ!B:C,2,FALSE)</f>
        <v>lpar1_human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63</v>
      </c>
      <c r="I154" s="1">
        <f>VLOOKUP($B154&amp;"__wt",'SegEnds_Xtal_BW#'!$A:$Z,9,FALSE)</f>
        <v>47</v>
      </c>
      <c r="J154" s="1">
        <f>VLOOKUP($B154&amp;"__wt",'SegEnds_Xtal_BW#'!$A:$Z,10,FALSE)</f>
        <v>53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08">
        <v>56</v>
      </c>
      <c r="O154" s="87">
        <f>VLOOKUP($B154&amp;"__wt",'SegEnds_Xtal_BW#'!$A:$Z,15,FALSE)</f>
        <v>38</v>
      </c>
      <c r="P154" s="1">
        <f>VLOOKUP($B154&amp;"__wt",'SegEnds_Xtal_BW#'!$A:$Z,16,FALSE)</f>
        <v>63</v>
      </c>
      <c r="Q154" s="1" t="str">
        <f>VLOOKUP($B154&amp;"__wt",'SegEnds_Xtal_BW#'!$A:$Z,17,FALSE)</f>
        <v>-</v>
      </c>
      <c r="R154" s="1" t="str">
        <f>VLOOKUP($B154&amp;"__wt",'SegEnds_Xtal_BW#'!$A:$Z,18,FALSE)</f>
        <v>-</v>
      </c>
      <c r="S154" s="1">
        <f>VLOOKUP($B154&amp;"__wt",'SegEnds_Xtal_BW#'!$A:$Z,19,FALSE)</f>
        <v>36</v>
      </c>
      <c r="T154" s="1">
        <f t="array" ref="T154">INDEX(ICL3_classA!$G$2:$G$37,MATCH(MIN(ABS(AI154-ICL3_classA!$F$2:$F$37)),ABS(AI154-ICL3_classA!$F$2:$F$37),0))</f>
        <v>73</v>
      </c>
      <c r="U154" s="1">
        <f t="array" ref="U154">INDEX(ICL3_classA!$H$2:$H$37,MATCH(MIN(ABS(AI154-ICL3_classA!$F$2:$F$37)),ABS(AI154-ICL3_classA!$F$2:$F$37),0))</f>
        <v>22</v>
      </c>
      <c r="V154" s="1">
        <v>61</v>
      </c>
      <c r="W154" s="1">
        <v>30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18</v>
      </c>
      <c r="AE154" s="1">
        <f>VLOOKUP(A154,'SegEnds_NonXtal_Prot#'!A:AL,16,FALSE)-VLOOKUP(A154,'SegEnds_NonXtal_Prot#'!A:AL,10,FALSE)</f>
        <v>51</v>
      </c>
      <c r="AF154" s="1">
        <f>VLOOKUP(A154,'SegEnds_NonXtal_Prot#'!A:AL,22,FALSE)-VLOOKUP(A154,'SegEnds_NonXtal_Prot#'!A:AL,19,FALSE)</f>
        <v>19</v>
      </c>
      <c r="AG154" s="1" t="e">
        <f>VLOOKUP(A154,'SegEnds_NonXtal_Prot#'!A:AL,28,FALSE)-VLOOKUP(A154,'SegEnds_NonXtal_Prot#'!A:AL,25,FALSE)</f>
        <v>#VALUE!</v>
      </c>
      <c r="AH154" s="1">
        <f>VLOOKUP(A154,'SegEnds_NonXtal_Prot#'!A:AL,28,FALSE)-VLOOKUP(A154,'SegEnds_NonXtal_Prot#'!A:AL,22,FALSE)</f>
        <v>45</v>
      </c>
      <c r="AI154" s="1">
        <f>VLOOKUP(A154,'SegEnds_NonXtal_Prot#'!A:AL,31,FALSE)-VLOOKUP(A154,'SegEnds_NonXtal_Prot#'!A:AL,28,FALSE)</f>
        <v>56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288</v>
      </c>
      <c r="B155" s="1" t="str">
        <f>VLOOKUP(A155,Xtal_Templ!B:C,2,FALSE)</f>
        <v>oprk_human</v>
      </c>
      <c r="C155" s="5">
        <f>VLOOKUP($B155&amp;"__wt",'SegEnds_Xtal_BW#'!$A:$Z,3,FALSE)</f>
        <v>30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21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30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19</v>
      </c>
      <c r="AE155" s="1">
        <f>VLOOKUP(A155,'SegEnds_NonXtal_Prot#'!A:AL,16,FALSE)-VLOOKUP(A155,'SegEnds_NonXtal_Prot#'!A:AL,10,FALSE)</f>
        <v>51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28</v>
      </c>
      <c r="AH155" s="1">
        <f>VLOOKUP(A155,'SegEnds_NonXtal_Prot#'!A:AL,28,FALSE)-VLOOKUP(A155,'SegEnds_NonXtal_Prot#'!A:AL,22,FALSE)</f>
        <v>53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44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289</v>
      </c>
      <c r="B156" s="1" t="str">
        <f>VLOOKUP(A156,Xtal_Templ!B:C,2,FALSE)</f>
        <v>par2_human</v>
      </c>
      <c r="C156" s="5">
        <f>VLOOKUP($B156&amp;"__wt",'SegEnds_Xtal_BW#'!$A:$Z,3,FALSE)</f>
        <v>28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v>66</v>
      </c>
      <c r="I156" s="1">
        <f>VLOOKUP($B156&amp;"__wt",'SegEnds_Xtal_BW#'!$A:$Z,9,FALSE)</f>
        <v>47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31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64</v>
      </c>
      <c r="W156" s="1">
        <v>24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61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28</v>
      </c>
      <c r="AC156" s="1">
        <f>VLOOKUP(A156,'SegEnds_NonXtal_Prot#'!A:AL,10,FALSE)-VLOOKUP(A156,'SegEnds_NonXtal_Prot#'!A:AL,7,FALSE)</f>
        <v>15</v>
      </c>
      <c r="AD156" s="1">
        <f>VLOOKUP(A156,'SegEnds_NonXtal_Prot#'!A:AL,13,FALSE)-VLOOKUP(A156,'SegEnds_NonXtal_Prot#'!A:AL,10,FALSE)</f>
        <v>19</v>
      </c>
      <c r="AE156" s="1">
        <f>VLOOKUP(A156,'SegEnds_NonXtal_Prot#'!A:AL,16,FALSE)-VLOOKUP(A156,'SegEnds_NonXtal_Prot#'!A:AL,10,FALSE)</f>
        <v>51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28</v>
      </c>
      <c r="AH156" s="1">
        <f>VLOOKUP(A156,'SegEnds_NonXtal_Prot#'!A:AL,28,FALSE)-VLOOKUP(A156,'SegEnds_NonXtal_Prot#'!A:AL,22,FALSE)</f>
        <v>57</v>
      </c>
      <c r="AI156" s="1">
        <f>VLOOKUP(A156,'SegEnds_NonXtal_Prot#'!A:AL,31,FALSE)-VLOOKUP(A156,'SegEnds_NonXtal_Prot#'!A:AL,28,FALSE)</f>
        <v>46</v>
      </c>
      <c r="AJ156" s="1">
        <f>VLOOKUP(A156,'SegEnds_NonXtal_Prot#'!A:AL,34,FALSE)-VLOOKUP(A156,'SegEnds_NonXtal_Prot#'!A:AL,31,FALSE)</f>
        <v>45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290</v>
      </c>
      <c r="B157" s="1" t="str">
        <f>VLOOKUP(A157,Xtal_Templ!B:C,2,FALSE)</f>
        <v>ptafr_human</v>
      </c>
      <c r="C157" s="5">
        <f>VLOOKUP($B157&amp;"__wt",'SegEnds_Xtal_BW#'!$A:$Z,3,FALSE)</f>
        <v>27</v>
      </c>
      <c r="D157" s="108">
        <v>60</v>
      </c>
      <c r="E157" s="1" t="str">
        <f>VLOOKUP($B157&amp;"__wt",'SegEnds_Xtal_BW#'!$A:$Z,5,FALSE)</f>
        <v>-</v>
      </c>
      <c r="F157" s="1" t="str">
        <f>VLOOKUP($B157&amp;"__wt",'SegEnds_Xtal_BW#'!$A:$Z,6,FALSE)</f>
        <v>-</v>
      </c>
      <c r="G157" s="1">
        <v>37</v>
      </c>
      <c r="H157" s="12"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21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63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68</v>
      </c>
      <c r="U157" s="1">
        <f t="array" ref="U157">INDEX(ICL3_classA!$H$2:$H$37,MATCH(MIN(ABS(AI157-ICL3_classA!$F$2:$F$37)),ABS(AI157-ICL3_classA!$F$2:$F$37),0))</f>
        <v>24</v>
      </c>
      <c r="V157" s="1">
        <v>64</v>
      </c>
      <c r="W157" s="1">
        <v>24</v>
      </c>
      <c r="X157" s="1">
        <f>VLOOKUP($B157&amp;"__wt",'SegEnds_Xtal_BW#'!$A:$Z,24,FALSE)</f>
        <v>59</v>
      </c>
      <c r="Y157" s="1">
        <f>VLOOKUP($B157&amp;"__wt",'SegEnds_Xtal_BW#'!$A:$Z,25,FALSE)</f>
        <v>50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19</v>
      </c>
      <c r="AE157" s="1">
        <f>VLOOKUP(A157,'SegEnds_NonXtal_Prot#'!A:AL,16,FALSE)-VLOOKUP(A157,'SegEnds_NonXtal_Prot#'!A:AL,10,FALSE)</f>
        <v>51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28</v>
      </c>
      <c r="AH157" s="1">
        <f>VLOOKUP(A157,'SegEnds_NonXtal_Prot#'!A:AL,28,FALSE)-VLOOKUP(A157,'SegEnds_NonXtal_Prot#'!A:AL,22,FALSE)</f>
        <v>55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44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291</v>
      </c>
      <c r="B158" s="1" t="str">
        <f>VLOOKUP(A158,Xtal_Templ!B:C,2,FALSE)</f>
        <v>hrh1_human</v>
      </c>
      <c r="C158" s="5">
        <f>VLOOKUP($B158&amp;"__wt",'SegEnds_Xtal_BW#'!$A:$Z,3,FALSE)</f>
        <v>34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67</v>
      </c>
      <c r="I158" s="1"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f>VLOOKUP($B158&amp;"__wt",'SegEnds_Xtal_BW#'!$A:$Z,15,FALSE)</f>
        <v>38</v>
      </c>
      <c r="P158" s="1">
        <f>VLOOKUP($B158&amp;"__wt",'SegEnds_Xtal_BW#'!$A:$Z,16,FALSE)</f>
        <v>62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35</v>
      </c>
      <c r="T158" s="1">
        <f t="array" ref="T158">INDEX(ICL3_classA!$G$2:$G$37,MATCH(MIN(ABS(AI158-ICL3_classA!$F$2:$F$37)),ABS(AI158-ICL3_classA!$F$2:$F$37),0))</f>
        <v>67</v>
      </c>
      <c r="U158" s="1">
        <f t="array" ref="U158">INDEX(ICL3_classA!$H$2:$H$37,MATCH(MIN(ABS(AI158-ICL3_classA!$F$2:$F$37)),ABS(AI158-ICL3_classA!$F$2:$F$37),0))</f>
        <v>26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14</v>
      </c>
      <c r="AD158" s="1">
        <f>VLOOKUP(A158,'SegEnds_NonXtal_Prot#'!A:AL,13,FALSE)-VLOOKUP(A158,'SegEnds_NonXtal_Prot#'!A:AL,10,FALSE)</f>
        <v>28</v>
      </c>
      <c r="AE158" s="1">
        <f>VLOOKUP(A158,'SegEnds_NonXtal_Prot#'!A:AL,16,FALSE)-VLOOKUP(A158,'SegEnds_NonXtal_Prot#'!A:AL,10,FALSE)</f>
        <v>59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24</v>
      </c>
      <c r="AH158" s="1">
        <f>VLOOKUP(A158,'SegEnds_NonXtal_Prot#'!A:AL,28,FALSE)-VLOOKUP(A158,'SegEnds_NonXtal_Prot#'!A:AL,22,FALSE)</f>
        <v>47</v>
      </c>
      <c r="AI158" s="1">
        <f>VLOOKUP(A158,'SegEnds_NonXtal_Prot#'!A:AL,31,FALSE)-VLOOKUP(A158,'SegEnds_NonXtal_Prot#'!A:AL,28,FALSE)</f>
        <v>46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292</v>
      </c>
      <c r="B159" s="1" t="str">
        <f>VLOOKUP(A159,Xtal_Templ!B:C,2,FALSE)</f>
        <v>agtr1_human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v>66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21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7">
        <v>38</v>
      </c>
      <c r="P159" s="1">
        <f>VLOOKUP($B159&amp;"__wt",'SegEnds_Xtal_BW#'!$A:$Z,16,FALSE)</f>
        <v>64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34</v>
      </c>
      <c r="T159" s="1">
        <f t="array" ref="T159">INDEX(ICL3_classA!$G$2:$G$37,MATCH(MIN(ABS(AI159-ICL3_classA!$F$2:$F$37)),ABS(AI159-ICL3_classA!$F$2:$F$37),0))</f>
        <v>68</v>
      </c>
      <c r="U159" s="1">
        <f t="array" ref="U159">INDEX(ICL3_classA!$H$2:$H$37,MATCH(MIN(ABS(AI159-ICL3_classA!$F$2:$F$37)),ABS(AI159-ICL3_classA!$F$2:$F$37),0))</f>
        <v>30</v>
      </c>
      <c r="V159" s="1">
        <v>64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61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19</v>
      </c>
      <c r="AE159" s="1">
        <f>VLOOKUP(A159,'SegEnds_NonXtal_Prot#'!A:AL,16,FALSE)-VLOOKUP(A159,'SegEnds_NonXtal_Prot#'!A:AL,10,FALSE)</f>
        <v>51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43</v>
      </c>
      <c r="AJ159" s="1">
        <f>VLOOKUP(A159,'SegEnds_NonXtal_Prot#'!A:AL,34,FALSE)-VLOOKUP(A159,'SegEnds_NonXtal_Prot#'!A:AL,31,FALSE)</f>
        <v>46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296</v>
      </c>
      <c r="B160" s="1" t="str">
        <f>VLOOKUP(A160,Xtal_Templ!B:C,2,FALSE)</f>
        <v>lpar1_human</v>
      </c>
      <c r="C160" s="5">
        <f>VLOOKUP($B160&amp;"__wt",'SegEnds_Xtal_BW#'!$A:$Z,3,FALSE)</f>
        <v>30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 t="s">
        <v>23</v>
      </c>
      <c r="J160" s="1" t="s">
        <v>23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63</v>
      </c>
      <c r="Q160" s="1" t="str">
        <f>VLOOKUP($B160&amp;"__wt",'SegEnds_Xtal_BW#'!$A:$Z,17,FALSE)</f>
        <v>-</v>
      </c>
      <c r="R160" s="1" t="str">
        <f>VLOOKUP($B160&amp;"__wt",'SegEnds_Xtal_BW#'!$A:$Z,18,FALSE)</f>
        <v>-</v>
      </c>
      <c r="S160" s="108">
        <v>33</v>
      </c>
      <c r="T160" s="1">
        <f t="array" ref="T160">INDEX(ICL3_classA!$G$2:$G$37,MATCH(MIN(ABS(AI160-ICL3_classA!$F$2:$F$37)),ABS(AI160-ICL3_classA!$F$2:$F$37),0))</f>
        <v>68</v>
      </c>
      <c r="U160" s="108">
        <v>27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58</v>
      </c>
      <c r="AF160" s="1">
        <f>VLOOKUP(A160,'SegEnds_NonXtal_Prot#'!A:AL,22,FALSE)-VLOOKUP(A160,'SegEnds_NonXtal_Prot#'!A:AL,19,FALSE)</f>
        <v>20</v>
      </c>
      <c r="AG160" s="1" t="e">
        <f>VLOOKUP(A160,'SegEnds_NonXtal_Prot#'!A:AL,28,FALSE)-VLOOKUP(A160,'SegEnds_NonXtal_Prot#'!A:AL,25,FALSE)</f>
        <v>#VALUE!</v>
      </c>
      <c r="AH160" s="1">
        <f>VLOOKUP(A160,'SegEnds_NonXtal_Prot#'!A:AL,28,FALSE)-VLOOKUP(A160,'SegEnds_NonXtal_Prot#'!A:AL,22,FALSE)</f>
        <v>40</v>
      </c>
      <c r="AI160" s="1">
        <f>VLOOKUP(A160,'SegEnds_NonXtal_Prot#'!A:AL,31,FALSE)-VLOOKUP(A160,'SegEnds_NonXtal_Prot#'!A:AL,28,FALSE)</f>
        <v>48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297</v>
      </c>
      <c r="B161" s="1" t="str">
        <f>VLOOKUP(A161,Xtal_Templ!B:C,2,FALSE)</f>
        <v>s1pr1_human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67</v>
      </c>
      <c r="U161" s="108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57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298</v>
      </c>
      <c r="B162" s="1" t="str">
        <f>VLOOKUP(A162,Xtal_Templ!B:C,2,FALSE)</f>
        <v>lpar1_human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63</v>
      </c>
      <c r="I162" s="1">
        <v>49</v>
      </c>
      <c r="J162" s="1">
        <f>VLOOKUP($B162&amp;"__wt",'SegEnds_Xtal_BW#'!$A:$Z,10,FALSE)</f>
        <v>53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58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309</v>
      </c>
      <c r="B163" s="1" t="str">
        <f>VLOOKUP(A163,Xtal_Templ!B:C,2,FALSE)</f>
        <v>s1pr1_human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v>67</v>
      </c>
      <c r="I163" s="1" t="s">
        <v>23</v>
      </c>
      <c r="J163" s="1" t="s">
        <v>23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47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310</v>
      </c>
      <c r="B164" s="1" t="str">
        <f>VLOOKUP(A164,Xtal_Templ!B:C,2,FALSE)</f>
        <v>ntr1_rat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32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24</v>
      </c>
      <c r="AH164" s="1">
        <f>VLOOKUP(A164,'SegEnds_NonXtal_Prot#'!A:AL,28,FALSE)-VLOOKUP(A164,'SegEnds_NonXtal_Prot#'!A:AL,22,FALSE)</f>
        <v>96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311</v>
      </c>
      <c r="B165" s="1" t="str">
        <f>VLOOKUP(A165,Xtal_Templ!B:C,2,FALSE)</f>
        <v>npy1r_human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08"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22</v>
      </c>
      <c r="AH165" s="1">
        <f>VLOOKUP(A165,'SegEnds_NonXtal_Prot#'!A:AL,28,FALSE)-VLOOKUP(A165,'SegEnds_NonXtal_Prot#'!A:AL,22,FALSE)</f>
        <v>47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312</v>
      </c>
      <c r="B166" s="1" t="str">
        <f>VLOOKUP(A166,Xtal_Templ!B:C,2,FALSE)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313</v>
      </c>
      <c r="B167" s="1" t="str">
        <f>VLOOKUP(A167,Xtal_Templ!B:C,2,FALSE)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52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314</v>
      </c>
      <c r="B168" s="1" t="str">
        <f>VLOOKUP(A168,Xtal_Templ!B:C,2,FALSE)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33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55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315</v>
      </c>
      <c r="B169" s="1" t="str">
        <f>VLOOKUP(A169,Xtal_Templ!B:C,2,FALSE)</f>
        <v>ox1r_human</v>
      </c>
      <c r="C169" s="5">
        <f>VLOOKUP($B169&amp;"__wt",'SegEnds_Xtal_BW#'!$A:$Z,3,FALSE)</f>
        <v>32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32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56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316</v>
      </c>
      <c r="B170" s="1" t="str">
        <f>VLOOKUP(A170,Xtal_Templ!B:C,2,FALSE)</f>
        <v>ox2r_human</v>
      </c>
      <c r="C170" s="5">
        <f>VLOOKUP($B170&amp;"__wt",'SegEnds_Xtal_BW#'!$A:$Z,3,FALSE)</f>
        <v>31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33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51</v>
      </c>
      <c r="AI170" s="1">
        <f>VLOOKUP(A170,'SegEnds_NonXtal_Prot#'!A:AL,31,FALSE)-VLOOKUP(A170,'SegEnds_NonXtal_Prot#'!A:AL,28,FALSE)</f>
        <v>55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317</v>
      </c>
      <c r="B171" s="1" t="str">
        <f>VLOOKUP(A171,Xtal_Templ!B:C,2,FALSE)</f>
        <v>ednrb_human</v>
      </c>
      <c r="C171" s="5">
        <f>VLOOKUP($B171&amp;"__wt",'SegEnds_Xtal_BW#'!$A:$Z,3,FALSE)</f>
        <v>22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52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28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60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56</v>
      </c>
      <c r="AI171" s="1">
        <f>VLOOKUP(A171,'SegEnds_NonXtal_Prot#'!A:AL,31,FALSE)-VLOOKUP(A171,'SegEnds_NonXtal_Prot#'!A:AL,28,FALSE)</f>
        <v>57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4" t="s">
        <v>318</v>
      </c>
      <c r="B172" s="4" t="str">
        <f>VLOOKUP(A172,Xtal_Templ!B:C,2,FALSE)</f>
        <v>ntr1_rat</v>
      </c>
      <c r="C172" s="5">
        <f>VLOOKUP($B172&amp;"__wt",'SegEnds_Xtal_BW#'!$A:$Z,3,FALSE)</f>
        <v>29</v>
      </c>
      <c r="D172" s="4">
        <f>VLOOKUP($B172&amp;"__wt",'SegEnds_Xtal_BW#'!$A:$Z,4,FALSE)</f>
        <v>60</v>
      </c>
      <c r="E172" s="4">
        <f>VLOOKUP($B172&amp;"__wt",'SegEnds_Xtal_BW#'!$A:$Z,5,FALSE)</f>
        <v>48</v>
      </c>
      <c r="F172" s="4">
        <f>VLOOKUP($B172&amp;"__wt",'SegEnds_Xtal_BW#'!$A:$Z,6,FALSE)</f>
        <v>51</v>
      </c>
      <c r="G172" s="4">
        <v>37</v>
      </c>
      <c r="H172" s="11">
        <v>66</v>
      </c>
      <c r="I172" s="4">
        <f>VLOOKUP($B172&amp;"__wt",'SegEnds_Xtal_BW#'!$A:$Z,9,FALSE)</f>
        <v>49</v>
      </c>
      <c r="J172" s="4">
        <f>VLOOKUP($B172&amp;"__wt",'SegEnds_Xtal_BW#'!$A:$Z,10,FALSE)</f>
        <v>52</v>
      </c>
      <c r="K172" s="11">
        <v>18</v>
      </c>
      <c r="L172" s="4">
        <f>VLOOKUP($B172&amp;"__wt",'SegEnds_Xtal_BW#'!$A:$Z,12,FALSE)</f>
        <v>56</v>
      </c>
      <c r="M172" s="4">
        <f>VLOOKUP($B172&amp;"__wt",'SegEnds_Xtal_BW#'!$A:$Z,13,FALSE)</f>
        <v>50</v>
      </c>
      <c r="N172" s="11">
        <v>57</v>
      </c>
      <c r="O172" s="87">
        <f>VLOOKUP($B172&amp;"__wt",'SegEnds_Xtal_BW#'!$A:$Z,15,FALSE)</f>
        <v>38</v>
      </c>
      <c r="P172" s="4">
        <f>VLOOKUP($B172&amp;"__wt",'SegEnds_Xtal_BW#'!$A:$Z,16,FALSE)</f>
        <v>64</v>
      </c>
      <c r="Q172" s="4">
        <f>VLOOKUP($B172&amp;"__wt",'SegEnds_Xtal_BW#'!$A:$Z,17,FALSE)</f>
        <v>50</v>
      </c>
      <c r="R172" s="4">
        <f>VLOOKUP($B172&amp;"__wt",'SegEnds_Xtal_BW#'!$A:$Z,18,FALSE)</f>
        <v>52</v>
      </c>
      <c r="S172" s="4">
        <f>VLOOKUP($B172&amp;"__wt",'SegEnds_Xtal_BW#'!$A:$Z,19,FALSE)</f>
        <v>32</v>
      </c>
      <c r="T172" s="4">
        <f t="array" ref="T172">INDEX(ICL3_classA!$G$2:$G$37,MATCH(MIN(ABS(AI172-ICL3_classA!$F$2:$F$37)),ABS(AI172-ICL3_classA!$F$2:$F$37),0))</f>
        <v>76</v>
      </c>
      <c r="U172" s="4">
        <f t="array" ref="U172">INDEX(ICL3_classA!$H$2:$H$37,MATCH(MIN(ABS(AI172-ICL3_classA!$F$2:$F$37)),ABS(AI172-ICL3_classA!$F$2:$F$37),0))</f>
        <v>24</v>
      </c>
      <c r="V172" s="4">
        <v>61</v>
      </c>
      <c r="W172" s="4">
        <v>28</v>
      </c>
      <c r="X172" s="4">
        <f>VLOOKUP($B172&amp;"__wt",'SegEnds_Xtal_BW#'!$A:$Z,24,FALSE)</f>
        <v>56</v>
      </c>
      <c r="Y172" s="4">
        <f>VLOOKUP($B172&amp;"__wt",'SegEnds_Xtal_BW#'!$A:$Z,25,FALSE)</f>
        <v>47</v>
      </c>
      <c r="Z172" s="4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4">
        <f>VLOOKUP(A172,'SegEnds_NonXtal_Prot#'!A:AL,10,FALSE)-VLOOKUP(A172,'SegEnds_NonXtal_Prot#'!A:AL,7,FALSE)</f>
        <v>15</v>
      </c>
      <c r="AD172" s="4">
        <f>VLOOKUP(A172,'SegEnds_NonXtal_Prot#'!A:AL,13,FALSE)-VLOOKUP(A172,'SegEnds_NonXtal_Prot#'!A:AL,10,FALSE)</f>
        <v>19</v>
      </c>
      <c r="AE172" s="4">
        <f>VLOOKUP(A172,'SegEnds_NonXtal_Prot#'!A:AL,16,FALSE)-VLOOKUP(A172,'SegEnds_NonXtal_Prot#'!A:AL,10,FALSE)</f>
        <v>53</v>
      </c>
      <c r="AF172" s="1">
        <f>VLOOKUP(A172,'SegEnds_NonXtal_Prot#'!A:AL,22,FALSE)-VLOOKUP(A172,'SegEnds_NonXtal_Prot#'!A:AL,19,FALSE)</f>
        <v>20</v>
      </c>
      <c r="AG172" s="4">
        <f>VLOOKUP(A172,'SegEnds_NonXtal_Prot#'!A:AL,28,FALSE)-VLOOKUP(A172,'SegEnds_NonXtal_Prot#'!A:AL,25,FALSE)</f>
        <v>24</v>
      </c>
      <c r="AH172" s="1">
        <f>VLOOKUP(A172,'SegEnds_NonXtal_Prot#'!A:AL,28,FALSE)-VLOOKUP(A172,'SegEnds_NonXtal_Prot#'!A:AL,22,FALSE)</f>
        <v>57</v>
      </c>
      <c r="AI172" s="4">
        <f>VLOOKUP(A172,'SegEnds_NonXtal_Prot#'!A:AL,31,FALSE)-VLOOKUP(A172,'SegEnds_NonXtal_Prot#'!A:AL,28,FALSE)</f>
        <v>69</v>
      </c>
      <c r="AJ172" s="4">
        <f>VLOOKUP(A172,'SegEnds_NonXtal_Prot#'!A:AL,34,FALSE)-VLOOKUP(A172,'SegEnds_NonXtal_Prot#'!A:AL,31,FALSE)</f>
        <v>41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319</v>
      </c>
      <c r="B173" s="1" t="str">
        <f>VLOOKUP(A173,Xtal_Templ!B:C,2,FALSE)</f>
        <v>ntr1_rat</v>
      </c>
      <c r="C173" s="5">
        <f>VLOOKUP($B173&amp;"__wt",'SegEnds_Xtal_BW#'!$A:$Z,3,FALSE)</f>
        <v>29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73</v>
      </c>
      <c r="U173" s="1">
        <f t="array" ref="U173">INDEX(ICL3_classA!$H$2:$H$37,MATCH(MIN(ABS(AI173-ICL3_classA!$F$2:$F$37)),ABS(AI173-ICL3_classA!$F$2:$F$37),0))</f>
        <v>22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19</v>
      </c>
      <c r="AE173" s="1">
        <f>VLOOKUP(A173,'SegEnds_NonXtal_Prot#'!A:AL,16,FALSE)-VLOOKUP(A173,'SegEnds_NonXtal_Prot#'!A:AL,10,FALSE)</f>
        <v>53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24</v>
      </c>
      <c r="AH173" s="1">
        <f>VLOOKUP(A173,'SegEnds_NonXtal_Prot#'!A:AL,28,FALSE)-VLOOKUP(A173,'SegEnds_NonXtal_Prot#'!A:AL,22,FALSE)</f>
        <v>57</v>
      </c>
      <c r="AI173" s="1">
        <f>VLOOKUP(A173,'SegEnds_NonXtal_Prot#'!A:AL,31,FALSE)-VLOOKUP(A173,'SegEnds_NonXtal_Prot#'!A:AL,28,FALSE)</f>
        <v>55</v>
      </c>
      <c r="AJ173" s="1">
        <f>VLOOKUP(A173,'SegEnds_NonXtal_Prot#'!A:AL,34,FALSE)-VLOOKUP(A173,'SegEnds_NonXtal_Prot#'!A:AL,31,FALSE)</f>
        <v>41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320</v>
      </c>
      <c r="B174" s="1" t="str">
        <f>VLOOKUP(A174,Xtal_Templ!B:C,2,FALSE)</f>
        <v>oprd_human</v>
      </c>
      <c r="C174" s="5">
        <f>VLOOKUP($B174&amp;"__wt",'SegEnds_Xtal_BW#'!$A:$Z,3,FALSE)</f>
        <v>22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66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21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68</v>
      </c>
      <c r="U174" s="1">
        <f t="array" ref="U174">INDEX(ICL3_classA!$H$2:$H$37,MATCH(MIN(ABS(AI174-ICL3_classA!$F$2:$F$37)),ABS(AI174-ICL3_classA!$F$2:$F$37),0))</f>
        <v>23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60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19</v>
      </c>
      <c r="AE174" s="1">
        <f>VLOOKUP(A174,'SegEnds_NonXtal_Prot#'!A:AL,16,FALSE)-VLOOKUP(A174,'SegEnds_NonXtal_Prot#'!A:AL,10,FALSE)</f>
        <v>51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27</v>
      </c>
      <c r="AH174" s="1">
        <f>VLOOKUP(A174,'SegEnds_NonXtal_Prot#'!A:AL,28,FALSE)-VLOOKUP(A174,'SegEnds_NonXtal_Prot#'!A:AL,22,FALSE)</f>
        <v>52</v>
      </c>
      <c r="AI174" s="1">
        <f>VLOOKUP(A174,'SegEnds_NonXtal_Prot#'!A:AL,31,FALSE)-VLOOKUP(A174,'SegEnds_NonXtal_Prot#'!A:AL,28,FALSE)</f>
        <v>51</v>
      </c>
      <c r="AJ174" s="1">
        <f>VLOOKUP(A174,'SegEnds_NonXtal_Prot#'!A:AL,34,FALSE)-VLOOKUP(A174,'SegEnds_NonXtal_Prot#'!A:AL,31,FALSE)</f>
        <v>38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321</v>
      </c>
      <c r="B175" s="1" t="str">
        <f>VLOOKUP(A175,Xtal_Templ!B:C,2,FALSE)</f>
        <v>oprd_human</v>
      </c>
      <c r="C175" s="5">
        <f>VLOOKUP($B175&amp;"__wt",'SegEnds_Xtal_BW#'!$A:$Z,3,FALSE)</f>
        <v>22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v>66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21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f>VLOOKUP($B175&amp;"__wt",'SegEnds_Xtal_BW#'!$A:$Z,14,FALSE)</f>
        <v>57</v>
      </c>
      <c r="O175" s="87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68</v>
      </c>
      <c r="U175" s="1">
        <f t="array" ref="U175">INDEX(ICL3_classA!$H$2:$H$37,MATCH(MIN(ABS(AI175-ICL3_classA!$F$2:$F$37)),ABS(AI175-ICL3_classA!$F$2:$F$37),0))</f>
        <v>23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60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19</v>
      </c>
      <c r="AE175" s="1">
        <f>VLOOKUP(A175,'SegEnds_NonXtal_Prot#'!A:AL,16,FALSE)-VLOOKUP(A175,'SegEnds_NonXtal_Prot#'!A:AL,10,FALSE)</f>
        <v>51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27</v>
      </c>
      <c r="AH175" s="1">
        <f>VLOOKUP(A175,'SegEnds_NonXtal_Prot#'!A:AL,28,FALSE)-VLOOKUP(A175,'SegEnds_NonXtal_Prot#'!A:AL,22,FALSE)</f>
        <v>53</v>
      </c>
      <c r="AI175" s="1">
        <f>VLOOKUP(A175,'SegEnds_NonXtal_Prot#'!A:AL,31,FALSE)-VLOOKUP(A175,'SegEnds_NonXtal_Prot#'!A:AL,28,FALSE)</f>
        <v>51</v>
      </c>
      <c r="AJ175" s="1">
        <f>VLOOKUP(A175,'SegEnds_NonXtal_Prot#'!A:AL,34,FALSE)-VLOOKUP(A175,'SegEnds_NonXtal_Prot#'!A:AL,31,FALSE)</f>
        <v>38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322</v>
      </c>
      <c r="B176" s="1" t="str">
        <f>VLOOKUP(A176,Xtal_Templ!B:C,2,FALSE)</f>
        <v>ox1r_human</v>
      </c>
      <c r="C176" s="5">
        <f>VLOOKUP($B176&amp;"__wt",'SegEnds_Xtal_BW#'!$A:$Z,3,FALSE)</f>
        <v>32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56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32</v>
      </c>
      <c r="T176" s="1">
        <f t="array" ref="T176">INDEX(ICL3_classA!$G$2:$G$37,MATCH(MIN(ABS(AI176-ICL3_classA!$F$2:$F$37)),ABS(AI176-ICL3_classA!$F$2:$F$37),0))</f>
        <v>73</v>
      </c>
      <c r="U176" s="1">
        <f t="array" ref="U176">INDEX(ICL3_classA!$H$2:$H$37,MATCH(MIN(ABS(AI176-ICL3_classA!$F$2:$F$37)),ABS(AI176-ICL3_classA!$F$2:$F$37),0))</f>
        <v>22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 t="e">
        <f>VLOOKUP(A176,'SegEnds_NonXtal_Prot#'!A:AL,22,FALSE)-VLOOKUP(A176,'SegEnds_NonXtal_Prot#'!A:AL,19,FALSE)</f>
        <v>#VALUE!</v>
      </c>
      <c r="AG176" s="1">
        <f>VLOOKUP(A176,'SegEnds_NonXtal_Prot#'!A:AL,28,FALSE)-VLOOKUP(A176,'SegEnds_NonXtal_Prot#'!A:AL,25,FALSE)</f>
        <v>25</v>
      </c>
      <c r="AH176" s="1">
        <f>VLOOKUP(A176,'SegEnds_NonXtal_Prot#'!A:AL,28,FALSE)-VLOOKUP(A176,'SegEnds_NonXtal_Prot#'!A:AL,22,FALSE)</f>
        <v>62</v>
      </c>
      <c r="AI176" s="1">
        <f>VLOOKUP(A176,'SegEnds_NonXtal_Prot#'!A:AL,31,FALSE)-VLOOKUP(A176,'SegEnds_NonXtal_Prot#'!A:AL,28,FALSE)</f>
        <v>57</v>
      </c>
      <c r="AJ176" s="1">
        <f>VLOOKUP(A176,'SegEnds_NonXtal_Prot#'!A:AL,34,FALSE)-VLOOKUP(A176,'SegEnds_NonXtal_Prot#'!A:AL,31,FALSE)</f>
        <v>41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323</v>
      </c>
      <c r="B177" s="1" t="str">
        <f>VLOOKUP(A177,Xtal_Templ!B:C,2,FALSE)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68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73</v>
      </c>
      <c r="U177" s="1">
        <f t="array" ref="U177">INDEX(ICL3_classA!$H$2:$H$37,MATCH(MIN(ABS(AI177-ICL3_classA!$F$2:$F$37)),ABS(AI177-ICL3_classA!$F$2:$F$37),0))</f>
        <v>24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 t="e">
        <f>VLOOKUP(A177,'SegEnds_NonXtal_Prot#'!A:AL,22,FALSE)-VLOOKUP(A177,'SegEnds_NonXtal_Prot#'!A:AL,19,FALSE)</f>
        <v>#VALUE!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63</v>
      </c>
      <c r="AI177" s="1">
        <f>VLOOKUP(A177,'SegEnds_NonXtal_Prot#'!A:AL,31,FALSE)-VLOOKUP(A177,'SegEnds_NonXtal_Prot#'!A:AL,28,FALSE)</f>
        <v>58</v>
      </c>
      <c r="AJ177" s="1">
        <f>VLOOKUP(A177,'SegEnds_NonXtal_Prot#'!A:AL,34,FALSE)-VLOOKUP(A177,'SegEnds_NonXtal_Prot#'!A:AL,31,FALSE)</f>
        <v>41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325</v>
      </c>
      <c r="B178" s="1" t="str">
        <f>VLOOKUP(A178,Xtal_Templ!B:C,2,FALSE)</f>
        <v>npy1r_human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68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 t="str">
        <f>VLOOKUP($B178&amp;"__wt",'SegEnds_Xtal_BW#'!$A:$Z,13,FALSE)</f>
        <v>-</v>
      </c>
      <c r="N178" s="108" t="s">
        <v>23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73</v>
      </c>
      <c r="U178" s="1">
        <f t="array" ref="U178">INDEX(ICL3_classA!$H$2:$H$37,MATCH(MIN(ABS(AI178-ICL3_classA!$F$2:$F$37)),ABS(AI178-ICL3_classA!$F$2:$F$37),0))</f>
        <v>22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 t="e">
        <f>VLOOKUP(A178,'SegEnds_NonXtal_Prot#'!A:AL,22,FALSE)-VLOOKUP(A178,'SegEnds_NonXtal_Prot#'!A:AL,19,FALSE)</f>
        <v>#VALUE!</v>
      </c>
      <c r="AG178" s="1">
        <f>VLOOKUP(A178,'SegEnds_NonXtal_Prot#'!A:AL,28,FALSE)-VLOOKUP(A178,'SegEnds_NonXtal_Prot#'!A:AL,25,FALSE)</f>
        <v>25</v>
      </c>
      <c r="AH178" s="1">
        <f>VLOOKUP(A178,'SegEnds_NonXtal_Prot#'!A:AL,28,FALSE)-VLOOKUP(A178,'SegEnds_NonXtal_Prot#'!A:AL,22,FALSE)</f>
        <v>60</v>
      </c>
      <c r="AI178" s="1">
        <f>VLOOKUP(A178,'SegEnds_NonXtal_Prot#'!A:AL,31,FALSE)-VLOOKUP(A178,'SegEnds_NonXtal_Prot#'!A:AL,28,FALSE)</f>
        <v>55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326</v>
      </c>
      <c r="B179" s="1" t="str">
        <f>VLOOKUP(A179,Xtal_Templ!B:C,2,FALSE)</f>
        <v>ox1r_human</v>
      </c>
      <c r="C179" s="5">
        <f>VLOOKUP($B179&amp;"__wt",'SegEnds_Xtal_BW#'!$A:$Z,3,FALSE)</f>
        <v>32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56</v>
      </c>
      <c r="O179" s="87">
        <f>VLOOKUP($B179&amp;"__wt",'SegEnds_Xtal_BW#'!$A:$Z,15,FALSE)</f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INDEX(ICL3_classA!$G$2:$G$37,MATCH(MIN(ABS(AI179-ICL3_classA!$F$2:$F$37)),ABS(AI179-ICL3_classA!$F$2:$F$37),0))</f>
        <v>72</v>
      </c>
      <c r="U179" s="1">
        <f t="array" ref="U179">INDEX(ICL3_classA!$H$2:$H$37,MATCH(MIN(ABS(AI179-ICL3_classA!$F$2:$F$37)),ABS(AI179-ICL3_classA!$F$2:$F$37),0))</f>
        <v>24</v>
      </c>
      <c r="V179" s="1">
        <v>61</v>
      </c>
      <c r="W179" s="1">
        <v>28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58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 t="e">
        <f>VLOOKUP(A179,'SegEnds_NonXtal_Prot#'!A:AL,22,FALSE)-VLOOKUP(A179,'SegEnds_NonXtal_Prot#'!A:AL,19,FALSE)</f>
        <v>#VALUE!</v>
      </c>
      <c r="AG179" s="1">
        <f>VLOOKUP(A179,'SegEnds_NonXtal_Prot#'!A:AL,28,FALSE)-VLOOKUP(A179,'SegEnds_NonXtal_Prot#'!A:AL,25,FALSE)</f>
        <v>28</v>
      </c>
      <c r="AH179" s="1">
        <f>VLOOKUP(A179,'SegEnds_NonXtal_Prot#'!A:AL,28,FALSE)-VLOOKUP(A179,'SegEnds_NonXtal_Prot#'!A:AL,22,FALSE)</f>
        <v>58</v>
      </c>
      <c r="AI179" s="1">
        <f>VLOOKUP(A179,'SegEnds_NonXtal_Prot#'!A:AL,31,FALSE)-VLOOKUP(A179,'SegEnds_NonXtal_Prot#'!A:AL,28,FALSE)</f>
        <v>52</v>
      </c>
      <c r="AJ179" s="1">
        <f>VLOOKUP(A179,'SegEnds_NonXtal_Prot#'!A:AL,34,FALSE)-VLOOKUP(A179,'SegEnds_NonXtal_Prot#'!A:AL,31,FALSE)</f>
        <v>39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327</v>
      </c>
      <c r="B180" s="1" t="str">
        <f>VLOOKUP(A180,Xtal_Templ!B:C,2,FALSE)</f>
        <v>npy1r_human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68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 t="str">
        <f>VLOOKUP($B180&amp;"__wt",'SegEnds_Xtal_BW#'!$A:$Z,13,FALSE)</f>
        <v>-</v>
      </c>
      <c r="N180" s="108" t="s">
        <v>23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72</v>
      </c>
      <c r="U180" s="1">
        <f t="array" ref="U180">INDEX(ICL3_classA!$H$2:$H$37,MATCH(MIN(ABS(AI180-ICL3_classA!$F$2:$F$37)),ABS(AI180-ICL3_classA!$F$2:$F$37),0))</f>
        <v>24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58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 t="e">
        <f>VLOOKUP(A180,'SegEnds_NonXtal_Prot#'!A:AL,22,FALSE)-VLOOKUP(A180,'SegEnds_NonXtal_Prot#'!A:AL,19,FALSE)</f>
        <v>#VALUE!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62</v>
      </c>
      <c r="AI180" s="1">
        <f>VLOOKUP(A180,'SegEnds_NonXtal_Prot#'!A:AL,31,FALSE)-VLOOKUP(A180,'SegEnds_NonXtal_Prot#'!A:AL,28,FALSE)</f>
        <v>54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328</v>
      </c>
      <c r="B181" s="1" t="str">
        <f>VLOOKUP(A181,Xtal_Templ!B:C,2,FALSE)</f>
        <v>npy1r_human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08" t="s">
        <v>23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59</v>
      </c>
      <c r="AI181" s="1">
        <f>VLOOKUP(A181,'SegEnds_NonXtal_Prot#'!A:AL,31,FALSE)-VLOOKUP(A181,'SegEnds_NonXtal_Prot#'!A:AL,28,FALSE)</f>
        <v>160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331</v>
      </c>
      <c r="B182" s="1" t="str">
        <f>VLOOKUP(A182,Xtal_Templ!B:C,2,FALSE)</f>
        <v>ptafr_human</v>
      </c>
      <c r="C182" s="5">
        <f>VLOOKUP($B182&amp;"__wt",'SegEnds_Xtal_BW#'!$A:$Z,3,FALSE)</f>
        <v>27</v>
      </c>
      <c r="D182" s="108">
        <v>60</v>
      </c>
      <c r="E182" s="108">
        <v>48</v>
      </c>
      <c r="F182" s="108"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f>VLOOKUP($B182&amp;"__wt",'SegEnds_Xtal_BW#'!$A:$Z,15,FALSE)</f>
        <v>38</v>
      </c>
      <c r="P182" s="1">
        <f>VLOOKUP($B182&amp;"__wt",'SegEnds_Xtal_BW#'!$A:$Z,16,FALSE)</f>
        <v>63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33</v>
      </c>
      <c r="T182" s="1">
        <f t="array" ref="T182">INDEX(ICL3_classA!$G$2:$G$37,MATCH(MIN(ABS(AI182-ICL3_classA!$F$2:$F$37)),ABS(AI182-ICL3_classA!$F$2:$F$37),0))</f>
        <v>67</v>
      </c>
      <c r="U182" s="1">
        <f t="array" ref="U182">INDEX(ICL3_classA!$H$2:$H$37,MATCH(MIN(ABS(AI182-ICL3_classA!$F$2:$F$37)),ABS(AI182-ICL3_classA!$F$2:$F$37),0))</f>
        <v>26</v>
      </c>
      <c r="V182" s="1">
        <v>61</v>
      </c>
      <c r="W182" s="1">
        <v>28</v>
      </c>
      <c r="X182" s="1">
        <f>VLOOKUP($B182&amp;"__wt",'SegEnds_Xtal_BW#'!$A:$Z,24,FALSE)</f>
        <v>59</v>
      </c>
      <c r="Y182" s="1">
        <f>VLOOKUP($B182&amp;"__wt",'SegEnds_Xtal_BW#'!$A:$Z,25,FALSE)</f>
        <v>50</v>
      </c>
      <c r="Z182" s="1">
        <f>VLOOKUP($B182&amp;"__wt",'SegEnds_Xtal_BW#'!$A:$Z,26,FALSE)</f>
        <v>63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20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>
        <f>VLOOKUP(A182,'SegEnds_NonXtal_Prot#'!A:AL,28,FALSE)-VLOOKUP(A182,'SegEnds_NonXtal_Prot#'!A:AL,25,FALSE)</f>
        <v>25</v>
      </c>
      <c r="AH182" s="1">
        <f>VLOOKUP(A182,'SegEnds_NonXtal_Prot#'!A:AL,28,FALSE)-VLOOKUP(A182,'SegEnds_NonXtal_Prot#'!A:AL,22,FALSE)</f>
        <v>51</v>
      </c>
      <c r="AI182" s="1">
        <f>VLOOKUP(A182,'SegEnds_NonXtal_Prot#'!A:AL,31,FALSE)-VLOOKUP(A182,'SegEnds_NonXtal_Prot#'!A:AL,28,FALSE)</f>
        <v>46</v>
      </c>
      <c r="AJ182" s="1">
        <f>VLOOKUP(A182,'SegEnds_NonXtal_Prot#'!A:AL,34,FALSE)-VLOOKUP(A182,'SegEnds_NonXtal_Prot#'!A:AL,31,FALSE)</f>
        <v>40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332</v>
      </c>
      <c r="B183" s="1" t="str">
        <f>VLOOKUP(A183,Xtal_Templ!B:C,2,FALSE)</f>
        <v>opsd_bovin</v>
      </c>
      <c r="C183" s="5">
        <f>VLOOKUP($B183&amp;"__wt",'SegEnds_Xtal_BW#'!$A:$Z,3,FALSE)</f>
        <v>28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56</v>
      </c>
      <c r="O183" s="87">
        <f>VLOOKUP($B183&amp;"__wt",'SegEnds_Xtal_BW#'!$A:$Z,15,FALSE)</f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INDEX(ICL3_classA!$G$2:$G$37,MATCH(MIN(ABS(AI183-ICL3_classA!$F$2:$F$37)),ABS(AI183-ICL3_classA!$F$2:$F$37),0))</f>
        <v>73</v>
      </c>
      <c r="U183" s="1">
        <f t="array" ref="U183">INDEX(ICL3_classA!$H$2:$H$37,MATCH(MIN(ABS(AI183-ICL3_classA!$F$2:$F$37)),ABS(AI183-ICL3_classA!$F$2:$F$37),0))</f>
        <v>22</v>
      </c>
      <c r="V183" s="1">
        <v>61</v>
      </c>
      <c r="W183" s="1">
        <v>31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20</v>
      </c>
      <c r="AE183" s="1">
        <f>VLOOKUP(A183,'SegEnds_NonXtal_Prot#'!A:AL,16,FALSE)-VLOOKUP(A183,'SegEnds_NonXtal_Prot#'!A:AL,10,FALSE)</f>
        <v>52</v>
      </c>
      <c r="AF183" s="1" t="e">
        <f>VLOOKUP(A183,'SegEnds_NonXtal_Prot#'!A:AL,22,FALSE)-VLOOKUP(A183,'SegEnds_NonXtal_Prot#'!A:AL,19,FALSE)</f>
        <v>#VALUE!</v>
      </c>
      <c r="AG183" s="1">
        <f>VLOOKUP(A183,'SegEnds_NonXtal_Prot#'!A:AL,28,FALSE)-VLOOKUP(A183,'SegEnds_NonXtal_Prot#'!A:AL,25,FALSE)</f>
        <v>26</v>
      </c>
      <c r="AH183" s="1">
        <f>VLOOKUP(A183,'SegEnds_NonXtal_Prot#'!A:AL,28,FALSE)-VLOOKUP(A183,'SegEnds_NonXtal_Prot#'!A:AL,22,FALSE)</f>
        <v>52</v>
      </c>
      <c r="AI183" s="1">
        <f>VLOOKUP(A183,'SegEnds_NonXtal_Prot#'!A:AL,31,FALSE)-VLOOKUP(A183,'SegEnds_NonXtal_Prot#'!A:AL,28,FALSE)</f>
        <v>56</v>
      </c>
      <c r="AJ183" s="1">
        <f>VLOOKUP(A183,'SegEnds_NonXtal_Prot#'!A:AL,34,FALSE)-VLOOKUP(A183,'SegEnds_NonXtal_Prot#'!A:AL,31,FALSE)</f>
        <v>36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333</v>
      </c>
      <c r="B184" s="1" t="str">
        <f>VLOOKUP(A184,Xtal_Templ!B:C,2,FALSE)</f>
        <v>opsd_human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f>VLOOKUP($B184&amp;"__wt",'SegEnds_Xtal_BW#'!$A:$Z,8,FALSE)</f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INDEX(ICL3_classA!$G$2:$G$37,MATCH(MIN(ABS(AI184-ICL3_classA!$F$2:$F$37)),ABS(AI184-ICL3_classA!$F$2:$F$37),0))</f>
        <v>74</v>
      </c>
      <c r="U184" s="1">
        <f t="array" ref="U184">INDEX(ICL3_classA!$H$2:$H$37,MATCH(MIN(ABS(AI184-ICL3_classA!$F$2:$F$37)),ABS(AI184-ICL3_classA!$F$2:$F$37),0))</f>
        <v>21</v>
      </c>
      <c r="V184" s="1">
        <v>61</v>
      </c>
      <c r="W184" s="1">
        <v>31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26</v>
      </c>
      <c r="AH184" s="1">
        <f>VLOOKUP(A184,'SegEnds_NonXtal_Prot#'!A:AL,28,FALSE)-VLOOKUP(A184,'SegEnds_NonXtal_Prot#'!A:AL,22,FALSE)</f>
        <v>52</v>
      </c>
      <c r="AI184" s="1">
        <f>VLOOKUP(A184,'SegEnds_NonXtal_Prot#'!A:AL,31,FALSE)-VLOOKUP(A184,'SegEnds_NonXtal_Prot#'!A:AL,28,FALSE)</f>
        <v>64</v>
      </c>
      <c r="AJ184" s="1">
        <f>VLOOKUP(A184,'SegEnds_NonXtal_Prot#'!A:AL,34,FALSE)-VLOOKUP(A184,'SegEnds_NonXtal_Prot#'!A:AL,31,FALSE)</f>
        <v>36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334</v>
      </c>
      <c r="B185" s="1" t="str">
        <f>VLOOKUP(A185,Xtal_Templ!B:C,2,FALSE)</f>
        <v>opsd_bovin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67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62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34</v>
      </c>
      <c r="T185" s="1">
        <f t="array" ref="T185">INDEX(ICL3_classA!$G$2:$G$37,MATCH(MIN(ABS(AI185-ICL3_classA!$F$2:$F$37)),ABS(AI185-ICL3_classA!$F$2:$F$37),0))</f>
        <v>73</v>
      </c>
      <c r="U185" s="1">
        <f t="array" ref="U185">INDEX(ICL3_classA!$H$2:$H$37,MATCH(MIN(ABS(AI185-ICL3_classA!$F$2:$F$37)),ABS(AI185-ICL3_classA!$F$2:$F$37),0))</f>
        <v>22</v>
      </c>
      <c r="V185" s="1">
        <v>61</v>
      </c>
      <c r="W185" s="1"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14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28</v>
      </c>
      <c r="AH185" s="1">
        <f>VLOOKUP(A185,'SegEnds_NonXtal_Prot#'!A:AL,28,FALSE)-VLOOKUP(A185,'SegEnds_NonXtal_Prot#'!A:AL,22,FALSE)</f>
        <v>54</v>
      </c>
      <c r="AI185" s="1">
        <f>VLOOKUP(A185,'SegEnds_NonXtal_Prot#'!A:AL,31,FALSE)-VLOOKUP(A185,'SegEnds_NonXtal_Prot#'!A:AL,28,FALSE)</f>
        <v>56</v>
      </c>
      <c r="AJ185" s="1">
        <f>VLOOKUP(A185,'SegEnds_NonXtal_Prot#'!A:AL,34,FALSE)-VLOOKUP(A185,'SegEnds_NonXtal_Prot#'!A:AL,31,FALSE)</f>
        <v>36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335</v>
      </c>
      <c r="B186" s="1" t="str">
        <f>VLOOKUP(A186,Xtal_Templ!B:C,2,FALSE)</f>
        <v>oprd_human</v>
      </c>
      <c r="C186" s="5">
        <f>VLOOKUP($B186&amp;"__wt",'SegEnds_Xtal_BW#'!$A:$Z,3,FALSE)</f>
        <v>22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66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f>VLOOKUP($B186&amp;"__wt",'SegEnds_Xtal_BW#'!$A:$Z,11,FALSE)</f>
        <v>21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f>VLOOKUP($B186&amp;"__wt",'SegEnds_Xtal_BW#'!$A:$Z,14,FALSE)</f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">
        <f t="array" ref="U186">INDEX(ICL3_classA!$H$2:$H$37,MATCH(MIN(ABS(AI186-ICL3_classA!$F$2:$F$37)),ABS(AI186-ICL3_classA!$F$2:$F$37),0))</f>
        <v>23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60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19</v>
      </c>
      <c r="AE186" s="1">
        <f>VLOOKUP(A186,'SegEnds_NonXtal_Prot#'!A:AL,16,FALSE)-VLOOKUP(A186,'SegEnds_NonXtal_Prot#'!A:AL,10,FALSE)</f>
        <v>51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27</v>
      </c>
      <c r="AH186" s="1">
        <f>VLOOKUP(A186,'SegEnds_NonXtal_Prot#'!A:AL,28,FALSE)-VLOOKUP(A186,'SegEnds_NonXtal_Prot#'!A:AL,22,FALSE)</f>
        <v>52</v>
      </c>
      <c r="AI186" s="1">
        <f>VLOOKUP(A186,'SegEnds_NonXtal_Prot#'!A:AL,31,FALSE)-VLOOKUP(A186,'SegEnds_NonXtal_Prot#'!A:AL,28,FALSE)</f>
        <v>51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916</v>
      </c>
      <c r="B187" s="1" t="str">
        <f>VLOOKUP(A187,Xtal_Templ!B:C,2,FALSE)</f>
        <v>oprd_human</v>
      </c>
      <c r="C187" s="5">
        <f>VLOOKUP($B187&amp;"__wt",'SegEnds_Xtal_BW#'!$A:$Z,3,FALSE)</f>
        <v>22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f>VLOOKUP($B187&amp;"__wt",'SegEnds_Xtal_BW#'!$A:$Z,11,FALSE)</f>
        <v>21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f>VLOOKUP($B187&amp;"__wt",'SegEnds_Xtal_BW#'!$A:$Z,14,FALSE)</f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">
        <f t="array" ref="U187">INDEX(ICL3_classA!$H$2:$H$37,MATCH(MIN(ABS(AI187-ICL3_classA!$F$2:$F$37)),ABS(AI187-ICL3_classA!$F$2:$F$37),0))</f>
        <v>23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60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19</v>
      </c>
      <c r="AE187" s="1">
        <f>VLOOKUP(A187,'SegEnds_NonXtal_Prot#'!A:AL,16,FALSE)-VLOOKUP(A187,'SegEnds_NonXtal_Prot#'!A:AL,10,FALSE)</f>
        <v>51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27</v>
      </c>
      <c r="AH187" s="1">
        <f>VLOOKUP(A187,'SegEnds_NonXtal_Prot#'!A:AL,28,FALSE)-VLOOKUP(A187,'SegEnds_NonXtal_Prot#'!A:AL,22,FALSE)</f>
        <v>52</v>
      </c>
      <c r="AI187" s="1">
        <f>VLOOKUP(A187,'SegEnds_NonXtal_Prot#'!A:AL,31,FALSE)-VLOOKUP(A187,'SegEnds_NonXtal_Prot#'!A:AL,28,FALSE)</f>
        <v>51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336</v>
      </c>
      <c r="B188" s="1" t="str">
        <f>VLOOKUP(A188,Xtal_Templ!B:C,2,FALSE)</f>
        <v>oprk_human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f>VLOOKUP($B188&amp;"__wt",'SegEnds_Xtal_BW#'!$A:$Z,11,FALSE)</f>
        <v>21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f>VLOOKUP($B188&amp;"__wt",'SegEnds_Xtal_BW#'!$A:$Z,14,FALSE)</f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23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19</v>
      </c>
      <c r="AE188" s="1">
        <f>VLOOKUP(A188,'SegEnds_NonXtal_Prot#'!A:AL,16,FALSE)-VLOOKUP(A188,'SegEnds_NonXtal_Prot#'!A:AL,10,FALSE)</f>
        <v>51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55</v>
      </c>
      <c r="AI188" s="1">
        <f>VLOOKUP(A188,'SegEnds_NonXtal_Prot#'!A:AL,31,FALSE)-VLOOKUP(A188,'SegEnds_NonXtal_Prot#'!A:AL,28,FALSE)</f>
        <v>51</v>
      </c>
      <c r="AJ188" s="1">
        <f>VLOOKUP(A188,'SegEnds_NonXtal_Prot#'!A:AL,34,FALSE)-VLOOKUP(A188,'SegEnds_NonXtal_Prot#'!A:AL,31,FALSE)</f>
        <v>38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337</v>
      </c>
      <c r="B189" s="1" t="str">
        <f>VLOOKUP(A189,Xtal_Templ!B:C,2,FALSE)</f>
        <v>oprm_mouse</v>
      </c>
      <c r="C189" s="5">
        <f>VLOOKUP($B189&amp;"__wt",'SegEnds_Xtal_BW#'!$A:$Z,3,FALSE)</f>
        <v>29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31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23</v>
      </c>
      <c r="V189" s="1">
        <v>61</v>
      </c>
      <c r="W189" s="1">
        <v>28</v>
      </c>
      <c r="X189" s="128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27</v>
      </c>
      <c r="AH189" s="1">
        <f>VLOOKUP(A189,'SegEnds_NonXtal_Prot#'!A:AL,28,FALSE)-VLOOKUP(A189,'SegEnds_NonXtal_Prot#'!A:AL,22,FALSE)</f>
        <v>52</v>
      </c>
      <c r="AI189" s="1">
        <f>VLOOKUP(A189,'SegEnds_NonXtal_Prot#'!A:AL,31,FALSE)-VLOOKUP(A189,'SegEnds_NonXtal_Prot#'!A:AL,28,FALSE)</f>
        <v>51</v>
      </c>
      <c r="AJ189" s="1">
        <f>VLOOKUP(A189,'SegEnds_NonXtal_Prot#'!A:AL,34,FALSE)-VLOOKUP(A189,'SegEnds_NonXtal_Prot#'!A:AL,31,FALSE)</f>
        <v>38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918</v>
      </c>
      <c r="B190" s="1" t="str">
        <f>VLOOKUP(A190,Xtal_Templ!B:C,2,FALSE)</f>
        <v>oprm_mouse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f>VLOOKUP($B190&amp;"__wt",'SegEnds_Xtal_BW#'!$A:$Z,11,FALSE)</f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f>VLOOKUP($B190&amp;"__wt",'SegEnds_Xtal_BW#'!$A:$Z,14,FALSE)</f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31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23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27</v>
      </c>
      <c r="AH190" s="1">
        <f>VLOOKUP(A190,'SegEnds_NonXtal_Prot#'!A:AL,28,FALSE)-VLOOKUP(A190,'SegEnds_NonXtal_Prot#'!A:AL,22,FALSE)</f>
        <v>52</v>
      </c>
      <c r="AI190" s="1">
        <f>VLOOKUP(A190,'SegEnds_NonXtal_Prot#'!A:AL,31,FALSE)-VLOOKUP(A190,'SegEnds_NonXtal_Prot#'!A:AL,28,FALSE)</f>
        <v>51</v>
      </c>
      <c r="AJ190" s="1">
        <f>VLOOKUP(A190,'SegEnds_NonXtal_Prot#'!A:AL,34,FALSE)-VLOOKUP(A190,'SegEnds_NonXtal_Prot#'!A:AL,31,FALSE)</f>
        <v>38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Xtal</v>
      </c>
    </row>
    <row r="191" spans="1:38" x14ac:dyDescent="0.2">
      <c r="A191" s="1" t="s">
        <v>1174</v>
      </c>
      <c r="B191" s="1" t="str">
        <f>VLOOKUP(A191,Xtal_Templ!B:C,2,FALSE)</f>
        <v>oprx_human</v>
      </c>
      <c r="C191" s="5">
        <f>VLOOKUP($B191&amp;"__wt",'SegEnds_Xtal_BW#'!$A:$Z,3,FALSE)</f>
        <v>29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f>VLOOKUP($B191&amp;"__wt",'SegEnds_Xtal_BW#'!$A:$Z,11,FALSE)</f>
        <v>21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f>VLOOKUP($B191&amp;"__wt",'SegEnds_Xtal_BW#'!$A:$Z,14,FALSE)</f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31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23</v>
      </c>
      <c r="V191" s="1">
        <v>61</v>
      </c>
      <c r="W191" s="1">
        <v>28</v>
      </c>
      <c r="X191" s="128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59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19</v>
      </c>
      <c r="AE191" s="1">
        <f>VLOOKUP(A191,'SegEnds_NonXtal_Prot#'!A:AL,16,FALSE)-VLOOKUP(A191,'SegEnds_NonXtal_Prot#'!A:AL,10,FALSE)</f>
        <v>51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27</v>
      </c>
      <c r="AH191" s="1">
        <f>VLOOKUP(A191,'SegEnds_NonXtal_Prot#'!A:AL,28,FALSE)-VLOOKUP(A191,'SegEnds_NonXtal_Prot#'!A:AL,22,FALSE)</f>
        <v>52</v>
      </c>
      <c r="AI191" s="1">
        <f>VLOOKUP(A191,'SegEnds_NonXtal_Prot#'!A:AL,31,FALSE)-VLOOKUP(A191,'SegEnds_NonXtal_Prot#'!A:AL,28,FALSE)</f>
        <v>51</v>
      </c>
      <c r="AJ191" s="1">
        <f>VLOOKUP(A191,'SegEnds_NonXtal_Prot#'!A:AL,34,FALSE)-VLOOKUP(A191,'SegEnds_NonXtal_Prot#'!A:AL,31,FALSE)</f>
        <v>38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Xtal</v>
      </c>
    </row>
    <row r="192" spans="1:38" x14ac:dyDescent="0.2">
      <c r="A192" s="1" t="s">
        <v>338</v>
      </c>
      <c r="B192" s="1" t="str">
        <f>VLOOKUP(A192,Xtal_Templ!B:C,2,FALSE)</f>
        <v>opsd_human</v>
      </c>
      <c r="C192" s="5">
        <f>VLOOKUP($B192&amp;"__wt",'SegEnds_Xtal_BW#'!$A:$Z,3,FALSE)</f>
        <v>29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08">
        <v>56</v>
      </c>
      <c r="O192" s="87">
        <f>VLOOKUP($B192&amp;"__wt",'SegEnds_Xtal_BW#'!$A:$Z,15,FALSE)</f>
        <v>38</v>
      </c>
      <c r="P192" s="1">
        <f>VLOOKUP($B192&amp;"__wt",'SegEnds_Xtal_BW#'!$A:$Z,16,FALSE)</f>
        <v>62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72</v>
      </c>
      <c r="U192" s="1">
        <f t="array" ref="U192">INDEX(ICL3_classA!$H$2:$H$37,MATCH(MIN(ABS(AI192-ICL3_classA!$F$2:$F$37)),ABS(AI192-ICL3_classA!$F$2:$F$37),0))</f>
        <v>24</v>
      </c>
      <c r="V192" s="1">
        <v>61</v>
      </c>
      <c r="W192" s="1">
        <v>31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59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19</v>
      </c>
      <c r="AG192" s="1">
        <f>VLOOKUP(A192,'SegEnds_NonXtal_Prot#'!A:AL,28,FALSE)-VLOOKUP(A192,'SegEnds_NonXtal_Prot#'!A:AL,25,FALSE)</f>
        <v>28</v>
      </c>
      <c r="AH192" s="1">
        <f>VLOOKUP(A192,'SegEnds_NonXtal_Prot#'!A:AL,28,FALSE)-VLOOKUP(A192,'SegEnds_NonXtal_Prot#'!A:AL,22,FALSE)</f>
        <v>54</v>
      </c>
      <c r="AI192" s="1">
        <f>VLOOKUP(A192,'SegEnds_NonXtal_Prot#'!A:AL,31,FALSE)-VLOOKUP(A192,'SegEnds_NonXtal_Prot#'!A:AL,28,FALSE)</f>
        <v>52</v>
      </c>
      <c r="AJ192" s="1">
        <f>VLOOKUP(A192,'SegEnds_NonXtal_Prot#'!A:AL,34,FALSE)-VLOOKUP(A192,'SegEnds_NonXtal_Prot#'!A:AL,31,FALSE)</f>
        <v>36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920</v>
      </c>
      <c r="B193" s="1" t="str">
        <f>VLOOKUP(A193,Xtal_Templ!B:C,2,FALSE)</f>
        <v>opsd_bovin</v>
      </c>
      <c r="C193" s="5">
        <f>VLOOKUP($B193&amp;"__wt",'SegEnds_Xtal_BW#'!$A:$Z,3,FALSE)</f>
        <v>28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08">
        <f>VLOOKUP($B193&amp;"__wt",'SegEnds_Xtal_BW#'!$A:$Z,14,FALSE)</f>
        <v>56</v>
      </c>
      <c r="O193" s="87">
        <f>VLOOKUP($B193&amp;"__wt",'SegEnds_Xtal_BW#'!$A:$Z,15,FALSE)</f>
        <v>38</v>
      </c>
      <c r="P193" s="1">
        <f>VLOOKUP($B193&amp;"__wt",'SegEnds_Xtal_BW#'!$A:$Z,16,FALSE)</f>
        <v>62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34</v>
      </c>
      <c r="T193" s="1">
        <f t="array" ref="T193">INDEX(ICL3_classA!$G$2:$G$37,MATCH(MIN(ABS(AI193-ICL3_classA!$F$2:$F$37)),ABS(AI193-ICL3_classA!$F$2:$F$37),0))</f>
        <v>72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31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19</v>
      </c>
      <c r="AG193" s="1">
        <f>VLOOKUP(A193,'SegEnds_NonXtal_Prot#'!A:AL,28,FALSE)-VLOOKUP(A193,'SegEnds_NonXtal_Prot#'!A:AL,25,FALSE)</f>
        <v>28</v>
      </c>
      <c r="AH193" s="1">
        <f>VLOOKUP(A193,'SegEnds_NonXtal_Prot#'!A:AL,28,FALSE)-VLOOKUP(A193,'SegEnds_NonXtal_Prot#'!A:AL,22,FALSE)</f>
        <v>54</v>
      </c>
      <c r="AI193" s="1">
        <f>VLOOKUP(A193,'SegEnds_NonXtal_Prot#'!A:AL,31,FALSE)-VLOOKUP(A193,'SegEnds_NonXtal_Prot#'!A:AL,28,FALSE)</f>
        <v>52</v>
      </c>
      <c r="AJ193" s="1">
        <f>VLOOKUP(A193,'SegEnds_NonXtal_Prot#'!A:AL,34,FALSE)-VLOOKUP(A193,'SegEnds_NonXtal_Prot#'!A:AL,31,FALSE)</f>
        <v>36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Xtal</v>
      </c>
    </row>
    <row r="194" spans="1:38" x14ac:dyDescent="0.2">
      <c r="A194" s="1" t="s">
        <v>339</v>
      </c>
      <c r="B194" s="1" t="str">
        <f>VLOOKUP(A194,Xtal_Templ!B:C,2,FALSE)</f>
        <v>opsd_human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08">
        <f>VLOOKUP($B194&amp;"__wt",'SegEnds_Xtal_BW#'!$A:$Z,14,FALSE)</f>
        <v>56</v>
      </c>
      <c r="O194" s="87">
        <f>VLOOKUP($B194&amp;"__wt",'SegEnds_Xtal_BW#'!$A:$Z,15,FALSE)</f>
        <v>38</v>
      </c>
      <c r="P194" s="1">
        <f>VLOOKUP($B194&amp;"__wt",'SegEnds_Xtal_BW#'!$A:$Z,16,FALSE)</f>
        <v>62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34</v>
      </c>
      <c r="T194" s="1">
        <f t="array" ref="T194">INDEX(ICL3_classA!$G$2:$G$37,MATCH(MIN(ABS(AI194-ICL3_classA!$F$2:$F$37)),ABS(AI194-ICL3_classA!$F$2:$F$37),0))</f>
        <v>72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">
        <v>31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19</v>
      </c>
      <c r="AG194" s="1">
        <f>VLOOKUP(A194,'SegEnds_NonXtal_Prot#'!A:AL,28,FALSE)-VLOOKUP(A194,'SegEnds_NonXtal_Prot#'!A:AL,25,FALSE)</f>
        <v>28</v>
      </c>
      <c r="AH194" s="1">
        <f>VLOOKUP(A194,'SegEnds_NonXtal_Prot#'!A:AL,28,FALSE)-VLOOKUP(A194,'SegEnds_NonXtal_Prot#'!A:AL,22,FALSE)</f>
        <v>54</v>
      </c>
      <c r="AI194" s="1">
        <f>VLOOKUP(A194,'SegEnds_NonXtal_Prot#'!A:AL,31,FALSE)-VLOOKUP(A194,'SegEnds_NonXtal_Prot#'!A:AL,28,FALSE)</f>
        <v>52</v>
      </c>
      <c r="AJ194" s="1">
        <f>VLOOKUP(A194,'SegEnds_NonXtal_Prot#'!A:AL,34,FALSE)-VLOOKUP(A194,'SegEnds_NonXtal_Prot#'!A:AL,31,FALSE)</f>
        <v>36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Xtal</v>
      </c>
    </row>
    <row r="195" spans="1:38" x14ac:dyDescent="0.2">
      <c r="A195" s="1" t="s">
        <v>922</v>
      </c>
      <c r="B195" s="1" t="str">
        <f>VLOOKUP(A195,Xtal_Templ!B:C,2,FALSE)</f>
        <v>opsd_todpa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69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7">
        <f>VLOOKUP($B195&amp;"__wt",'SegEnds_Xtal_BW#'!$A:$Z,15,FALSE)</f>
        <v>38</v>
      </c>
      <c r="P195" s="1">
        <f>VLOOKUP($B195&amp;"__wt",'SegEnds_Xtal_BW#'!$A:$Z,16,FALSE)</f>
        <v>62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INDEX(ICL3_classA!$G$2:$G$37,MATCH(MIN(ABS(AI195-ICL3_classA!$F$2:$F$37)),ABS(AI195-ICL3_classA!$F$2:$F$37),0))</f>
        <v>74</v>
      </c>
      <c r="U195" s="1">
        <f t="array" ref="U195">INDEX(ICL3_classA!$H$2:$H$37,MATCH(MIN(ABS(AI195-ICL3_classA!$F$2:$F$37)),ABS(AI195-ICL3_classA!$F$2:$F$37),0))</f>
        <v>21</v>
      </c>
      <c r="V195" s="1">
        <v>61</v>
      </c>
      <c r="W195" s="1">
        <v>31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21</v>
      </c>
      <c r="AE195" s="1">
        <f>VLOOKUP(A195,'SegEnds_NonXtal_Prot#'!A:AL,16,FALSE)-VLOOKUP(A195,'SegEnds_NonXtal_Prot#'!A:AL,10,FALSE)</f>
        <v>53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52</v>
      </c>
      <c r="AI195" s="1">
        <f>VLOOKUP(A195,'SegEnds_NonXtal_Prot#'!A:AL,31,FALSE)-VLOOKUP(A195,'SegEnds_NonXtal_Prot#'!A:AL,28,FALSE)</f>
        <v>64</v>
      </c>
      <c r="AJ195" s="1">
        <f>VLOOKUP(A195,'SegEnds_NonXtal_Prot#'!A:AL,34,FALSE)-VLOOKUP(A195,'SegEnds_NonXtal_Prot#'!A:AL,31,FALSE)</f>
        <v>36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340</v>
      </c>
      <c r="B196" s="1" t="str">
        <f>VLOOKUP(A196,Xtal_Templ!B:C,2,FALSE)</f>
        <v>opsd_human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67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f>VLOOKUP($B196&amp;"__wt",'SegEnds_Xtal_BW#'!$A:$Z,14,FALSE)</f>
        <v>56</v>
      </c>
      <c r="O196" s="87">
        <f>VLOOKUP($B196&amp;"__wt",'SegEnds_Xtal_BW#'!$A:$Z,15,FALSE)</f>
        <v>38</v>
      </c>
      <c r="P196" s="1">
        <f>VLOOKUP($B196&amp;"__wt",'SegEnds_Xtal_BW#'!$A:$Z,16,FALSE)</f>
        <v>62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34</v>
      </c>
      <c r="T196" s="1">
        <f t="array" ref="T196">INDEX(ICL3_classA!$G$2:$G$37,MATCH(MIN(ABS(AI196-ICL3_classA!$F$2:$F$37)),ABS(AI196-ICL3_classA!$F$2:$F$37),0))</f>
        <v>72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31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59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19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54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36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341</v>
      </c>
      <c r="B197" s="1" t="str">
        <f>VLOOKUP(A197,Xtal_Templ!B:C,2,FALSE)</f>
        <v>opsd_bovin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56</v>
      </c>
      <c r="O197" s="87">
        <f>VLOOKUP($B197&amp;"__wt",'SegEnds_Xtal_BW#'!$A:$Z,15,FALSE)</f>
        <v>38</v>
      </c>
      <c r="P197" s="1">
        <f>VLOOKUP($B197&amp;"__wt",'SegEnds_Xtal_BW#'!$A:$Z,16,FALSE)</f>
        <v>62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34</v>
      </c>
      <c r="T197" s="1">
        <f t="array" ref="T197">INDEX(ICL3_classA!$G$2:$G$37,MATCH(MIN(ABS(AI197-ICL3_classA!$F$2:$F$37)),ABS(AI197-ICL3_classA!$F$2:$F$37),0))</f>
        <v>72</v>
      </c>
      <c r="U197" s="1">
        <f t="array" ref="U197">INDEX(ICL3_classA!$H$2:$H$37,MATCH(MIN(ABS(AI197-ICL3_classA!$F$2:$F$37)),ABS(AI197-ICL3_classA!$F$2:$F$37),0))</f>
        <v>24</v>
      </c>
      <c r="V197" s="1">
        <v>61</v>
      </c>
      <c r="W197" s="1">
        <v>31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59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19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19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54</v>
      </c>
      <c r="AI197" s="1">
        <f>VLOOKUP(A197,'SegEnds_NonXtal_Prot#'!A:AL,31,FALSE)-VLOOKUP(A197,'SegEnds_NonXtal_Prot#'!A:AL,28,FALSE)</f>
        <v>52</v>
      </c>
      <c r="AJ197" s="1">
        <f>VLOOKUP(A197,'SegEnds_NonXtal_Prot#'!A:AL,34,FALSE)-VLOOKUP(A197,'SegEnds_NonXtal_Prot#'!A:AL,31,FALSE)</f>
        <v>36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1175</v>
      </c>
      <c r="B198" s="1" t="str">
        <f>VLOOKUP(A198,Xtal_Templ!B:C,2,FALSE)</f>
        <v>ox1r_human</v>
      </c>
      <c r="C198" s="5">
        <f>VLOOKUP($B198&amp;"__wt",'SegEnds_Xtal_BW#'!$A:$Z,3,FALSE)</f>
        <v>32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f>VLOOKUP($B198&amp;"__wt",'SegEnds_Xtal_BW#'!$A:$Z,14,FALSE)</f>
        <v>53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INDEX(ICL3_classA!$G$2:$G$37,MATCH(MIN(ABS(AI198-ICL3_classA!$F$2:$F$37)),ABS(AI198-ICL3_classA!$F$2:$F$37),0))</f>
        <v>76</v>
      </c>
      <c r="U198" s="1">
        <v>20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>
        <f>VLOOKUP(A198,'SegEnds_NonXtal_Prot#'!A:AL,22,FALSE)-VLOOKUP(A198,'SegEnds_NonXtal_Prot#'!A:AL,19,FALSE)</f>
        <v>18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58</v>
      </c>
      <c r="AI198" s="12">
        <f>VLOOKUP(A198,'SegEnds_NonXtal_Prot#'!A:AL,31,FALSE)-VLOOKUP(A198,'SegEnds_NonXtal_Prot#'!A:AL,28,FALSE)</f>
        <v>86</v>
      </c>
      <c r="AJ198" s="1">
        <f>VLOOKUP(A198,'SegEnds_NonXtal_Prot#'!A:AL,34,FALSE)-VLOOKUP(A198,'SegEnds_NonXtal_Prot#'!A:AL,31,FALSE)</f>
        <v>42</v>
      </c>
      <c r="AK198" s="1">
        <f>VLOOKUP(A198,'SegEnds_NonXtal_Prot#'!A:AL,37,FALSE)-VLOOKUP(A198,'SegEnds_NonXtal_Prot#'!A:AL,34,FALSE)</f>
        <v>10</v>
      </c>
      <c r="AL198" s="12" t="str">
        <f>IF(ISERROR(MATCH(A198,'SegEnds_Xtal_Prot#'!B:B, 0)), "NoXtal", "Xtal")</f>
        <v>Xtal</v>
      </c>
    </row>
    <row r="199" spans="1:38" x14ac:dyDescent="0.2">
      <c r="A199" s="1" t="s">
        <v>1176</v>
      </c>
      <c r="B199" s="1" t="str">
        <f>VLOOKUP(A199,Xtal_Templ!B:C,2,FALSE)</f>
        <v>ox2r_human</v>
      </c>
      <c r="C199" s="5">
        <f>VLOOKUP($B199&amp;"__wt",'SegEnds_Xtal_BW#'!$A:$Z,3,FALSE)</f>
        <v>31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53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33</v>
      </c>
      <c r="T199" s="1">
        <f t="array" ref="T199">INDEX(ICL3_classA!$G$2:$G$37,MATCH(MIN(ABS(AI199-ICL3_classA!$F$2:$F$37)),ABS(AI199-ICL3_classA!$F$2:$F$37),0))</f>
        <v>76</v>
      </c>
      <c r="U199" s="1">
        <v>20</v>
      </c>
      <c r="V199" s="1">
        <v>61</v>
      </c>
      <c r="W199" s="108">
        <v>27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28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18</v>
      </c>
      <c r="AG199" s="1">
        <f>VLOOKUP(A199,'SegEnds_NonXtal_Prot#'!A:AL,28,FALSE)-VLOOKUP(A199,'SegEnds_NonXtal_Prot#'!A:AL,25,FALSE)</f>
        <v>25</v>
      </c>
      <c r="AH199" s="1">
        <f>VLOOKUP(A199,'SegEnds_NonXtal_Prot#'!A:AL,28,FALSE)-VLOOKUP(A199,'SegEnds_NonXtal_Prot#'!A:AL,22,FALSE)</f>
        <v>58</v>
      </c>
      <c r="AI199" s="12">
        <f>VLOOKUP(A199,'SegEnds_NonXtal_Prot#'!A:AL,31,FALSE)-VLOOKUP(A199,'SegEnds_NonXtal_Prot#'!A:AL,28,FALSE)</f>
        <v>84</v>
      </c>
      <c r="AJ199" s="1">
        <f>VLOOKUP(A199,'SegEnds_NonXtal_Prot#'!A:AL,34,FALSE)-VLOOKUP(A199,'SegEnds_NonXtal_Prot#'!A:AL,31,FALSE)</f>
        <v>42</v>
      </c>
      <c r="AK199" s="1">
        <f>VLOOKUP(A199,'SegEnds_NonXtal_Prot#'!A:AL,37,FALSE)-VLOOKUP(A199,'SegEnds_NonXtal_Prot#'!A:AL,34,FALSE)</f>
        <v>10</v>
      </c>
      <c r="AL199" s="12" t="str">
        <f>IF(ISERROR(MATCH(A199,'SegEnds_Xtal_Prot#'!B:B, 0)), "NoXtal", "Xtal")</f>
        <v>Xtal</v>
      </c>
    </row>
    <row r="200" spans="1:38" x14ac:dyDescent="0.2">
      <c r="A200" s="1" t="s">
        <v>342</v>
      </c>
      <c r="B200" s="1" t="str">
        <f>VLOOKUP(A200,Xtal_Templ!B:C,2,FALSE)</f>
        <v>oprk_human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30</v>
      </c>
      <c r="T200" s="1">
        <f t="array" ref="T200">INDEX(ICL3_classA!$G$2:$G$37,MATCH(MIN(ABS(AI200-ICL3_classA!$F$2:$F$37)),ABS(AI200-ICL3_classA!$F$2:$F$37),0))</f>
        <v>67</v>
      </c>
      <c r="U200" s="1">
        <f t="array" ref="U200">INDEX(ICL3_classA!$H$2:$H$37,MATCH(MIN(ABS(AI200-ICL3_classA!$F$2:$F$37)),ABS(AI200-ICL3_classA!$F$2:$F$37),0))</f>
        <v>26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47</v>
      </c>
      <c r="AI200" s="1">
        <f>VLOOKUP(A200,'SegEnds_NonXtal_Prot#'!A:AL,31,FALSE)-VLOOKUP(A200,'SegEnds_NonXtal_Prot#'!A:AL,28,FALSE)</f>
        <v>46</v>
      </c>
      <c r="AJ200" s="1">
        <f>VLOOKUP(A200,'SegEnds_NonXtal_Prot#'!A:AL,34,FALSE)-VLOOKUP(A200,'SegEnds_NonXtal_Prot#'!A:AL,31,FALSE)</f>
        <v>42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343</v>
      </c>
      <c r="B201" s="1" t="str">
        <f>VLOOKUP(A201,Xtal_Templ!B:C,2,FALSE)</f>
        <v>p2ry1_human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 t="str">
        <f>VLOOKUP($B201&amp;"__wt",'SegEnds_Xtal_BW#'!$A:$Z,5,FALSE)</f>
        <v>-</v>
      </c>
      <c r="F201" s="1" t="str">
        <f>VLOOKUP($B201&amp;"__wt",'SegEnds_Xtal_BW#'!$A:$Z,6,FALSE)</f>
        <v>-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INDEX(ICL3_classA!$G$2:$G$37,MATCH(MIN(ABS(AI201-ICL3_classA!$F$2:$F$37)),ABS(AI201-ICL3_classA!$F$2:$F$37),0))</f>
        <v>67</v>
      </c>
      <c r="U201" s="1">
        <f t="array" ref="U201">INDEX(ICL3_classA!$H$2:$H$37,MATCH(MIN(ABS(AI201-ICL3_classA!$F$2:$F$37)),ABS(AI201-ICL3_classA!$F$2:$F$37),0))</f>
        <v>26</v>
      </c>
      <c r="V201" s="1">
        <v>61</v>
      </c>
      <c r="W201" s="1">
        <v>24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 t="e">
        <f>VLOOKUP(A201,'SegEnds_NonXtal_Prot#'!A:AL,10,FALSE)-VLOOKUP(A201,'SegEnds_NonXtal_Prot#'!A:AL,7,FALSE)</f>
        <v>#VALUE!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52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43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4" t="s">
        <v>344</v>
      </c>
      <c r="B202" s="4" t="str">
        <f>VLOOKUP(A202,Xtal_Templ!B:C,2,FALSE)</f>
        <v>ox1r_human</v>
      </c>
      <c r="C202" s="5">
        <f>VLOOKUP($B202&amp;"__wt",'SegEnds_Xtal_BW#'!$A:$Z,3,FALSE)</f>
        <v>32</v>
      </c>
      <c r="D202" s="4">
        <f>VLOOKUP($B202&amp;"__wt",'SegEnds_Xtal_BW#'!$A:$Z,4,FALSE)</f>
        <v>60</v>
      </c>
      <c r="E202" s="4">
        <f>VLOOKUP($B202&amp;"__wt",'SegEnds_Xtal_BW#'!$A:$Z,5,FALSE)</f>
        <v>48</v>
      </c>
      <c r="F202" s="4">
        <f>VLOOKUP($B202&amp;"__wt",'SegEnds_Xtal_BW#'!$A:$Z,6,FALSE)</f>
        <v>51</v>
      </c>
      <c r="G202" s="4">
        <v>37</v>
      </c>
      <c r="H202" s="11">
        <v>66</v>
      </c>
      <c r="I202" s="4">
        <f>VLOOKUP($B202&amp;"__wt",'SegEnds_Xtal_BW#'!$A:$Z,9,FALSE)</f>
        <v>49</v>
      </c>
      <c r="J202" s="4">
        <f>VLOOKUP($B202&amp;"__wt",'SegEnds_Xtal_BW#'!$A:$Z,10,FALSE)</f>
        <v>52</v>
      </c>
      <c r="K202" s="11">
        <v>18</v>
      </c>
      <c r="L202" s="4">
        <f>VLOOKUP($B202&amp;"__wt",'SegEnds_Xtal_BW#'!$A:$Z,12,FALSE)</f>
        <v>56</v>
      </c>
      <c r="M202" s="4">
        <f>VLOOKUP($B202&amp;"__wt",'SegEnds_Xtal_BW#'!$A:$Z,13,FALSE)</f>
        <v>50</v>
      </c>
      <c r="N202" s="11">
        <v>55</v>
      </c>
      <c r="O202" s="88">
        <v>38</v>
      </c>
      <c r="P202" s="4">
        <f>VLOOKUP($B202&amp;"__wt",'SegEnds_Xtal_BW#'!$A:$Z,16,FALSE)</f>
        <v>64</v>
      </c>
      <c r="Q202" s="4">
        <f>VLOOKUP($B202&amp;"__wt",'SegEnds_Xtal_BW#'!$A:$Z,17,FALSE)</f>
        <v>50</v>
      </c>
      <c r="R202" s="4">
        <f>VLOOKUP($B202&amp;"__wt",'SegEnds_Xtal_BW#'!$A:$Z,18,FALSE)</f>
        <v>52</v>
      </c>
      <c r="S202" s="4">
        <f>VLOOKUP($B202&amp;"__wt",'SegEnds_Xtal_BW#'!$A:$Z,19,FALSE)</f>
        <v>32</v>
      </c>
      <c r="T202" s="4">
        <f t="array" ref="T202">INDEX(ICL3_classA!$G$2:$G$37,MATCH(MIN(ABS(AI202-ICL3_classA!$F$2:$F$37)),ABS(AI202-ICL3_classA!$F$2:$F$37),0))</f>
        <v>76</v>
      </c>
      <c r="U202" s="4">
        <f t="array" ref="U202">INDEX(ICL3_classA!$H$2:$H$37,MATCH(MIN(ABS(AI202-ICL3_classA!$F$2:$F$37)),ABS(AI202-ICL3_classA!$F$2:$F$37),0))</f>
        <v>24</v>
      </c>
      <c r="V202" s="4">
        <v>61</v>
      </c>
      <c r="W202" s="4">
        <v>31</v>
      </c>
      <c r="X202" s="4">
        <f>VLOOKUP($B202&amp;"__wt",'SegEnds_Xtal_BW#'!$A:$Z,24,FALSE)</f>
        <v>56</v>
      </c>
      <c r="Y202" s="4">
        <f>VLOOKUP($B202&amp;"__wt",'SegEnds_Xtal_BW#'!$A:$Z,25,FALSE)</f>
        <v>47</v>
      </c>
      <c r="Z202" s="4">
        <f>VLOOKUP($B202&amp;"__wt",'SegEnds_Xtal_BW#'!$A:$Z,26,FALSE)</f>
        <v>58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4">
        <f>VLOOKUP(A202,'SegEnds_NonXtal_Prot#'!A:AL,10,FALSE)-VLOOKUP(A202,'SegEnds_NonXtal_Prot#'!A:AL,7,FALSE)</f>
        <v>15</v>
      </c>
      <c r="AD202" s="4">
        <f>VLOOKUP(A202,'SegEnds_NonXtal_Prot#'!A:AL,13,FALSE)-VLOOKUP(A202,'SegEnds_NonXtal_Prot#'!A:AL,10,FALSE)</f>
        <v>18</v>
      </c>
      <c r="AE202" s="4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4">
        <f>VLOOKUP(A202,'SegEnds_NonXtal_Prot#'!A:AL,28,FALSE)-VLOOKUP(A202,'SegEnds_NonXtal_Prot#'!A:AL,25,FALSE)</f>
        <v>25</v>
      </c>
      <c r="AH202" s="1">
        <f>VLOOKUP(A202,'SegEnds_NonXtal_Prot#'!A:AL,28,FALSE)-VLOOKUP(A202,'SegEnds_NonXtal_Prot#'!A:AL,22,FALSE)</f>
        <v>51</v>
      </c>
      <c r="AI202" s="4">
        <f>VLOOKUP(A202,'SegEnds_NonXtal_Prot#'!A:AL,31,FALSE)-VLOOKUP(A202,'SegEnds_NonXtal_Prot#'!A:AL,28,FALSE)</f>
        <v>78</v>
      </c>
      <c r="AJ202" s="4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345</v>
      </c>
      <c r="B203" s="1" t="str">
        <f>VLOOKUP(A203,Xtal_Templ!B:C,2,FALSE)</f>
        <v>p2ry1_human</v>
      </c>
      <c r="C203" s="5">
        <f>VLOOKUP($B203&amp;"__wt",'SegEnds_Xtal_BW#'!$A:$Z,3,FALSE)</f>
        <v>30</v>
      </c>
      <c r="D203" s="1">
        <f>VLOOKUP($B203&amp;"__wt",'SegEnds_Xtal_BW#'!$A:$Z,4,FALSE)</f>
        <v>60</v>
      </c>
      <c r="E203" s="1" t="str">
        <f>VLOOKUP($B203&amp;"__wt",'SegEnds_Xtal_BW#'!$A:$Z,5,FALSE)</f>
        <v>-</v>
      </c>
      <c r="F203" s="1" t="str">
        <f>VLOOKUP($B203&amp;"__wt",'SegEnds_Xtal_BW#'!$A:$Z,6,FALSE)</f>
        <v>-</v>
      </c>
      <c r="G203" s="1">
        <v>37</v>
      </c>
      <c r="H203" s="12">
        <f>VLOOKUP($B203&amp;"__wt",'SegEnds_Xtal_BW#'!$A:$Z,8,FALSE)</f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7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32</v>
      </c>
      <c r="T203" s="1">
        <v>68</v>
      </c>
      <c r="U203" s="1">
        <v>28</v>
      </c>
      <c r="V203" s="1">
        <v>64</v>
      </c>
      <c r="W203" s="1">
        <v>24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 t="e">
        <f>VLOOKUP(A203,'SegEnds_NonXtal_Prot#'!A:AL,10,FALSE)-VLOOKUP(A203,'SegEnds_NonXtal_Prot#'!A:AL,7,FALSE)</f>
        <v>#VALUE!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27</v>
      </c>
      <c r="AH203" s="1">
        <f>VLOOKUP(A203,'SegEnds_NonXtal_Prot#'!A:AL,28,FALSE)-VLOOKUP(A203,'SegEnds_NonXtal_Prot#'!A:AL,22,FALSE)</f>
        <v>53</v>
      </c>
      <c r="AI203" s="1">
        <f>VLOOKUP(A203,'SegEnds_NonXtal_Prot#'!A:AL,31,FALSE)-VLOOKUP(A203,'SegEnds_NonXtal_Prot#'!A:AL,28,FALSE)</f>
        <v>46</v>
      </c>
      <c r="AJ203" s="1">
        <f>VLOOKUP(A203,'SegEnds_NonXtal_Prot#'!A:AL,34,FALSE)-VLOOKUP(A203,'SegEnds_NonXtal_Prot#'!A:AL,31,FALSE)</f>
        <v>46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Xtal</v>
      </c>
    </row>
    <row r="204" spans="1:38" x14ac:dyDescent="0.2">
      <c r="A204" s="1" t="s">
        <v>346</v>
      </c>
      <c r="B204" s="1" t="str">
        <f>VLOOKUP(A204,Xtal_Templ!B:C,2,FALSE)</f>
        <v>p2ry1_human</v>
      </c>
      <c r="C204" s="5">
        <f>VLOOKUP($B204&amp;"__wt",'SegEnds_Xtal_BW#'!$A:$Z,3,FALSE)</f>
        <v>30</v>
      </c>
      <c r="D204" s="1">
        <f>VLOOKUP($B204&amp;"__wt",'SegEnds_Xtal_BW#'!$A:$Z,4,FALSE)</f>
        <v>60</v>
      </c>
      <c r="E204" s="1" t="str">
        <f>VLOOKUP($B204&amp;"__wt",'SegEnds_Xtal_BW#'!$A:$Z,5,FALSE)</f>
        <v>-</v>
      </c>
      <c r="F204" s="1" t="str">
        <f>VLOOKUP($B204&amp;"__wt",'SegEnds_Xtal_BW#'!$A:$Z,6,FALSE)</f>
        <v>-</v>
      </c>
      <c r="G204" s="1">
        <v>37</v>
      </c>
      <c r="H204" s="12">
        <f>VLOOKUP($B204&amp;"__wt",'SegEnds_Xtal_BW#'!$A:$Z,8,FALSE)</f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7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32</v>
      </c>
      <c r="T204" s="1">
        <f t="array" ref="T204">INDEX(ICL3_classA!$G$2:$G$37,MATCH(MIN(ABS(AI204-ICL3_classA!$F$2:$F$37)),ABS(AI204-ICL3_classA!$F$2:$F$37),0))</f>
        <v>72</v>
      </c>
      <c r="U204" s="1">
        <f t="array" ref="U204">INDEX(ICL3_classA!$H$2:$H$37,MATCH(MIN(ABS(AI204-ICL3_classA!$F$2:$F$37)),ABS(AI204-ICL3_classA!$F$2:$F$37),0))</f>
        <v>29</v>
      </c>
      <c r="V204" s="1">
        <v>61</v>
      </c>
      <c r="W204" s="1">
        <v>24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 t="e">
        <f>VLOOKUP(A204,'SegEnds_NonXtal_Prot#'!A:AL,10,FALSE)-VLOOKUP(A204,'SegEnds_NonXtal_Prot#'!A:AL,7,FALSE)</f>
        <v>#VALUE!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27</v>
      </c>
      <c r="AH204" s="1">
        <f>VLOOKUP(A204,'SegEnds_NonXtal_Prot#'!A:AL,28,FALSE)-VLOOKUP(A204,'SegEnds_NonXtal_Prot#'!A:AL,22,FALSE)</f>
        <v>52</v>
      </c>
      <c r="AI204" s="1">
        <f>VLOOKUP(A204,'SegEnds_NonXtal_Prot#'!A:AL,31,FALSE)-VLOOKUP(A204,'SegEnds_NonXtal_Prot#'!A:AL,28,FALSE)</f>
        <v>50</v>
      </c>
      <c r="AJ204" s="1">
        <f>VLOOKUP(A204,'SegEnds_NonXtal_Prot#'!A:AL,34,FALSE)-VLOOKUP(A204,'SegEnds_NonXtal_Prot#'!A:AL,31,FALSE)</f>
        <v>43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347</v>
      </c>
      <c r="B205" s="1" t="str">
        <f>VLOOKUP(A205,Xtal_Templ!B:C,2,FALSE)</f>
        <v>p2ry1_human</v>
      </c>
      <c r="C205" s="5">
        <f>VLOOKUP($B205&amp;"__wt",'SegEnds_Xtal_BW#'!$A:$Z,3,FALSE)</f>
        <v>30</v>
      </c>
      <c r="D205" s="1">
        <f>VLOOKUP($B205&amp;"__wt",'SegEnds_Xtal_BW#'!$A:$Z,4,FALSE)</f>
        <v>60</v>
      </c>
      <c r="E205" s="1" t="str">
        <f>VLOOKUP($B205&amp;"__wt",'SegEnds_Xtal_BW#'!$A:$Z,5,FALSE)</f>
        <v>-</v>
      </c>
      <c r="F205" s="1" t="str">
        <f>VLOOKUP($B205&amp;"__wt",'SegEnds_Xtal_BW#'!$A:$Z,6,FALSE)</f>
        <v>-</v>
      </c>
      <c r="G205" s="1">
        <v>37</v>
      </c>
      <c r="H205" s="12">
        <f>VLOOKUP($B205&amp;"__wt",'SegEnds_Xtal_BW#'!$A:$Z,8,FALSE)</f>
        <v>66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7">
        <f>VLOOKUP($B205&amp;"__wt",'SegEnds_Xtal_BW#'!$A:$Z,15,FALSE)</f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INDEX(ICL3_classA!$G$2:$G$37,MATCH(MIN(ABS(AI205-ICL3_classA!$F$2:$F$37)),ABS(AI205-ICL3_classA!$F$2:$F$37),0))</f>
        <v>68</v>
      </c>
      <c r="U205" s="1">
        <f t="array" ref="U205">INDEX(ICL3_classA!$H$2:$H$37,MATCH(MIN(ABS(AI205-ICL3_classA!$F$2:$F$37)),ABS(AI205-ICL3_classA!$F$2:$F$37),0))</f>
        <v>24</v>
      </c>
      <c r="V205" s="1">
        <v>61</v>
      </c>
      <c r="W205" s="1">
        <v>24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 t="e">
        <f>VLOOKUP(A205,'SegEnds_NonXtal_Prot#'!A:AL,10,FALSE)-VLOOKUP(A205,'SegEnds_NonXtal_Prot#'!A:AL,7,FALSE)</f>
        <v>#VALUE!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20</v>
      </c>
      <c r="AG205" s="1">
        <f>VLOOKUP(A205,'SegEnds_NonXtal_Prot#'!A:AL,28,FALSE)-VLOOKUP(A205,'SegEnds_NonXtal_Prot#'!A:AL,25,FALSE)</f>
        <v>27</v>
      </c>
      <c r="AH205" s="1">
        <f>VLOOKUP(A205,'SegEnds_NonXtal_Prot#'!A:AL,28,FALSE)-VLOOKUP(A205,'SegEnds_NonXtal_Prot#'!A:AL,22,FALSE)</f>
        <v>52</v>
      </c>
      <c r="AI205" s="1">
        <f>VLOOKUP(A205,'SegEnds_NonXtal_Prot#'!A:AL,31,FALSE)-VLOOKUP(A205,'SegEnds_NonXtal_Prot#'!A:AL,28,FALSE)</f>
        <v>48</v>
      </c>
      <c r="AJ205" s="1">
        <f>VLOOKUP(A205,'SegEnds_NonXtal_Prot#'!A:AL,34,FALSE)-VLOOKUP(A205,'SegEnds_NonXtal_Prot#'!A:AL,31,FALSE)</f>
        <v>43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348</v>
      </c>
      <c r="B206" s="1" t="str">
        <f>VLOOKUP(A206,Xtal_Templ!B:C,2,FALSE)</f>
        <v>p2ry1_human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 t="str">
        <f>VLOOKUP($B206&amp;"__wt",'SegEnds_Xtal_BW#'!$A:$Z,5,FALSE)</f>
        <v>-</v>
      </c>
      <c r="F206" s="1" t="str">
        <f>VLOOKUP($B206&amp;"__wt",'SegEnds_Xtal_BW#'!$A:$Z,6,FALSE)</f>
        <v>-</v>
      </c>
      <c r="G206" s="1">
        <v>37</v>
      </c>
      <c r="H206" s="12">
        <f>VLOOKUP($B206&amp;"__wt",'SegEnds_Xtal_BW#'!$A:$Z,8,FALSE)</f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58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29</v>
      </c>
      <c r="V206" s="1">
        <v>64</v>
      </c>
      <c r="W206" s="1">
        <v>24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21</v>
      </c>
      <c r="AG206" s="1">
        <f>VLOOKUP(A206,'SegEnds_NonXtal_Prot#'!A:AL,28,FALSE)-VLOOKUP(A206,'SegEnds_NonXtal_Prot#'!A:AL,25,FALSE)</f>
        <v>27</v>
      </c>
      <c r="AH206" s="1">
        <f>VLOOKUP(A206,'SegEnds_NonXtal_Prot#'!A:AL,28,FALSE)-VLOOKUP(A206,'SegEnds_NonXtal_Prot#'!A:AL,22,FALSE)</f>
        <v>52</v>
      </c>
      <c r="AI206" s="1">
        <f>VLOOKUP(A206,'SegEnds_NonXtal_Prot#'!A:AL,31,FALSE)-VLOOKUP(A206,'SegEnds_NonXtal_Prot#'!A:AL,28,FALSE)</f>
        <v>50</v>
      </c>
      <c r="AJ206" s="1">
        <f>VLOOKUP(A206,'SegEnds_NonXtal_Prot#'!A:AL,34,FALSE)-VLOOKUP(A206,'SegEnds_NonXtal_Prot#'!A:AL,31,FALSE)</f>
        <v>44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349</v>
      </c>
      <c r="B207" s="1" t="str">
        <f>VLOOKUP(A207,Xtal_Templ!B:C,2,FALSE)</f>
        <v>par1_human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7">
        <f>VLOOKUP($B207&amp;"__wt",'SegEnds_Xtal_BW#'!$A:$Z,15,FALSE)</f>
        <v>38</v>
      </c>
      <c r="P207" s="1">
        <f>VLOOKUP($B207&amp;"__wt",'SegEnds_Xtal_BW#'!$A:$Z,16,FALSE)</f>
        <v>63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67</v>
      </c>
      <c r="U207" s="1">
        <f t="array" ref="U207">INDEX(ICL3_classA!$H$2:$H$37,MATCH(MIN(ABS(AI207-ICL3_classA!$F$2:$F$37)),ABS(AI207-ICL3_classA!$F$2:$F$37),0))</f>
        <v>26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61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 t="e">
        <f>VLOOKUP(A207,'SegEnds_NonXtal_Prot#'!A:AL,10,FALSE)-VLOOKUP(A207,'SegEnds_NonXtal_Prot#'!A:AL,7,FALSE)</f>
        <v>#VALUE!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20</v>
      </c>
      <c r="AG207" s="1">
        <f>VLOOKUP(A207,'SegEnds_NonXtal_Prot#'!A:AL,28,FALSE)-VLOOKUP(A207,'SegEnds_NonXtal_Prot#'!A:AL,25,FALSE)</f>
        <v>30</v>
      </c>
      <c r="AH207" s="1">
        <f>VLOOKUP(A207,'SegEnds_NonXtal_Prot#'!A:AL,28,FALSE)-VLOOKUP(A207,'SegEnds_NonXtal_Prot#'!A:AL,22,FALSE)</f>
        <v>57</v>
      </c>
      <c r="AI207" s="1">
        <f>VLOOKUP(A207,'SegEnds_NonXtal_Prot#'!A:AL,31,FALSE)-VLOOKUP(A207,'SegEnds_NonXtal_Prot#'!A:AL,28,FALSE)</f>
        <v>47</v>
      </c>
      <c r="AJ207" s="1">
        <f>VLOOKUP(A207,'SegEnds_NonXtal_Prot#'!A:AL,34,FALSE)-VLOOKUP(A207,'SegEnds_NonXtal_Prot#'!A:AL,31,FALSE)</f>
        <v>38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4" t="s">
        <v>350</v>
      </c>
      <c r="B208" s="4" t="str">
        <f>VLOOKUP(A208,Xtal_Templ!B:C,2,FALSE)</f>
        <v>ptafr_human</v>
      </c>
      <c r="C208" s="5">
        <f>VLOOKUP($B208&amp;"__wt",'SegEnds_Xtal_BW#'!$A:$Z,3,FALSE)</f>
        <v>27</v>
      </c>
      <c r="D208" s="4">
        <f>VLOOKUP($B208&amp;"__wt",'SegEnds_Xtal_BW#'!$A:$Z,4,FALSE)</f>
        <v>61</v>
      </c>
      <c r="E208" s="4" t="str">
        <f>VLOOKUP($B208&amp;"__wt",'SegEnds_Xtal_BW#'!$A:$Z,5,FALSE)</f>
        <v>-</v>
      </c>
      <c r="F208" s="4" t="str">
        <f>VLOOKUP($B208&amp;"__wt",'SegEnds_Xtal_BW#'!$A:$Z,6,FALSE)</f>
        <v>-</v>
      </c>
      <c r="G208" s="4">
        <v>37</v>
      </c>
      <c r="H208" s="11">
        <v>66</v>
      </c>
      <c r="I208" s="4">
        <f>VLOOKUP($B208&amp;"__wt",'SegEnds_Xtal_BW#'!$A:$Z,9,FALSE)</f>
        <v>49</v>
      </c>
      <c r="J208" s="4">
        <f>VLOOKUP($B208&amp;"__wt",'SegEnds_Xtal_BW#'!$A:$Z,10,FALSE)</f>
        <v>52</v>
      </c>
      <c r="K208" s="11">
        <v>21</v>
      </c>
      <c r="L208" s="4">
        <f>VLOOKUP($B208&amp;"__wt",'SegEnds_Xtal_BW#'!$A:$Z,12,FALSE)</f>
        <v>56</v>
      </c>
      <c r="M208" s="4">
        <f>VLOOKUP($B208&amp;"__wt",'SegEnds_Xtal_BW#'!$A:$Z,13,FALSE)</f>
        <v>50</v>
      </c>
      <c r="N208" s="108">
        <v>56</v>
      </c>
      <c r="O208" s="87">
        <f>VLOOKUP($B208&amp;"__wt",'SegEnds_Xtal_BW#'!$A:$Z,15,FALSE)</f>
        <v>38</v>
      </c>
      <c r="P208" s="4">
        <f>VLOOKUP($B208&amp;"__wt",'SegEnds_Xtal_BW#'!$A:$Z,16,FALSE)</f>
        <v>63</v>
      </c>
      <c r="Q208" s="4">
        <f>VLOOKUP($B208&amp;"__wt",'SegEnds_Xtal_BW#'!$A:$Z,17,FALSE)</f>
        <v>50</v>
      </c>
      <c r="R208" s="4">
        <f>VLOOKUP($B208&amp;"__wt",'SegEnds_Xtal_BW#'!$A:$Z,18,FALSE)</f>
        <v>52</v>
      </c>
      <c r="S208" s="4">
        <f>VLOOKUP($B208&amp;"__wt",'SegEnds_Xtal_BW#'!$A:$Z,19,FALSE)</f>
        <v>33</v>
      </c>
      <c r="T208" s="4">
        <f t="array" ref="T208">INDEX(ICL3_classA!$G$2:$G$37,MATCH(MIN(ABS(AI208-ICL3_classA!$F$2:$F$37)),ABS(AI208-ICL3_classA!$F$2:$F$37),0))</f>
        <v>68</v>
      </c>
      <c r="U208" s="4">
        <f t="array" ref="U208">INDEX(ICL3_classA!$H$2:$H$37,MATCH(MIN(ABS(AI208-ICL3_classA!$F$2:$F$37)),ABS(AI208-ICL3_classA!$F$2:$F$37),0))</f>
        <v>24</v>
      </c>
      <c r="V208" s="4">
        <v>64</v>
      </c>
      <c r="W208" s="4">
        <v>24</v>
      </c>
      <c r="X208" s="4">
        <f>VLOOKUP($B208&amp;"__wt",'SegEnds_Xtal_BW#'!$A:$Z,24,FALSE)</f>
        <v>59</v>
      </c>
      <c r="Y208" s="4">
        <f>VLOOKUP($B208&amp;"__wt",'SegEnds_Xtal_BW#'!$A:$Z,25,FALSE)</f>
        <v>50</v>
      </c>
      <c r="Z208" s="4">
        <f>VLOOKUP($B208&amp;"__wt",'SegEnds_Xtal_BW#'!$A:$Z,26,FALSE)</f>
        <v>63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4" t="e">
        <f>VLOOKUP(A208,'SegEnds_NonXtal_Prot#'!A:AL,10,FALSE)-VLOOKUP(A208,'SegEnds_NonXtal_Prot#'!A:AL,7,FALSE)</f>
        <v>#VALUE!</v>
      </c>
      <c r="AD208" s="4">
        <f>VLOOKUP(A208,'SegEnds_NonXtal_Prot#'!A:AL,13,FALSE)-VLOOKUP(A208,'SegEnds_NonXtal_Prot#'!A:AL,10,FALSE)</f>
        <v>19</v>
      </c>
      <c r="AE208" s="4">
        <f>VLOOKUP(A208,'SegEnds_NonXtal_Prot#'!A:AL,16,FALSE)-VLOOKUP(A208,'SegEnds_NonXtal_Prot#'!A:AL,10,FALSE)</f>
        <v>51</v>
      </c>
      <c r="AF208" s="1">
        <f>VLOOKUP(A208,'SegEnds_NonXtal_Prot#'!A:AL,22,FALSE)-VLOOKUP(A208,'SegEnds_NonXtal_Prot#'!A:AL,19,FALSE)</f>
        <v>19</v>
      </c>
      <c r="AG208" s="4">
        <f>VLOOKUP(A208,'SegEnds_NonXtal_Prot#'!A:AL,28,FALSE)-VLOOKUP(A208,'SegEnds_NonXtal_Prot#'!A:AL,25,FALSE)</f>
        <v>29</v>
      </c>
      <c r="AH208" s="1">
        <f>VLOOKUP(A208,'SegEnds_NonXtal_Prot#'!A:AL,28,FALSE)-VLOOKUP(A208,'SegEnds_NonXtal_Prot#'!A:AL,22,FALSE)</f>
        <v>53</v>
      </c>
      <c r="AI208" s="4">
        <f>VLOOKUP(A208,'SegEnds_NonXtal_Prot#'!A:AL,31,FALSE)-VLOOKUP(A208,'SegEnds_NonXtal_Prot#'!A:AL,28,FALSE)</f>
        <v>48</v>
      </c>
      <c r="AJ208" s="4">
        <f>VLOOKUP(A208,'SegEnds_NonXtal_Prot#'!A:AL,34,FALSE)-VLOOKUP(A208,'SegEnds_NonXtal_Prot#'!A:AL,31,FALSE)</f>
        <v>44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355</v>
      </c>
      <c r="B209" s="1" t="str">
        <f>VLOOKUP(A209,Xtal_Templ!B:C,2,FALSE)</f>
        <v>par1_human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57</v>
      </c>
      <c r="O209" s="87">
        <f>VLOOKUP($B209&amp;"__wt",'SegEnds_Xtal_BW#'!$A:$Z,15,FALSE)</f>
        <v>38</v>
      </c>
      <c r="P209" s="1">
        <f>VLOOKUP($B209&amp;"__wt",'SegEnds_Xtal_BW#'!$A:$Z,16,FALSE)</f>
        <v>63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INDEX(ICL3_classA!$G$2:$G$37,MATCH(MIN(ABS(AI209-ICL3_classA!$F$2:$F$37)),ABS(AI209-ICL3_classA!$F$2:$F$37),0))</f>
        <v>67</v>
      </c>
      <c r="U209" s="1">
        <f t="array" ref="U209">INDEX(ICL3_classA!$H$2:$H$37,MATCH(MIN(ABS(AI209-ICL3_classA!$F$2:$F$37)),ABS(AI209-ICL3_classA!$F$2:$F$37),0))</f>
        <v>26</v>
      </c>
      <c r="V209" s="1">
        <v>62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61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55</v>
      </c>
      <c r="AI209" s="1">
        <f>VLOOKUP(A209,'SegEnds_NonXtal_Prot#'!A:AL,31,FALSE)-VLOOKUP(A209,'SegEnds_NonXtal_Prot#'!A:AL,28,FALSE)</f>
        <v>46</v>
      </c>
      <c r="AJ209" s="1">
        <f>VLOOKUP(A209,'SegEnds_NonXtal_Prot#'!A:AL,34,FALSE)-VLOOKUP(A209,'SegEnds_NonXtal_Prot#'!A:AL,31,FALSE)</f>
        <v>40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Xtal</v>
      </c>
    </row>
    <row r="210" spans="1:38" x14ac:dyDescent="0.2">
      <c r="A210" s="1" t="s">
        <v>356</v>
      </c>
      <c r="B210" s="1" t="str">
        <f>VLOOKUP(A210,Xtal_Templ!B:C,2,FALSE)</f>
        <v>par2_human</v>
      </c>
      <c r="C210" s="5">
        <f>VLOOKUP($B210&amp;"__wt",'SegEnds_Xtal_BW#'!$A:$Z,3,FALSE)</f>
        <v>28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47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56</v>
      </c>
      <c r="O210" s="87">
        <f>VLOOKUP($B210&amp;"__wt",'SegEnds_Xtal_BW#'!$A:$Z,15,FALSE)</f>
        <v>38</v>
      </c>
      <c r="P210" s="1">
        <f>VLOOKUP($B210&amp;"__wt",'SegEnds_Xtal_BW#'!$A:$Z,16,FALSE)</f>
        <v>62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31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24</v>
      </c>
      <c r="V210" s="1">
        <v>62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19</v>
      </c>
      <c r="AG210" s="1">
        <f>VLOOKUP(A210,'SegEnds_NonXtal_Prot#'!A:AL,28,FALSE)-VLOOKUP(A210,'SegEnds_NonXtal_Prot#'!A:AL,25,FALSE)</f>
        <v>28</v>
      </c>
      <c r="AH210" s="1">
        <f>VLOOKUP(A210,'SegEnds_NonXtal_Prot#'!A:AL,28,FALSE)-VLOOKUP(A210,'SegEnds_NonXtal_Prot#'!A:AL,22,FALSE)</f>
        <v>55</v>
      </c>
      <c r="AI210" s="1">
        <f>VLOOKUP(A210,'SegEnds_NonXtal_Prot#'!A:AL,31,FALSE)-VLOOKUP(A210,'SegEnds_NonXtal_Prot#'!A:AL,28,FALSE)</f>
        <v>48</v>
      </c>
      <c r="AJ210" s="1">
        <f>VLOOKUP(A210,'SegEnds_NonXtal_Prot#'!A:AL,34,FALSE)-VLOOKUP(A210,'SegEnds_NonXtal_Prot#'!A:AL,31,FALSE)</f>
        <v>39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Xtal</v>
      </c>
    </row>
    <row r="211" spans="1:38" x14ac:dyDescent="0.2">
      <c r="A211" s="1" t="s">
        <v>367</v>
      </c>
      <c r="B211" s="1" t="str">
        <f>VLOOKUP(A211,Xtal_Templ!B:C,2,FALSE)</f>
        <v>npy1r_human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68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 t="str">
        <f>VLOOKUP($B211&amp;"__wt",'SegEnds_Xtal_BW#'!$A:$Z,13,FALSE)</f>
        <v>-</v>
      </c>
      <c r="N211" s="108" t="s">
        <v>23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73</v>
      </c>
      <c r="U211" s="1">
        <f t="array" ref="U211">INDEX(ICL3_classA!$H$2:$H$37,MATCH(MIN(ABS(AI211-ICL3_classA!$F$2:$F$37)),ABS(AI211-ICL3_classA!$F$2:$F$37),0))</f>
        <v>22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22</v>
      </c>
      <c r="AE211" s="1">
        <f>VLOOKUP(A211,'SegEnds_NonXtal_Prot#'!A:AL,16,FALSE)-VLOOKUP(A211,'SegEnds_NonXtal_Prot#'!A:AL,10,FALSE)</f>
        <v>54</v>
      </c>
      <c r="AF211" s="1" t="e">
        <f>VLOOKUP(A211,'SegEnds_NonXtal_Prot#'!A:AL,22,FALSE)-VLOOKUP(A211,'SegEnds_NonXtal_Prot#'!A:AL,19,FALSE)</f>
        <v>#VALUE!</v>
      </c>
      <c r="AG211" s="1">
        <f>VLOOKUP(A211,'SegEnds_NonXtal_Prot#'!A:AL,28,FALSE)-VLOOKUP(A211,'SegEnds_NonXtal_Prot#'!A:AL,25,FALSE)</f>
        <v>27</v>
      </c>
      <c r="AH211" s="1">
        <f>VLOOKUP(A211,'SegEnds_NonXtal_Prot#'!A:AL,28,FALSE)-VLOOKUP(A211,'SegEnds_NonXtal_Prot#'!A:AL,22,FALSE)</f>
        <v>57</v>
      </c>
      <c r="AI211" s="1">
        <f>VLOOKUP(A211,'SegEnds_NonXtal_Prot#'!A:AL,31,FALSE)-VLOOKUP(A211,'SegEnds_NonXtal_Prot#'!A:AL,28,FALSE)</f>
        <v>55</v>
      </c>
      <c r="AJ211" s="1">
        <f>VLOOKUP(A211,'SegEnds_NonXtal_Prot#'!A:AL,34,FALSE)-VLOOKUP(A211,'SegEnds_NonXtal_Prot#'!A:AL,31,FALSE)</f>
        <v>40</v>
      </c>
      <c r="AK211" s="1">
        <f>VLOOKUP(A211,'SegEnds_NonXtal_Prot#'!A:AL,37,FALSE)-VLOOKUP(A211,'SegEnds_NonXtal_Prot#'!A:AL,34,FALSE)</f>
        <v>11</v>
      </c>
      <c r="AL211" s="1" t="str">
        <f>IF(ISERROR(MATCH(A211,'SegEnds_Xtal_Prot#'!B:B, 0)), "NoXtal", "Xtal")</f>
        <v>NoXtal</v>
      </c>
    </row>
    <row r="212" spans="1:38" x14ac:dyDescent="0.2">
      <c r="A212" s="1" t="s">
        <v>368</v>
      </c>
      <c r="B212" s="1" t="str">
        <f>VLOOKUP(A212,Xtal_Templ!B:C,2,FALSE)</f>
        <v>npy1r_human</v>
      </c>
      <c r="C212" s="5">
        <f>VLOOKUP($B212&amp;"__wt",'SegEnds_Xtal_BW#'!$A:$Z,3,FALSE)</f>
        <v>28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 t="str">
        <f>VLOOKUP($B212&amp;"__wt",'SegEnds_Xtal_BW#'!$A:$Z,13,FALSE)</f>
        <v>-</v>
      </c>
      <c r="N212" s="108" t="s">
        <v>23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73</v>
      </c>
      <c r="U212" s="1">
        <f t="array" ref="U212">INDEX(ICL3_classA!$H$2:$H$37,MATCH(MIN(ABS(AI212-ICL3_classA!$F$2:$F$37)),ABS(AI212-ICL3_classA!$F$2:$F$37),0))</f>
        <v>22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58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22</v>
      </c>
      <c r="AE212" s="1">
        <f>VLOOKUP(A212,'SegEnds_NonXtal_Prot#'!A:AL,16,FALSE)-VLOOKUP(A212,'SegEnds_NonXtal_Prot#'!A:AL,10,FALSE)</f>
        <v>54</v>
      </c>
      <c r="AF212" s="1" t="e">
        <f>VLOOKUP(A212,'SegEnds_NonXtal_Prot#'!A:AL,22,FALSE)-VLOOKUP(A212,'SegEnds_NonXtal_Prot#'!A:AL,19,FALSE)</f>
        <v>#VALUE!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57</v>
      </c>
      <c r="AI212" s="1">
        <f>VLOOKUP(A212,'SegEnds_NonXtal_Prot#'!A:AL,31,FALSE)-VLOOKUP(A212,'SegEnds_NonXtal_Prot#'!A:AL,28,FALSE)</f>
        <v>55</v>
      </c>
      <c r="AJ212" s="1">
        <f>VLOOKUP(A212,'SegEnds_NonXtal_Prot#'!A:AL,34,FALSE)-VLOOKUP(A212,'SegEnds_NonXtal_Prot#'!A:AL,31,FALSE)</f>
        <v>40</v>
      </c>
      <c r="AK212" s="1">
        <f>VLOOKUP(A212,'SegEnds_NonXtal_Prot#'!A:AL,37,FALSE)-VLOOKUP(A212,'SegEnds_NonXtal_Prot#'!A:AL,34,FALSE)</f>
        <v>11</v>
      </c>
      <c r="AL212" s="1" t="str">
        <f>IF(ISERROR(MATCH(A212,'SegEnds_Xtal_Prot#'!B:B, 0)), "NoXtal", "Xtal")</f>
        <v>NoXtal</v>
      </c>
    </row>
    <row r="213" spans="1:38" x14ac:dyDescent="0.2">
      <c r="A213" s="4" t="s">
        <v>369</v>
      </c>
      <c r="B213" s="4" t="str">
        <f>VLOOKUP(A213,Xtal_Templ!B:C,2,FALSE)</f>
        <v>ox2r_human</v>
      </c>
      <c r="C213" s="5">
        <f>VLOOKUP($B213&amp;"__wt",'SegEnds_Xtal_BW#'!$A:$Z,3,FALSE)</f>
        <v>31</v>
      </c>
      <c r="D213" s="4">
        <f>VLOOKUP($B213&amp;"__wt",'SegEnds_Xtal_BW#'!$A:$Z,4,FALSE)</f>
        <v>60</v>
      </c>
      <c r="E213" s="4">
        <f>VLOOKUP($B213&amp;"__wt",'SegEnds_Xtal_BW#'!$A:$Z,5,FALSE)</f>
        <v>48</v>
      </c>
      <c r="F213" s="4">
        <f>VLOOKUP($B213&amp;"__wt",'SegEnds_Xtal_BW#'!$A:$Z,6,FALSE)</f>
        <v>51</v>
      </c>
      <c r="G213" s="4">
        <v>37</v>
      </c>
      <c r="H213" s="11">
        <f>VLOOKUP($B213&amp;"__wt",'SegEnds_Xtal_BW#'!$A:$Z,8,FALSE)</f>
        <v>68</v>
      </c>
      <c r="I213" s="4">
        <f>VLOOKUP($B213&amp;"__wt",'SegEnds_Xtal_BW#'!$A:$Z,9,FALSE)</f>
        <v>49</v>
      </c>
      <c r="J213" s="4">
        <f>VLOOKUP($B213&amp;"__wt",'SegEnds_Xtal_BW#'!$A:$Z,10,FALSE)</f>
        <v>52</v>
      </c>
      <c r="K213" s="11">
        <v>18</v>
      </c>
      <c r="L213" s="4">
        <f>VLOOKUP($B213&amp;"__wt",'SegEnds_Xtal_BW#'!$A:$Z,12,FALSE)</f>
        <v>56</v>
      </c>
      <c r="M213" s="4">
        <f>VLOOKUP($B213&amp;"__wt",'SegEnds_Xtal_BW#'!$A:$Z,13,FALSE)</f>
        <v>50</v>
      </c>
      <c r="N213" s="11">
        <v>53</v>
      </c>
      <c r="O213" s="87">
        <f>VLOOKUP($B213&amp;"__wt",'SegEnds_Xtal_BW#'!$A:$Z,15,FALSE)</f>
        <v>38</v>
      </c>
      <c r="P213" s="4">
        <f>VLOOKUP($B213&amp;"__wt",'SegEnds_Xtal_BW#'!$A:$Z,16,FALSE)</f>
        <v>64</v>
      </c>
      <c r="Q213" s="4">
        <f>VLOOKUP($B213&amp;"__wt",'SegEnds_Xtal_BW#'!$A:$Z,17,FALSE)</f>
        <v>50</v>
      </c>
      <c r="R213" s="4">
        <f>VLOOKUP($B213&amp;"__wt",'SegEnds_Xtal_BW#'!$A:$Z,18,FALSE)</f>
        <v>52</v>
      </c>
      <c r="S213" s="4">
        <f>VLOOKUP($B213&amp;"__wt",'SegEnds_Xtal_BW#'!$A:$Z,19,FALSE)</f>
        <v>33</v>
      </c>
      <c r="T213" s="4">
        <f t="array" ref="T213">INDEX(ICL3_classA!$G$2:$G$37,MATCH(MIN(ABS(AI213-ICL3_classA!$F$2:$F$37)),ABS(AI213-ICL3_classA!$F$2:$F$37),0))</f>
        <v>73</v>
      </c>
      <c r="U213" s="4">
        <f t="array" ref="U213">INDEX(ICL3_classA!$H$2:$H$37,MATCH(MIN(ABS(AI213-ICL3_classA!$F$2:$F$37)),ABS(AI213-ICL3_classA!$F$2:$F$37),0))</f>
        <v>22</v>
      </c>
      <c r="V213" s="4">
        <v>61</v>
      </c>
      <c r="W213" s="4">
        <v>28</v>
      </c>
      <c r="X213" s="4">
        <f>VLOOKUP($B213&amp;"__wt",'SegEnds_Xtal_BW#'!$A:$Z,24,FALSE)</f>
        <v>56</v>
      </c>
      <c r="Y213" s="4">
        <f>VLOOKUP($B213&amp;"__wt",'SegEnds_Xtal_BW#'!$A:$Z,25,FALSE)</f>
        <v>47</v>
      </c>
      <c r="Z213" s="4">
        <f>VLOOKUP($B213&amp;"__wt",'SegEnds_Xtal_BW#'!$A:$Z,26,FALSE)</f>
        <v>58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4">
        <f>VLOOKUP(A213,'SegEnds_NonXtal_Prot#'!A:AL,10,FALSE)-VLOOKUP(A213,'SegEnds_NonXtal_Prot#'!A:AL,7,FALSE)</f>
        <v>15</v>
      </c>
      <c r="AD213" s="4">
        <f>VLOOKUP(A213,'SegEnds_NonXtal_Prot#'!A:AL,13,FALSE)-VLOOKUP(A213,'SegEnds_NonXtal_Prot#'!A:AL,10,FALSE)</f>
        <v>21</v>
      </c>
      <c r="AE213" s="4">
        <f>VLOOKUP(A213,'SegEnds_NonXtal_Prot#'!A:AL,16,FALSE)-VLOOKUP(A213,'SegEnds_NonXtal_Prot#'!A:AL,10,FALSE)</f>
        <v>53</v>
      </c>
      <c r="AF213" s="1">
        <f>VLOOKUP(A213,'SegEnds_NonXtal_Prot#'!A:AL,22,FALSE)-VLOOKUP(A213,'SegEnds_NonXtal_Prot#'!A:AL,19,FALSE)</f>
        <v>18</v>
      </c>
      <c r="AG213" s="4">
        <f>VLOOKUP(A213,'SegEnds_NonXtal_Prot#'!A:AL,28,FALSE)-VLOOKUP(A213,'SegEnds_NonXtal_Prot#'!A:AL,25,FALSE)</f>
        <v>26</v>
      </c>
      <c r="AH213" s="1">
        <f>VLOOKUP(A213,'SegEnds_NonXtal_Prot#'!A:AL,28,FALSE)-VLOOKUP(A213,'SegEnds_NonXtal_Prot#'!A:AL,22,FALSE)</f>
        <v>53</v>
      </c>
      <c r="AI213" s="4">
        <f>VLOOKUP(A213,'SegEnds_NonXtal_Prot#'!A:AL,31,FALSE)-VLOOKUP(A213,'SegEnds_NonXtal_Prot#'!A:AL,28,FALSE)</f>
        <v>56</v>
      </c>
      <c r="AJ213" s="4">
        <f>VLOOKUP(A213,'SegEnds_NonXtal_Prot#'!A:AL,34,FALSE)-VLOOKUP(A213,'SegEnds_NonXtal_Prot#'!A:AL,31,FALSE)</f>
        <v>39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370</v>
      </c>
      <c r="B214" s="1" t="str">
        <f>VLOOKUP(A214,Xtal_Templ!B:C,2,FALSE)</f>
        <v>ptafr_human</v>
      </c>
      <c r="C214" s="5">
        <f>VLOOKUP($B214&amp;"__wt",'SegEnds_Xtal_BW#'!$A:$Z,3,FALSE)</f>
        <v>27</v>
      </c>
      <c r="D214" s="1">
        <f>VLOOKUP($B214&amp;"__wt",'SegEnds_Xtal_BW#'!$A:$Z,4,FALSE)</f>
        <v>61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63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33</v>
      </c>
      <c r="T214" s="1">
        <f t="array" ref="T214">INDEX(ICL3_classA!$G$2:$G$37,MATCH(MIN(ABS(AI214-ICL3_classA!$F$2:$F$37)),ABS(AI214-ICL3_classA!$F$2:$F$37),0))</f>
        <v>67</v>
      </c>
      <c r="U214" s="1">
        <f t="array" ref="U214">INDEX(ICL3_classA!$H$2:$H$37,MATCH(MIN(ABS(AI214-ICL3_classA!$F$2:$F$37)),ABS(AI214-ICL3_classA!$F$2:$F$37),0))</f>
        <v>26</v>
      </c>
      <c r="V214" s="1">
        <v>64</v>
      </c>
      <c r="W214" s="1">
        <v>24</v>
      </c>
      <c r="X214" s="1">
        <f>VLOOKUP($B214&amp;"__wt",'SegEnds_Xtal_BW#'!$A:$Z,24,FALSE)</f>
        <v>59</v>
      </c>
      <c r="Y214" s="1">
        <f>VLOOKUP($B214&amp;"__wt",'SegEnds_Xtal_BW#'!$A:$Z,25,FALSE)</f>
        <v>50</v>
      </c>
      <c r="Z214" s="1">
        <f>VLOOKUP($B214&amp;"__wt",'SegEnds_Xtal_BW#'!$A:$Z,26,FALSE)</f>
        <v>63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25</v>
      </c>
      <c r="AH214" s="1">
        <f>VLOOKUP(A214,'SegEnds_NonXtal_Prot#'!A:AL,28,FALSE)-VLOOKUP(A214,'SegEnds_NonXtal_Prot#'!A:AL,22,FALSE)</f>
        <v>56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46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1451</v>
      </c>
      <c r="B215" s="1" t="str">
        <f>VLOOKUP(A215,Xtal_Templ!B:C,2,FALSE)</f>
        <v>q08bg4_danre</v>
      </c>
      <c r="C215" s="5">
        <f>VLOOKUP($B215&amp;"__wt",'SegEnds_Xtal_BW#'!$A:$Z,3,FALSE)</f>
        <v>31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48</v>
      </c>
      <c r="J215" s="1">
        <f>VLOOKUP($B215&amp;"__wt",'SegEnds_Xtal_BW#'!$A:$Z,10,FALSE)</f>
        <v>52</v>
      </c>
      <c r="K215" s="12">
        <f>VLOOKUP($B215&amp;"__wt",'SegEnds_Xtal_BW#'!$A:$Z,11,FALSE)</f>
        <v>21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08">
        <f>VLOOKUP($B215&amp;"__wt",'SegEnds_Xtal_BW#'!$A:$Z,14,FALSE)</f>
        <v>57</v>
      </c>
      <c r="O215" s="108">
        <f>VLOOKUP($B215&amp;"__wt",'SegEnds_Xtal_BW#'!$A:$Z,15,FALSE)</f>
        <v>38</v>
      </c>
      <c r="P215" s="1">
        <f>VLOOKUP($B215&amp;"__wt",'SegEnds_Xtal_BW#'!$A:$Z,16,FALSE)</f>
        <v>65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INDEX(ICL3_classA!$G$2:$G$37,MATCH(MIN(ABS(AI215-ICL3_classA!$F$2:$F$37)),ABS(AI215-ICL3_classA!$F$2:$F$37),0))</f>
        <v>68</v>
      </c>
      <c r="U215" s="1">
        <f t="array" ref="U215">INDEX(ICL3_classA!$H$2:$H$37,MATCH(MIN(ABS(AI215-ICL3_classA!$F$2:$F$37)),ABS(AI215-ICL3_classA!$F$2:$F$37),0))</f>
        <v>24</v>
      </c>
      <c r="V215" s="108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61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19</v>
      </c>
      <c r="AE215" s="1">
        <f>VLOOKUP(A215,'SegEnds_NonXtal_Prot#'!A:AL,16,FALSE)-VLOOKUP(A215,'SegEnds_NonXtal_Prot#'!A:AL,10,FALSE)</f>
        <v>51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28</v>
      </c>
      <c r="AH215" s="1">
        <f>VLOOKUP(A215,'SegEnds_NonXtal_Prot#'!A:AL,28,FALSE)-VLOOKUP(A215,'SegEnds_NonXtal_Prot#'!A:AL,22,FALSE)</f>
        <v>55</v>
      </c>
      <c r="AI215" s="1">
        <f>VLOOKUP(A215,'SegEnds_NonXtal_Prot#'!A:AL,31,FALSE)-VLOOKUP(A215,'SegEnds_NonXtal_Prot#'!A:AL,28,FALSE)</f>
        <v>49</v>
      </c>
      <c r="AJ215" s="1">
        <f>VLOOKUP(A215,'SegEnds_NonXtal_Prot#'!A:AL,34,FALSE)-VLOOKUP(A215,'SegEnds_NonXtal_Prot#'!A:AL,31,FALSE)</f>
        <v>44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Xtal</v>
      </c>
    </row>
    <row r="216" spans="1:38" x14ac:dyDescent="0.2">
      <c r="A216" s="1" t="s">
        <v>1524</v>
      </c>
      <c r="B216" s="1" t="str">
        <f>VLOOKUP(A216,Xtal_Templ!B:C,2,FALSE)</f>
        <v>q80km9_hcmv</v>
      </c>
      <c r="C216" s="5">
        <f>VLOOKUP($B216&amp;"__wt",'SegEnds_Xtal_BW#'!$A:$Z,3,FALSE)</f>
        <v>24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66</v>
      </c>
      <c r="I216" s="1" t="str">
        <f>VLOOKUP($B216&amp;"__wt",'SegEnds_Xtal_BW#'!$A:$Z,9,FALSE)</f>
        <v>-</v>
      </c>
      <c r="J216" s="1" t="str">
        <f>VLOOKUP($B216&amp;"__wt",'SegEnds_Xtal_BW#'!$A:$Z,10,FALSE)</f>
        <v>-</v>
      </c>
      <c r="K216" s="108">
        <v>21</v>
      </c>
      <c r="L216" s="1">
        <f>VLOOKUP($B216&amp;"__wt",'SegEnds_Xtal_BW#'!$A:$Z,12,FALSE)</f>
        <v>55</v>
      </c>
      <c r="M216" s="1" t="str">
        <f>VLOOKUP($B216&amp;"__wt",'SegEnds_Xtal_BW#'!$A:$Z,13,FALSE)</f>
        <v>-</v>
      </c>
      <c r="N216" s="12" t="str">
        <f>VLOOKUP($B216&amp;"__wt",'SegEnds_Xtal_BW#'!$A:$Z,14,FALSE)</f>
        <v>-</v>
      </c>
      <c r="O216" s="87">
        <f>VLOOKUP($B216&amp;"__wt",'SegEnds_Xtal_BW#'!$A:$Z,15,FALSE)</f>
        <v>38</v>
      </c>
      <c r="P216" s="1">
        <f>VLOOKUP($B216&amp;"__wt",'SegEnds_Xtal_BW#'!$A:$Z,16,FALSE)</f>
        <v>62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33</v>
      </c>
      <c r="T216" s="1">
        <f t="array" ref="T216">INDEX(ICL3_classA!$G$2:$G$37,MATCH(MIN(ABS(AI216-ICL3_classA!$F$2:$F$37)),ABS(AI216-ICL3_classA!$F$2:$F$37),0))</f>
        <v>68</v>
      </c>
      <c r="U216" s="1">
        <v>29</v>
      </c>
      <c r="V216" s="1">
        <v>64</v>
      </c>
      <c r="W216" s="1">
        <v>24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62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 t="e">
        <f>VLOOKUP(A216,'SegEnds_NonXtal_Prot#'!A:AL,13,FALSE)-VLOOKUP(A216,'SegEnds_NonXtal_Prot#'!A:AL,10,FALSE)</f>
        <v>#VALUE!</v>
      </c>
      <c r="AE216" s="1">
        <f>VLOOKUP(A216,'SegEnds_NonXtal_Prot#'!A:AL,16,FALSE)-VLOOKUP(A216,'SegEnds_NonXtal_Prot#'!A:AL,10,FALSE)</f>
        <v>50</v>
      </c>
      <c r="AF216" s="1" t="e">
        <f>VLOOKUP(A216,'SegEnds_NonXtal_Prot#'!A:AL,22,FALSE)-VLOOKUP(A216,'SegEnds_NonXtal_Prot#'!A:AL,19,FALSE)</f>
        <v>#VALUE!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48</v>
      </c>
      <c r="AI216" s="1">
        <f>VLOOKUP(A216,'SegEnds_NonXtal_Prot#'!A:AL,31,FALSE)-VLOOKUP(A216,'SegEnds_NonXtal_Prot#'!A:AL,28,FALSE)</f>
        <v>43</v>
      </c>
      <c r="AJ216" s="1">
        <f>VLOOKUP(A216,'SegEnds_NonXtal_Prot#'!A:AL,34,FALSE)-VLOOKUP(A216,'SegEnds_NonXtal_Prot#'!A:AL,31,FALSE)</f>
        <v>45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1463</v>
      </c>
      <c r="B217" s="1" t="s">
        <v>1463</v>
      </c>
      <c r="C217" s="5">
        <f>VLOOKUP($B217&amp;"__wt",'SegEnds_Xtal_BW#'!$A:$Z,3,FALSE)</f>
        <v>29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f>VLOOKUP($B217&amp;"__wt",'SegEnds_Xtal_BW#'!$A:$Z,11,FALSE)</f>
        <v>21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31</v>
      </c>
      <c r="T217" s="1">
        <f t="array" ref="T217">INDEX(ICL3_classA!$G$2:$G$37,MATCH(MIN(ABS(AI217-ICL3_classA!$F$2:$F$37)),ABS(AI217-ICL3_classA!$F$2:$F$37),0))</f>
        <v>68</v>
      </c>
      <c r="U217" s="1">
        <f t="array" ref="U217">INDEX(ICL3_classA!$H$2:$H$37,MATCH(MIN(ABS(AI217-ICL3_classA!$F$2:$F$37)),ABS(AI217-ICL3_classA!$F$2:$F$37),0))</f>
        <v>30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19</v>
      </c>
      <c r="AE217" s="1">
        <f>VLOOKUP(A217,'SegEnds_NonXtal_Prot#'!A:AL,16,FALSE)-VLOOKUP(A217,'SegEnds_NonXtal_Prot#'!A:AL,10,FALSE)</f>
        <v>51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51</v>
      </c>
      <c r="AI217" s="1">
        <f>VLOOKUP(A217,'SegEnds_NonXtal_Prot#'!A:AL,31,FALSE)-VLOOKUP(A217,'SegEnds_NonXtal_Prot#'!A:AL,28,FALSE)</f>
        <v>43</v>
      </c>
      <c r="AJ217" s="1">
        <f>VLOOKUP(A217,'SegEnds_NonXtal_Prot#'!A:AL,34,FALSE)-VLOOKUP(A217,'SegEnds_NonXtal_Prot#'!A:AL,31,FALSE)</f>
        <v>43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372</v>
      </c>
      <c r="B218" s="1" t="str">
        <f>VLOOKUP(A218,Xtal_Templ!B:C,2,FALSE)</f>
        <v>ox2r_human</v>
      </c>
      <c r="C218" s="5">
        <f>VLOOKUP($B218&amp;"__wt",'SegEnds_Xtal_BW#'!$A:$Z,3,FALSE)</f>
        <v>31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33</v>
      </c>
      <c r="T218" s="1">
        <f t="array" ref="T218">INDEX(ICL3_classA!$G$2:$G$37,MATCH(MIN(ABS(AI218-ICL3_classA!$F$2:$F$37)),ABS(AI218-ICL3_classA!$F$2:$F$37),0))</f>
        <v>74</v>
      </c>
      <c r="U218" s="1">
        <f t="array" ref="U218">INDEX(ICL3_classA!$H$2:$H$37,MATCH(MIN(ABS(AI218-ICL3_classA!$F$2:$F$37)),ABS(AI218-ICL3_classA!$F$2:$F$37),0))</f>
        <v>21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25</v>
      </c>
      <c r="AH218" s="1">
        <f>VLOOKUP(A218,'SegEnds_NonXtal_Prot#'!A:AL,28,FALSE)-VLOOKUP(A218,'SegEnds_NonXtal_Prot#'!A:AL,22,FALSE)</f>
        <v>56</v>
      </c>
      <c r="AI218" s="1">
        <f>VLOOKUP(A218,'SegEnds_NonXtal_Prot#'!A:AL,31,FALSE)-VLOOKUP(A218,'SegEnds_NonXtal_Prot#'!A:AL,28,FALSE)</f>
        <v>62</v>
      </c>
      <c r="AJ218" s="1">
        <f>VLOOKUP(A218,'SegEnds_NonXtal_Prot#'!A:AL,34,FALSE)-VLOOKUP(A218,'SegEnds_NonXtal_Prot#'!A:AL,31,FALSE)</f>
        <v>41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375</v>
      </c>
      <c r="B219" s="1" t="str">
        <f>VLOOKUP(A219,Xtal_Templ!B:C,2,FALSE)</f>
        <v>aa1r_human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50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08">
        <v>56</v>
      </c>
      <c r="O219" s="87">
        <f>VLOOKUP($B219&amp;"__wt",'SegEnds_Xtal_BW#'!$A:$Z,15,FALSE)</f>
        <v>38</v>
      </c>
      <c r="P219" s="1">
        <f>VLOOKUP($B219&amp;"__wt",'SegEnds_Xtal_BW#'!$A:$Z,16,FALSE)</f>
        <v>63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v>35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24</v>
      </c>
      <c r="V219" s="1">
        <v>61</v>
      </c>
      <c r="W219" s="1">
        <v>31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>
        <f>VLOOKUP(A219,'SegEnds_NonXtal_Prot#'!A:AL,10,FALSE)-VLOOKUP(A219,'SegEnds_NonXtal_Prot#'!A:AL,7,FALSE)</f>
        <v>15</v>
      </c>
      <c r="AD219" s="1" t="e">
        <f>VLOOKUP(A219,'SegEnds_NonXtal_Prot#'!A:AL,13,FALSE)-VLOOKUP(A219,'SegEnds_NonXtal_Prot#'!A:AL,10,FALSE)</f>
        <v>#VALUE!</v>
      </c>
      <c r="AE219" s="1">
        <f>VLOOKUP(A219,'SegEnds_NonXtal_Prot#'!A:AL,16,FALSE)-VLOOKUP(A219,'SegEnds_NonXtal_Prot#'!A:AL,10,FALSE)</f>
        <v>59</v>
      </c>
      <c r="AF219" s="1">
        <f>VLOOKUP(A219,'SegEnds_NonXtal_Prot#'!A:AL,22,FALSE)-VLOOKUP(A219,'SegEnds_NonXtal_Prot#'!A:AL,19,FALSE)</f>
        <v>19</v>
      </c>
      <c r="AG219" s="1">
        <f>VLOOKUP(A219,'SegEnds_NonXtal_Prot#'!A:AL,28,FALSE)-VLOOKUP(A219,'SegEnds_NonXtal_Prot#'!A:AL,25,FALSE)</f>
        <v>28</v>
      </c>
      <c r="AH219" s="1">
        <f>VLOOKUP(A219,'SegEnds_NonXtal_Prot#'!A:AL,28,FALSE)-VLOOKUP(A219,'SegEnds_NonXtal_Prot#'!A:AL,22,FALSE)</f>
        <v>55</v>
      </c>
      <c r="AI219" s="1">
        <f>VLOOKUP(A219,'SegEnds_NonXtal_Prot#'!A:AL,31,FALSE)-VLOOKUP(A219,'SegEnds_NonXtal_Prot#'!A:AL,28,FALSE)</f>
        <v>52</v>
      </c>
      <c r="AJ219" s="1">
        <f>VLOOKUP(A219,'SegEnds_NonXtal_Prot#'!A:AL,34,FALSE)-VLOOKUP(A219,'SegEnds_NonXtal_Prot#'!A:AL,31,FALSE)</f>
        <v>35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376</v>
      </c>
      <c r="B220" s="1" t="str">
        <f>VLOOKUP(A220,Xtal_Templ!B:C,2,FALSE)</f>
        <v>aa1r_human</v>
      </c>
      <c r="C220" s="5">
        <f>VLOOKUP($B220&amp;"__wt",'SegEnds_Xtal_BW#'!$A:$Z,3,FALSE)</f>
        <v>29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50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08">
        <v>56</v>
      </c>
      <c r="O220" s="87">
        <f>VLOOKUP($B220&amp;"__wt",'SegEnds_Xtal_BW#'!$A:$Z,15,FALSE)</f>
        <v>38</v>
      </c>
      <c r="P220" s="1">
        <f>VLOOKUP($B220&amp;"__wt",'SegEnds_Xtal_BW#'!$A:$Z,16,FALSE)</f>
        <v>63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v>35</v>
      </c>
      <c r="T220" s="1">
        <f t="array" ref="T220">INDEX(ICL3_classA!$G$2:$G$37,MATCH(MIN(ABS(AI220-ICL3_classA!$F$2:$F$37)),ABS(AI220-ICL3_classA!$F$2:$F$37),0))</f>
        <v>72</v>
      </c>
      <c r="U220" s="1">
        <f t="array" ref="U220">INDEX(ICL3_classA!$H$2:$H$37,MATCH(MIN(ABS(AI220-ICL3_classA!$F$2:$F$37)),ABS(AI220-ICL3_classA!$F$2:$F$37),0))</f>
        <v>24</v>
      </c>
      <c r="V220" s="1">
        <v>61</v>
      </c>
      <c r="W220" s="1">
        <v>31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24</v>
      </c>
      <c r="AE220" s="1">
        <f>VLOOKUP(A220,'SegEnds_NonXtal_Prot#'!A:AL,16,FALSE)-VLOOKUP(A220,'SegEnds_NonXtal_Prot#'!A:AL,10,FALSE)</f>
        <v>59</v>
      </c>
      <c r="AF220" s="1">
        <f>VLOOKUP(A220,'SegEnds_NonXtal_Prot#'!A:AL,22,FALSE)-VLOOKUP(A220,'SegEnds_NonXtal_Prot#'!A:AL,19,FALSE)</f>
        <v>19</v>
      </c>
      <c r="AG220" s="1">
        <f>VLOOKUP(A220,'SegEnds_NonXtal_Prot#'!A:AL,28,FALSE)-VLOOKUP(A220,'SegEnds_NonXtal_Prot#'!A:AL,25,FALSE)</f>
        <v>28</v>
      </c>
      <c r="AH220" s="1">
        <f>VLOOKUP(A220,'SegEnds_NonXtal_Prot#'!A:AL,28,FALSE)-VLOOKUP(A220,'SegEnds_NonXtal_Prot#'!A:AL,22,FALSE)</f>
        <v>55</v>
      </c>
      <c r="AI220" s="1">
        <f>VLOOKUP(A220,'SegEnds_NonXtal_Prot#'!A:AL,31,FALSE)-VLOOKUP(A220,'SegEnds_NonXtal_Prot#'!A:AL,28,FALSE)</f>
        <v>52</v>
      </c>
      <c r="AJ220" s="1">
        <f>VLOOKUP(A220,'SegEnds_NonXtal_Prot#'!A:AL,34,FALSE)-VLOOKUP(A220,'SegEnds_NonXtal_Prot#'!A:AL,31,FALSE)</f>
        <v>35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4" t="s">
        <v>104</v>
      </c>
      <c r="B221" s="4" t="str">
        <f>VLOOKUP(A221,Xtal_Templ!B:C,2,FALSE)</f>
        <v>s1pr1_human</v>
      </c>
      <c r="C221" s="5">
        <f>VLOOKUP($B221&amp;"__wt",'SegEnds_Xtal_BW#'!$A:$Z,3,FALSE)</f>
        <v>29</v>
      </c>
      <c r="D221" s="4">
        <f>VLOOKUP($B221&amp;"__wt",'SegEnds_Xtal_BW#'!$A:$Z,4,FALSE)</f>
        <v>60</v>
      </c>
      <c r="E221" s="4">
        <f>VLOOKUP($B221&amp;"__wt",'SegEnds_Xtal_BW#'!$A:$Z,5,FALSE)</f>
        <v>48</v>
      </c>
      <c r="F221" s="4">
        <f>VLOOKUP($B221&amp;"__wt",'SegEnds_Xtal_BW#'!$A:$Z,6,FALSE)</f>
        <v>51</v>
      </c>
      <c r="G221" s="4">
        <v>37</v>
      </c>
      <c r="H221" s="11">
        <v>63</v>
      </c>
      <c r="I221" s="4">
        <f>VLOOKUP($B221&amp;"__wt",'SegEnds_Xtal_BW#'!$A:$Z,9,FALSE)</f>
        <v>47</v>
      </c>
      <c r="J221" s="4">
        <f>VLOOKUP($B221&amp;"__wt",'SegEnds_Xtal_BW#'!$A:$Z,10,FALSE)</f>
        <v>53</v>
      </c>
      <c r="K221" s="11">
        <f>VLOOKUP($B221&amp;"__wt",'SegEnds_Xtal_BW#'!$A:$Z,11,FALSE)</f>
        <v>21</v>
      </c>
      <c r="L221" s="4">
        <f>VLOOKUP($B221&amp;"__wt",'SegEnds_Xtal_BW#'!$A:$Z,12,FALSE)</f>
        <v>56</v>
      </c>
      <c r="M221" s="4">
        <f>VLOOKUP($B221&amp;"__wt",'SegEnds_Xtal_BW#'!$A:$Z,13,FALSE)</f>
        <v>50</v>
      </c>
      <c r="N221" s="108">
        <f>VLOOKUP($B221&amp;"__wt",'SegEnds_Xtal_BW#'!$A:$Z,14,FALSE)</f>
        <v>56</v>
      </c>
      <c r="O221" s="87">
        <f>VLOOKUP($B221&amp;"__wt",'SegEnds_Xtal_BW#'!$A:$Z,15,FALSE)</f>
        <v>38</v>
      </c>
      <c r="P221" s="4">
        <f>VLOOKUP($B221&amp;"__wt",'SegEnds_Xtal_BW#'!$A:$Z,16,FALSE)</f>
        <v>63</v>
      </c>
      <c r="Q221" s="4" t="str">
        <f>VLOOKUP($B221&amp;"__wt",'SegEnds_Xtal_BW#'!$A:$Z,17,FALSE)</f>
        <v>-</v>
      </c>
      <c r="R221" s="4" t="str">
        <f>VLOOKUP($B221&amp;"__wt",'SegEnds_Xtal_BW#'!$A:$Z,18,FALSE)</f>
        <v>-</v>
      </c>
      <c r="S221" s="4">
        <f>VLOOKUP($B221&amp;"__wt",'SegEnds_Xtal_BW#'!$A:$Z,19,FALSE)</f>
        <v>36</v>
      </c>
      <c r="T221" s="4">
        <f t="array" ref="T221">INDEX(ICL3_classA!$G$2:$G$37,MATCH(MIN(ABS(AI221-ICL3_classA!$F$2:$F$37)),ABS(AI221-ICL3_classA!$F$2:$F$37),0))</f>
        <v>73</v>
      </c>
      <c r="U221" s="4">
        <f t="array" ref="U221">INDEX(ICL3_classA!$H$2:$H$37,MATCH(MIN(ABS(AI221-ICL3_classA!$F$2:$F$37)),ABS(AI221-ICL3_classA!$F$2:$F$37),0))</f>
        <v>24</v>
      </c>
      <c r="V221" s="4">
        <v>61</v>
      </c>
      <c r="W221" s="4">
        <v>30</v>
      </c>
      <c r="X221" s="1">
        <f>VLOOKUP($B221&amp;"__wt",'SegEnds_Xtal_BW#'!$A:$Z,24,FALSE)</f>
        <v>56</v>
      </c>
      <c r="Y221" s="4">
        <f>VLOOKUP($B221&amp;"__wt",'SegEnds_Xtal_BW#'!$A:$Z,25,FALSE)</f>
        <v>47</v>
      </c>
      <c r="Z221" s="4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4">
        <f>VLOOKUP(A221,'SegEnds_NonXtal_Prot#'!A:AL,10,FALSE)-VLOOKUP(A221,'SegEnds_NonXtal_Prot#'!A:AL,7,FALSE)</f>
        <v>15</v>
      </c>
      <c r="AD221" s="4">
        <f>VLOOKUP(A221,'SegEnds_NonXtal_Prot#'!A:AL,13,FALSE)-VLOOKUP(A221,'SegEnds_NonXtal_Prot#'!A:AL,10,FALSE)</f>
        <v>18</v>
      </c>
      <c r="AE221" s="4">
        <f>VLOOKUP(A221,'SegEnds_NonXtal_Prot#'!A:AL,16,FALSE)-VLOOKUP(A221,'SegEnds_NonXtal_Prot#'!A:AL,10,FALSE)</f>
        <v>51</v>
      </c>
      <c r="AF221" s="1">
        <f>VLOOKUP(A221,'SegEnds_NonXtal_Prot#'!A:AL,22,FALSE)-VLOOKUP(A221,'SegEnds_NonXtal_Prot#'!A:AL,19,FALSE)</f>
        <v>19</v>
      </c>
      <c r="AG221" s="4" t="e">
        <f>VLOOKUP(A221,'SegEnds_NonXtal_Prot#'!A:AL,28,FALSE)-VLOOKUP(A221,'SegEnds_NonXtal_Prot#'!A:AL,25,FALSE)</f>
        <v>#VALUE!</v>
      </c>
      <c r="AH221" s="1">
        <f>VLOOKUP(A221,'SegEnds_NonXtal_Prot#'!A:AL,28,FALSE)-VLOOKUP(A221,'SegEnds_NonXtal_Prot#'!A:AL,22,FALSE)</f>
        <v>45</v>
      </c>
      <c r="AI221" s="4">
        <f>VLOOKUP(A221,'SegEnds_NonXtal_Prot#'!A:AL,31,FALSE)-VLOOKUP(A221,'SegEnds_NonXtal_Prot#'!A:AL,28,FALSE)</f>
        <v>58</v>
      </c>
      <c r="AJ221" s="4">
        <f>VLOOKUP(A221,'SegEnds_NonXtal_Prot#'!A:AL,34,FALSE)-VLOOKUP(A221,'SegEnds_NonXtal_Prot#'!A:AL,31,FALSE)</f>
        <v>37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Xtal</v>
      </c>
    </row>
    <row r="222" spans="1:38" x14ac:dyDescent="0.2">
      <c r="A222" s="1" t="s">
        <v>377</v>
      </c>
      <c r="B222" s="1" t="str">
        <f>VLOOKUP(A222,Xtal_Templ!B:C,2,FALSE)</f>
        <v>s1pr1_human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v>63</v>
      </c>
      <c r="I222" s="1">
        <f>VLOOKUP($B222&amp;"__wt",'SegEnds_Xtal_BW#'!$A:$Z,9,FALSE)</f>
        <v>47</v>
      </c>
      <c r="J222" s="1">
        <f>VLOOKUP($B222&amp;"__wt",'SegEnds_Xtal_BW#'!$A:$Z,10,FALSE)</f>
        <v>53</v>
      </c>
      <c r="K222" s="12">
        <v>21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08">
        <v>56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 t="str">
        <f>VLOOKUP($B222&amp;"__wt",'SegEnds_Xtal_BW#'!$A:$Z,17,FALSE)</f>
        <v>-</v>
      </c>
      <c r="R222" s="1" t="str">
        <f>VLOOKUP($B222&amp;"__wt",'SegEnds_Xtal_BW#'!$A:$Z,18,FALSE)</f>
        <v>-</v>
      </c>
      <c r="S222" s="1">
        <f>VLOOKUP($B222&amp;"__wt",'SegEnds_Xtal_BW#'!$A:$Z,19,FALSE)</f>
        <v>36</v>
      </c>
      <c r="T222" s="1">
        <f t="array" ref="T222">INDEX(ICL3_classA!$G$2:$G$37,MATCH(MIN(ABS(AI222-ICL3_classA!$F$2:$F$37)),ABS(AI222-ICL3_classA!$F$2:$F$37),0))</f>
        <v>67</v>
      </c>
      <c r="U222" s="1">
        <f t="array" ref="U222">INDEX(ICL3_classA!$H$2:$H$37,MATCH(MIN(ABS(AI222-ICL3_classA!$F$2:$F$37)),ABS(AI222-ICL3_classA!$F$2:$F$37),0))</f>
        <v>26</v>
      </c>
      <c r="V222" s="1">
        <v>61</v>
      </c>
      <c r="W222" s="1">
        <v>30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>
        <f>VLOOKUP(A222,'SegEnds_NonXtal_Prot#'!A:AL,10,FALSE)-VLOOKUP(A222,'SegEnds_NonXtal_Prot#'!A:AL,7,FALSE)</f>
        <v>15</v>
      </c>
      <c r="AD222" s="1">
        <f>VLOOKUP(A222,'SegEnds_NonXtal_Prot#'!A:AL,13,FALSE)-VLOOKUP(A222,'SegEnds_NonXtal_Prot#'!A:AL,10,FALSE)</f>
        <v>18</v>
      </c>
      <c r="AE222" s="1">
        <f>VLOOKUP(A222,'SegEnds_NonXtal_Prot#'!A:AL,16,FALSE)-VLOOKUP(A222,'SegEnds_NonXtal_Prot#'!A:AL,10,FALSE)</f>
        <v>51</v>
      </c>
      <c r="AF222" s="1">
        <f>VLOOKUP(A222,'SegEnds_NonXtal_Prot#'!A:AL,22,FALSE)-VLOOKUP(A222,'SegEnds_NonXtal_Prot#'!A:AL,19,FALSE)</f>
        <v>19</v>
      </c>
      <c r="AG222" s="1" t="e">
        <f>VLOOKUP(A222,'SegEnds_NonXtal_Prot#'!A:AL,28,FALSE)-VLOOKUP(A222,'SegEnds_NonXtal_Prot#'!A:AL,25,FALSE)</f>
        <v>#VALUE!</v>
      </c>
      <c r="AH222" s="1">
        <f>VLOOKUP(A222,'SegEnds_NonXtal_Prot#'!A:AL,28,FALSE)-VLOOKUP(A222,'SegEnds_NonXtal_Prot#'!A:AL,22,FALSE)</f>
        <v>45</v>
      </c>
      <c r="AI222" s="1">
        <f>VLOOKUP(A222,'SegEnds_NonXtal_Prot#'!A:AL,31,FALSE)-VLOOKUP(A222,'SegEnds_NonXtal_Prot#'!A:AL,28,FALSE)</f>
        <v>47</v>
      </c>
      <c r="AJ222" s="1">
        <f>VLOOKUP(A222,'SegEnds_NonXtal_Prot#'!A:AL,34,FALSE)-VLOOKUP(A222,'SegEnds_NonXtal_Prot#'!A:AL,31,FALSE)</f>
        <v>37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378</v>
      </c>
      <c r="B223" s="1" t="str">
        <f>VLOOKUP(A223,Xtal_Templ!B:C,2,FALSE)</f>
        <v>s1pr1_human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v>63</v>
      </c>
      <c r="I223" s="1">
        <f>VLOOKUP($B223&amp;"__wt",'SegEnds_Xtal_BW#'!$A:$Z,9,FALSE)</f>
        <v>47</v>
      </c>
      <c r="J223" s="1">
        <f>VLOOKUP($B223&amp;"__wt",'SegEnds_Xtal_BW#'!$A:$Z,10,FALSE)</f>
        <v>53</v>
      </c>
      <c r="K223" s="12">
        <v>21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08">
        <v>56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 t="str">
        <f>VLOOKUP($B223&amp;"__wt",'SegEnds_Xtal_BW#'!$A:$Z,17,FALSE)</f>
        <v>-</v>
      </c>
      <c r="R223" s="1" t="str">
        <f>VLOOKUP($B223&amp;"__wt",'SegEnds_Xtal_BW#'!$A:$Z,18,FALSE)</f>
        <v>-</v>
      </c>
      <c r="S223" s="1">
        <f>VLOOKUP($B223&amp;"__wt",'SegEnds_Xtal_BW#'!$A:$Z,19,FALSE)</f>
        <v>36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30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>
        <f>VLOOKUP(A223,'SegEnds_NonXtal_Prot#'!A:AL,10,FALSE)-VLOOKUP(A223,'SegEnds_NonXtal_Prot#'!A:AL,7,FALSE)</f>
        <v>15</v>
      </c>
      <c r="AD223" s="1">
        <f>VLOOKUP(A223,'SegEnds_NonXtal_Prot#'!A:AL,13,FALSE)-VLOOKUP(A223,'SegEnds_NonXtal_Prot#'!A:AL,10,FALSE)</f>
        <v>18</v>
      </c>
      <c r="AE223" s="1">
        <f>VLOOKUP(A223,'SegEnds_NonXtal_Prot#'!A:AL,16,FALSE)-VLOOKUP(A223,'SegEnds_NonXtal_Prot#'!A:AL,10,FALSE)</f>
        <v>51</v>
      </c>
      <c r="AF223" s="1">
        <f>VLOOKUP(A223,'SegEnds_NonXtal_Prot#'!A:AL,22,FALSE)-VLOOKUP(A223,'SegEnds_NonXtal_Prot#'!A:AL,19,FALSE)</f>
        <v>19</v>
      </c>
      <c r="AG223" s="1" t="e">
        <f>VLOOKUP(A223,'SegEnds_NonXtal_Prot#'!A:AL,28,FALSE)-VLOOKUP(A223,'SegEnds_NonXtal_Prot#'!A:AL,25,FALSE)</f>
        <v>#VALUE!</v>
      </c>
      <c r="AH223" s="1">
        <f>VLOOKUP(A223,'SegEnds_NonXtal_Prot#'!A:AL,28,FALSE)-VLOOKUP(A223,'SegEnds_NonXtal_Prot#'!A:AL,22,FALSE)</f>
        <v>45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37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379</v>
      </c>
      <c r="B224" s="1" t="str">
        <f>VLOOKUP(A224,Xtal_Templ!B:C,2,FALSE)</f>
        <v>s1pr1_human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v>63</v>
      </c>
      <c r="I224" s="1">
        <f>VLOOKUP($B224&amp;"__wt",'SegEnds_Xtal_BW#'!$A:$Z,9,FALSE)</f>
        <v>47</v>
      </c>
      <c r="J224" s="1">
        <f>VLOOKUP($B224&amp;"__wt",'SegEnds_Xtal_BW#'!$A:$Z,10,FALSE)</f>
        <v>53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v>38</v>
      </c>
      <c r="P224" s="1">
        <f>VLOOKUP($B224&amp;"__wt",'SegEnds_Xtal_BW#'!$A:$Z,16,FALSE)</f>
        <v>63</v>
      </c>
      <c r="Q224" s="1" t="str">
        <f>VLOOKUP($B224&amp;"__wt",'SegEnds_Xtal_BW#'!$A:$Z,17,FALSE)</f>
        <v>-</v>
      </c>
      <c r="R224" s="1" t="str">
        <f>VLOOKUP($B224&amp;"__wt",'SegEnds_Xtal_BW#'!$A:$Z,18,FALSE)</f>
        <v>-</v>
      </c>
      <c r="S224" s="1">
        <f>VLOOKUP($B224&amp;"__wt",'SegEnds_Xtal_BW#'!$A:$Z,19,FALSE)</f>
        <v>36</v>
      </c>
      <c r="T224" s="1">
        <f t="array" ref="T224">INDEX(ICL3_classA!$G$2:$G$37,MATCH(MIN(ABS(AI224-ICL3_classA!$F$2:$F$37)),ABS(AI224-ICL3_classA!$F$2:$F$37),0))</f>
        <v>68</v>
      </c>
      <c r="U224" s="1">
        <f t="array" ref="U224">INDEX(ICL3_classA!$H$2:$H$37,MATCH(MIN(ABS(AI224-ICL3_classA!$F$2:$F$37)),ABS(AI224-ICL3_classA!$F$2:$F$37),0))</f>
        <v>23</v>
      </c>
      <c r="V224" s="1">
        <v>61</v>
      </c>
      <c r="W224" s="1">
        <v>30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59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28</v>
      </c>
      <c r="AC224" s="1">
        <f>VLOOKUP(A224,'SegEnds_NonXtal_Prot#'!A:AL,10,FALSE)-VLOOKUP(A224,'SegEnds_NonXtal_Prot#'!A:AL,7,FALSE)</f>
        <v>15</v>
      </c>
      <c r="AD224" s="1">
        <f>VLOOKUP(A224,'SegEnds_NonXtal_Prot#'!A:AL,13,FALSE)-VLOOKUP(A224,'SegEnds_NonXtal_Prot#'!A:AL,10,FALSE)</f>
        <v>18</v>
      </c>
      <c r="AE224" s="1">
        <f>VLOOKUP(A224,'SegEnds_NonXtal_Prot#'!A:AL,16,FALSE)-VLOOKUP(A224,'SegEnds_NonXtal_Prot#'!A:AL,10,FALSE)</f>
        <v>51</v>
      </c>
      <c r="AF224" s="1">
        <f>VLOOKUP(A224,'SegEnds_NonXtal_Prot#'!A:AL,22,FALSE)-VLOOKUP(A224,'SegEnds_NonXtal_Prot#'!A:AL,19,FALSE)</f>
        <v>20</v>
      </c>
      <c r="AG224" s="1" t="e">
        <f>VLOOKUP(A224,'SegEnds_NonXtal_Prot#'!A:AL,28,FALSE)-VLOOKUP(A224,'SegEnds_NonXtal_Prot#'!A:AL,25,FALSE)</f>
        <v>#VALUE!</v>
      </c>
      <c r="AH224" s="1">
        <f>VLOOKUP(A224,'SegEnds_NonXtal_Prot#'!A:AL,28,FALSE)-VLOOKUP(A224,'SegEnds_NonXtal_Prot#'!A:AL,22,FALSE)</f>
        <v>45</v>
      </c>
      <c r="AI224" s="1">
        <f>VLOOKUP(A224,'SegEnds_NonXtal_Prot#'!A:AL,31,FALSE)-VLOOKUP(A224,'SegEnds_NonXtal_Prot#'!A:AL,28,FALSE)</f>
        <v>51</v>
      </c>
      <c r="AJ224" s="1">
        <f>VLOOKUP(A224,'SegEnds_NonXtal_Prot#'!A:AL,34,FALSE)-VLOOKUP(A224,'SegEnds_NonXtal_Prot#'!A:AL,31,FALSE)</f>
        <v>38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380</v>
      </c>
      <c r="B225" s="1" t="str">
        <f>VLOOKUP(A225,Xtal_Templ!B:C,2,FALSE)</f>
        <v>s1pr1_human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v>63</v>
      </c>
      <c r="I225" s="1">
        <f>VLOOKUP($B225&amp;"__wt",'SegEnds_Xtal_BW#'!$A:$Z,9,FALSE)</f>
        <v>47</v>
      </c>
      <c r="J225" s="1">
        <f>VLOOKUP($B225&amp;"__wt",'SegEnds_Xtal_BW#'!$A:$Z,10,FALSE)</f>
        <v>53</v>
      </c>
      <c r="K225" s="12">
        <v>21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08">
        <v>56</v>
      </c>
      <c r="O225" s="87">
        <f>VLOOKUP($B225&amp;"__wt",'SegEnds_Xtal_BW#'!$A:$Z,15,FALSE)</f>
        <v>38</v>
      </c>
      <c r="P225" s="1">
        <f>VLOOKUP($B225&amp;"__wt",'SegEnds_Xtal_BW#'!$A:$Z,16,FALSE)</f>
        <v>63</v>
      </c>
      <c r="Q225" s="1" t="str">
        <f>VLOOKUP($B225&amp;"__wt",'SegEnds_Xtal_BW#'!$A:$Z,17,FALSE)</f>
        <v>-</v>
      </c>
      <c r="R225" s="1" t="str">
        <f>VLOOKUP($B225&amp;"__wt",'SegEnds_Xtal_BW#'!$A:$Z,18,FALSE)</f>
        <v>-</v>
      </c>
      <c r="S225" s="1">
        <f>VLOOKUP($B225&amp;"__wt",'SegEnds_Xtal_BW#'!$A:$Z,19,FALSE)</f>
        <v>36</v>
      </c>
      <c r="T225" s="1">
        <f t="array" ref="T225">INDEX(ICL3_classA!$G$2:$G$37,MATCH(MIN(ABS(AI225-ICL3_classA!$F$2:$F$37)),ABS(AI225-ICL3_classA!$F$2:$F$37),0))</f>
        <v>74</v>
      </c>
      <c r="U225" s="1">
        <f t="array" ref="U225">INDEX(ICL3_classA!$H$2:$H$37,MATCH(MIN(ABS(AI225-ICL3_classA!$F$2:$F$37)),ABS(AI225-ICL3_classA!$F$2:$F$37),0))</f>
        <v>21</v>
      </c>
      <c r="V225" s="1">
        <v>61</v>
      </c>
      <c r="W225" s="1">
        <v>30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28</v>
      </c>
      <c r="AC225" s="1">
        <f>VLOOKUP(A225,'SegEnds_NonXtal_Prot#'!A:AL,10,FALSE)-VLOOKUP(A225,'SegEnds_NonXtal_Prot#'!A:AL,7,FALSE)</f>
        <v>15</v>
      </c>
      <c r="AD225" s="1">
        <f>VLOOKUP(A225,'SegEnds_NonXtal_Prot#'!A:AL,13,FALSE)-VLOOKUP(A225,'SegEnds_NonXtal_Prot#'!A:AL,10,FALSE)</f>
        <v>18</v>
      </c>
      <c r="AE225" s="1">
        <f>VLOOKUP(A225,'SegEnds_NonXtal_Prot#'!A:AL,16,FALSE)-VLOOKUP(A225,'SegEnds_NonXtal_Prot#'!A:AL,10,FALSE)</f>
        <v>51</v>
      </c>
      <c r="AF225" s="1">
        <f>VLOOKUP(A225,'SegEnds_NonXtal_Prot#'!A:AL,22,FALSE)-VLOOKUP(A225,'SegEnds_NonXtal_Prot#'!A:AL,19,FALSE)</f>
        <v>19</v>
      </c>
      <c r="AG225" s="1" t="e">
        <f>VLOOKUP(A225,'SegEnds_NonXtal_Prot#'!A:AL,28,FALSE)-VLOOKUP(A225,'SegEnds_NonXtal_Prot#'!A:AL,25,FALSE)</f>
        <v>#VALUE!</v>
      </c>
      <c r="AH225" s="1">
        <f>VLOOKUP(A225,'SegEnds_NonXtal_Prot#'!A:AL,28,FALSE)-VLOOKUP(A225,'SegEnds_NonXtal_Prot#'!A:AL,22,FALSE)</f>
        <v>45</v>
      </c>
      <c r="AI225" s="1">
        <f>VLOOKUP(A225,'SegEnds_NonXtal_Prot#'!A:AL,31,FALSE)-VLOOKUP(A225,'SegEnds_NonXtal_Prot#'!A:AL,28,FALSE)</f>
        <v>62</v>
      </c>
      <c r="AJ225" s="1">
        <f>VLOOKUP(A225,'SegEnds_NonXtal_Prot#'!A:AL,34,FALSE)-VLOOKUP(A225,'SegEnds_NonXtal_Prot#'!A:AL,31,FALSE)</f>
        <v>37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381</v>
      </c>
      <c r="B226" s="1" t="str">
        <f>VLOOKUP(A226,Xtal_Templ!B:C,2,FALSE)</f>
        <v>oprk_human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21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7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INDEX(ICL3_classA!$G$2:$G$37,MATCH(MIN(ABS(AI226-ICL3_classA!$F$2:$F$37)),ABS(AI226-ICL3_classA!$F$2:$F$37),0))</f>
        <v>68</v>
      </c>
      <c r="U226" s="1">
        <f t="array" ref="U226">INDEX(ICL3_classA!$H$2:$H$37,MATCH(MIN(ABS(AI226-ICL3_classA!$F$2:$F$37)),ABS(AI226-ICL3_classA!$F$2:$F$37),0))</f>
        <v>23</v>
      </c>
      <c r="V226" s="1">
        <v>61</v>
      </c>
      <c r="W226" s="1">
        <v>32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19</v>
      </c>
      <c r="AE226" s="1">
        <f>VLOOKUP(A226,'SegEnds_NonXtal_Prot#'!A:AL,16,FALSE)-VLOOKUP(A226,'SegEnds_NonXtal_Prot#'!A:AL,10,FALSE)</f>
        <v>51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27</v>
      </c>
      <c r="AH226" s="1">
        <f>VLOOKUP(A226,'SegEnds_NonXtal_Prot#'!A:AL,28,FALSE)-VLOOKUP(A226,'SegEnds_NonXtal_Prot#'!A:AL,22,FALSE)</f>
        <v>53</v>
      </c>
      <c r="AI226" s="1">
        <f>VLOOKUP(A226,'SegEnds_NonXtal_Prot#'!A:AL,31,FALSE)-VLOOKUP(A226,'SegEnds_NonXtal_Prot#'!A:AL,28,FALSE)</f>
        <v>51</v>
      </c>
      <c r="AJ226" s="1">
        <f>VLOOKUP(A226,'SegEnds_NonXtal_Prot#'!A:AL,34,FALSE)-VLOOKUP(A226,'SegEnds_NonXtal_Prot#'!A:AL,31,FALSE)</f>
        <v>34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382</v>
      </c>
      <c r="B227" s="1" t="str">
        <f>VLOOKUP(A227,Xtal_Templ!B:C,2,FALSE)</f>
        <v>oprk_human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21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7"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30</v>
      </c>
      <c r="T227" s="1">
        <f t="array" ref="T227">INDEX(ICL3_classA!$G$2:$G$37,MATCH(MIN(ABS(AI227-ICL3_classA!$F$2:$F$37)),ABS(AI227-ICL3_classA!$F$2:$F$37),0))</f>
        <v>68</v>
      </c>
      <c r="U227" s="1">
        <f t="array" ref="U227">INDEX(ICL3_classA!$H$2:$H$37,MATCH(MIN(ABS(AI227-ICL3_classA!$F$2:$F$37)),ABS(AI227-ICL3_classA!$F$2:$F$37),0))</f>
        <v>23</v>
      </c>
      <c r="V227" s="1">
        <v>61</v>
      </c>
      <c r="W227" s="1">
        <v>28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>
        <f>VLOOKUP(A227,'SegEnds_NonXtal_Prot#'!A:AL,10,FALSE)-VLOOKUP(A227,'SegEnds_NonXtal_Prot#'!A:AL,7,FALSE)</f>
        <v>15</v>
      </c>
      <c r="AD227" s="1">
        <f>VLOOKUP(A227,'SegEnds_NonXtal_Prot#'!A:AL,13,FALSE)-VLOOKUP(A227,'SegEnds_NonXtal_Prot#'!A:AL,10,FALSE)</f>
        <v>19</v>
      </c>
      <c r="AE227" s="1">
        <f>VLOOKUP(A227,'SegEnds_NonXtal_Prot#'!A:AL,16,FALSE)-VLOOKUP(A227,'SegEnds_NonXtal_Prot#'!A:AL,10,FALSE)</f>
        <v>51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27</v>
      </c>
      <c r="AH227" s="1">
        <f>VLOOKUP(A227,'SegEnds_NonXtal_Prot#'!A:AL,28,FALSE)-VLOOKUP(A227,'SegEnds_NonXtal_Prot#'!A:AL,22,FALSE)</f>
        <v>53</v>
      </c>
      <c r="AI227" s="1">
        <f>VLOOKUP(A227,'SegEnds_NonXtal_Prot#'!A:AL,31,FALSE)-VLOOKUP(A227,'SegEnds_NonXtal_Prot#'!A:AL,28,FALSE)</f>
        <v>51</v>
      </c>
      <c r="AJ227" s="1">
        <f>VLOOKUP(A227,'SegEnds_NonXtal_Prot#'!A:AL,34,FALSE)-VLOOKUP(A227,'SegEnds_NonXtal_Prot#'!A:AL,31,FALSE)</f>
        <v>38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383</v>
      </c>
      <c r="B228" s="1" t="str">
        <f>VLOOKUP(A228,Xtal_Templ!B:C,2,FALSE)</f>
        <v>oprk_human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>
        <f>VLOOKUP($B228&amp;"__wt",'SegEnds_Xtal_BW#'!$A:$Z,5,FALSE)</f>
        <v>48</v>
      </c>
      <c r="F228" s="1">
        <f>VLOOKUP($B228&amp;"__wt",'SegEnds_Xtal_BW#'!$A:$Z,6,FALSE)</f>
        <v>51</v>
      </c>
      <c r="G228" s="1">
        <v>37</v>
      </c>
      <c r="H228" s="12"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21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INDEX(ICL3_classA!$G$2:$G$37,MATCH(MIN(ABS(AI228-ICL3_classA!$F$2:$F$37)),ABS(AI228-ICL3_classA!$F$2:$F$37),0))</f>
        <v>72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28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>
        <f>VLOOKUP(A228,'SegEnds_NonXtal_Prot#'!A:AL,10,FALSE)-VLOOKUP(A228,'SegEnds_NonXtal_Prot#'!A:AL,7,FALSE)</f>
        <v>15</v>
      </c>
      <c r="AD228" s="1">
        <f>VLOOKUP(A228,'SegEnds_NonXtal_Prot#'!A:AL,13,FALSE)-VLOOKUP(A228,'SegEnds_NonXtal_Prot#'!A:AL,10,FALSE)</f>
        <v>19</v>
      </c>
      <c r="AE228" s="1">
        <f>VLOOKUP(A228,'SegEnds_NonXtal_Prot#'!A:AL,16,FALSE)-VLOOKUP(A228,'SegEnds_NonXtal_Prot#'!A:AL,10,FALSE)</f>
        <v>51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50</v>
      </c>
      <c r="AI228" s="1">
        <f>VLOOKUP(A228,'SegEnds_NonXtal_Prot#'!A:AL,31,FALSE)-VLOOKUP(A228,'SegEnds_NonXtal_Prot#'!A:AL,28,FALSE)</f>
        <v>54</v>
      </c>
      <c r="AJ228" s="1">
        <f>VLOOKUP(A228,'SegEnds_NonXtal_Prot#'!A:AL,34,FALSE)-VLOOKUP(A228,'SegEnds_NonXtal_Prot#'!A:AL,31,FALSE)</f>
        <v>38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384</v>
      </c>
      <c r="B229" s="1" t="str">
        <f>VLOOKUP(A229,Xtal_Templ!B:C,2,FALSE)</f>
        <v>oprk_human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21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30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23</v>
      </c>
      <c r="V229" s="1">
        <v>61</v>
      </c>
      <c r="W229" s="1">
        <v>32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>
        <f>VLOOKUP(A229,'SegEnds_NonXtal_Prot#'!A:AL,10,FALSE)-VLOOKUP(A229,'SegEnds_NonXtal_Prot#'!A:AL,7,FALSE)</f>
        <v>15</v>
      </c>
      <c r="AD229" s="1">
        <f>VLOOKUP(A229,'SegEnds_NonXtal_Prot#'!A:AL,13,FALSE)-VLOOKUP(A229,'SegEnds_NonXtal_Prot#'!A:AL,10,FALSE)</f>
        <v>19</v>
      </c>
      <c r="AE229" s="1">
        <f>VLOOKUP(A229,'SegEnds_NonXtal_Prot#'!A:AL,16,FALSE)-VLOOKUP(A229,'SegEnds_NonXtal_Prot#'!A:AL,10,FALSE)</f>
        <v>51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25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51</v>
      </c>
      <c r="AJ229" s="1">
        <f>VLOOKUP(A229,'SegEnds_NonXtal_Prot#'!A:AL,34,FALSE)-VLOOKUP(A229,'SegEnds_NonXtal_Prot#'!A:AL,31,FALSE)</f>
        <v>34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385</v>
      </c>
      <c r="B230" s="1" t="str">
        <f>VLOOKUP(A230,Xtal_Templ!B:C,2,FALSE)</f>
        <v>oprk_human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21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30</v>
      </c>
      <c r="T230" s="1">
        <f t="array" ref="T230">INDEX(ICL3_classA!$G$2:$G$37,MATCH(MIN(ABS(AI230-ICL3_classA!$F$2:$F$37)),ABS(AI230-ICL3_classA!$F$2:$F$37),0))</f>
        <v>72</v>
      </c>
      <c r="U230" s="1">
        <f t="array" ref="U230">INDEX(ICL3_classA!$H$2:$H$37,MATCH(MIN(ABS(AI230-ICL3_classA!$F$2:$F$37)),ABS(AI230-ICL3_classA!$F$2:$F$37),0))</f>
        <v>29</v>
      </c>
      <c r="V230" s="1">
        <v>61</v>
      </c>
      <c r="W230" s="1">
        <v>28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>
        <f>VLOOKUP(A230,'SegEnds_NonXtal_Prot#'!A:AL,10,FALSE)-VLOOKUP(A230,'SegEnds_NonXtal_Prot#'!A:AL,7,FALSE)</f>
        <v>15</v>
      </c>
      <c r="AD230" s="1">
        <f>VLOOKUP(A230,'SegEnds_NonXtal_Prot#'!A:AL,13,FALSE)-VLOOKUP(A230,'SegEnds_NonXtal_Prot#'!A:AL,10,FALSE)</f>
        <v>19</v>
      </c>
      <c r="AE230" s="1">
        <f>VLOOKUP(A230,'SegEnds_NonXtal_Prot#'!A:AL,16,FALSE)-VLOOKUP(A230,'SegEnds_NonXtal_Prot#'!A:AL,10,FALSE)</f>
        <v>51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49</v>
      </c>
      <c r="AI230" s="1">
        <f>VLOOKUP(A230,'SegEnds_NonXtal_Prot#'!A:AL,31,FALSE)-VLOOKUP(A230,'SegEnds_NonXtal_Prot#'!A:AL,28,FALSE)</f>
        <v>50</v>
      </c>
      <c r="AJ230" s="1">
        <f>VLOOKUP(A230,'SegEnds_NonXtal_Prot#'!A:AL,34,FALSE)-VLOOKUP(A230,'SegEnds_NonXtal_Prot#'!A:AL,31,FALSE)</f>
        <v>38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386</v>
      </c>
      <c r="B231" s="1" t="str">
        <f>VLOOKUP(A231,Xtal_Templ!B:C,2,FALSE)</f>
        <v>p2ry1_human</v>
      </c>
      <c r="C231" s="5">
        <f>VLOOKUP($B231&amp;"__wt",'SegEnds_Xtal_BW#'!$A:$Z,3,FALSE)</f>
        <v>30</v>
      </c>
      <c r="D231" s="1">
        <f>VLOOKUP($B231&amp;"__wt",'SegEnds_Xtal_BW#'!$A:$Z,4,FALSE)</f>
        <v>60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7">
        <f>VLOOKUP($B231&amp;"__wt",'SegEnds_Xtal_BW#'!$A:$Z,15,FALSE)</f>
        <v>38</v>
      </c>
      <c r="P231" s="1">
        <f>VLOOKUP($B231&amp;"__wt",'SegEnds_Xtal_BW#'!$A:$Z,16,FALSE)</f>
        <v>64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">
        <v>64</v>
      </c>
      <c r="W231" s="1">
        <v>24</v>
      </c>
      <c r="X231" s="128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28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19</v>
      </c>
      <c r="AE231" s="1">
        <f>VLOOKUP(A231,'SegEnds_NonXtal_Prot#'!A:AL,16,FALSE)-VLOOKUP(A231,'SegEnds_NonXtal_Prot#'!A:AL,10,FALSE)</f>
        <v>51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27</v>
      </c>
      <c r="AH231" s="1">
        <f>VLOOKUP(A231,'SegEnds_NonXtal_Prot#'!A:AL,28,FALSE)-VLOOKUP(A231,'SegEnds_NonXtal_Prot#'!A:AL,22,FALSE)</f>
        <v>52</v>
      </c>
      <c r="AI231" s="1">
        <f>VLOOKUP(A231,'SegEnds_NonXtal_Prot#'!A:AL,31,FALSE)-VLOOKUP(A231,'SegEnds_NonXtal_Prot#'!A:AL,28,FALSE)</f>
        <v>48</v>
      </c>
      <c r="AJ231" s="1">
        <f>VLOOKUP(A231,'SegEnds_NonXtal_Prot#'!A:AL,34,FALSE)-VLOOKUP(A231,'SegEnds_NonXtal_Prot#'!A:AL,31,FALSE)</f>
        <v>45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NoXtal</v>
      </c>
    </row>
    <row r="232" spans="1:38" x14ac:dyDescent="0.2">
      <c r="A232" s="1" t="s">
        <v>387</v>
      </c>
      <c r="B232" s="1" t="str">
        <f>VLOOKUP(A232,Xtal_Templ!B:C,2,FALSE)</f>
        <v>drd2_human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68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v>38</v>
      </c>
      <c r="P232" s="1">
        <f>VLOOKUP($B232&amp;"__wt",'SegEnds_Xtal_BW#'!$A:$Z,16,FALSE)</f>
        <v>62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v>35</v>
      </c>
      <c r="T232" s="1">
        <f t="array" ref="T232">INDEX(ICL3_classA!$G$2:$G$37,MATCH(MIN(ABS(AI232-ICL3_classA!$F$2:$F$37)),ABS(AI232-ICL3_classA!$F$2:$F$37),0))</f>
        <v>74</v>
      </c>
      <c r="U232" s="1">
        <f t="array" ref="U232">INDEX(ICL3_classA!$H$2:$H$37,MATCH(MIN(ABS(AI232-ICL3_classA!$F$2:$F$37)),ABS(AI232-ICL3_classA!$F$2:$F$37),0))</f>
        <v>21</v>
      </c>
      <c r="V232" s="1">
        <v>61</v>
      </c>
      <c r="W232" s="1">
        <v>31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20</v>
      </c>
      <c r="AH232" s="1">
        <f>VLOOKUP(A232,'SegEnds_NonXtal_Prot#'!A:AL,28,FALSE)-VLOOKUP(A232,'SegEnds_NonXtal_Prot#'!A:AL,22,FALSE)</f>
        <v>54</v>
      </c>
      <c r="AI232" s="1">
        <f>VLOOKUP(A232,'SegEnds_NonXtal_Prot#'!A:AL,31,FALSE)-VLOOKUP(A232,'SegEnds_NonXtal_Prot#'!A:AL,28,FALSE)</f>
        <v>64</v>
      </c>
      <c r="AJ232" s="1">
        <f>VLOOKUP(A232,'SegEnds_NonXtal_Prot#'!A:AL,34,FALSE)-VLOOKUP(A232,'SegEnds_NonXtal_Prot#'!A:AL,31,FALSE)</f>
        <v>35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388</v>
      </c>
      <c r="B233" s="1" t="str">
        <f>VLOOKUP(A233,Xtal_Templ!B:C,2,FALSE)</f>
        <v>adrb2_human</v>
      </c>
      <c r="C233" s="5">
        <f>VLOOKUP($B233&amp;"__wt",'SegEnds_Xtal_BW#'!$A:$Z,3,FALSE)</f>
        <v>25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v>35</v>
      </c>
      <c r="T233" s="1">
        <f t="array" ref="T233">INDEX(ICL3_classA!$G$2:$G$37,MATCH(MIN(ABS(AI233-ICL3_classA!$F$2:$F$37)),ABS(AI233-ICL3_classA!$F$2:$F$37),0))</f>
        <v>73</v>
      </c>
      <c r="U233" s="1">
        <f t="array" ref="U233">INDEX(ICL3_classA!$H$2:$H$37,MATCH(MIN(ABS(AI233-ICL3_classA!$F$2:$F$37)),ABS(AI233-ICL3_classA!$F$2:$F$37),0))</f>
        <v>22</v>
      </c>
      <c r="V233" s="1">
        <v>61</v>
      </c>
      <c r="W233" s="1">
        <v>31</v>
      </c>
      <c r="X233" s="108"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20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56</v>
      </c>
      <c r="AJ233" s="1">
        <f>VLOOKUP(A233,'SegEnds_NonXtal_Prot#'!A:AL,34,FALSE)-VLOOKUP(A233,'SegEnds_NonXtal_Prot#'!A:AL,31,FALSE)</f>
        <v>35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389</v>
      </c>
      <c r="B234" s="1" t="str">
        <f>VLOOKUP(A234,Xtal_Templ!B:C,2,FALSE)</f>
        <v>drd2_human</v>
      </c>
      <c r="C234" s="5">
        <f>VLOOKUP($B234&amp;"__wt",'SegEnds_Xtal_BW#'!$A:$Z,3,FALSE)</f>
        <v>29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62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v>35</v>
      </c>
      <c r="T234" s="1">
        <f t="array" ref="T234">INDEX(ICL3_classA!$G$2:$G$37,MATCH(MIN(ABS(AI234-ICL3_classA!$F$2:$F$37)),ABS(AI234-ICL3_classA!$F$2:$F$37),0))</f>
        <v>74</v>
      </c>
      <c r="U234" s="1">
        <f t="array" ref="U234">INDEX(ICL3_classA!$H$2:$H$37,MATCH(MIN(ABS(AI234-ICL3_classA!$F$2:$F$37)),ABS(AI234-ICL3_classA!$F$2:$F$37),0))</f>
        <v>21</v>
      </c>
      <c r="V234" s="1">
        <v>61</v>
      </c>
      <c r="W234" s="1">
        <v>31</v>
      </c>
      <c r="X234" s="108"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20</v>
      </c>
      <c r="AH234" s="1">
        <f>VLOOKUP(A234,'SegEnds_NonXtal_Prot#'!A:AL,28,FALSE)-VLOOKUP(A234,'SegEnds_NonXtal_Prot#'!A:AL,22,FALSE)</f>
        <v>53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35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390</v>
      </c>
      <c r="B235" s="1" t="str">
        <f>VLOOKUP(A235,Xtal_Templ!B:C,2,FALSE)</f>
        <v>5ht1b_human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68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7">
        <v>38</v>
      </c>
      <c r="P235" s="1">
        <f>VLOOKUP($B235&amp;"__wt",'SegEnds_Xtal_BW#'!$A:$Z,16,FALSE)</f>
        <v>63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v>35</v>
      </c>
      <c r="T235" s="1">
        <f t="array" ref="T235">INDEX(ICL3_classA!$G$2:$G$37,MATCH(MIN(ABS(AI235-ICL3_classA!$F$2:$F$37)),ABS(AI235-ICL3_classA!$F$2:$F$37),0))</f>
        <v>73</v>
      </c>
      <c r="U235" s="1">
        <f t="array" ref="U235">INDEX(ICL3_classA!$H$2:$H$37,MATCH(MIN(ABS(AI235-ICL3_classA!$F$2:$F$37)),ABS(AI235-ICL3_classA!$F$2:$F$37),0))</f>
        <v>22</v>
      </c>
      <c r="V235" s="1">
        <v>61</v>
      </c>
      <c r="W235" s="1">
        <v>31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58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19</v>
      </c>
      <c r="AH235" s="1">
        <f>VLOOKUP(A235,'SegEnds_NonXtal_Prot#'!A:AL,28,FALSE)-VLOOKUP(A235,'SegEnds_NonXtal_Prot#'!A:AL,22,FALSE)</f>
        <v>52</v>
      </c>
      <c r="AI235" s="1">
        <f>VLOOKUP(A235,'SegEnds_NonXtal_Prot#'!A:AL,31,FALSE)-VLOOKUP(A235,'SegEnds_NonXtal_Prot#'!A:AL,28,FALSE)</f>
        <v>56</v>
      </c>
      <c r="AJ235" s="1">
        <f>VLOOKUP(A235,'SegEnds_NonXtal_Prot#'!A:AL,34,FALSE)-VLOOKUP(A235,'SegEnds_NonXtal_Prot#'!A:AL,31,FALSE)</f>
        <v>35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391</v>
      </c>
      <c r="B236" s="1" t="str">
        <f>VLOOKUP(A236,Xtal_Templ!B:C,2,FALSE)</f>
        <v>5ht1b_human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68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v>38</v>
      </c>
      <c r="P236" s="1">
        <f>VLOOKUP($B236&amp;"__wt",'SegEnds_Xtal_BW#'!$A:$Z,16,FALSE)</f>
        <v>63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v>35</v>
      </c>
      <c r="T236" s="1">
        <f t="array" ref="T236">INDEX(ICL3_classA!$G$2:$G$37,MATCH(MIN(ABS(AI236-ICL3_classA!$F$2:$F$37)),ABS(AI236-ICL3_classA!$F$2:$F$37),0))</f>
        <v>74</v>
      </c>
      <c r="U236" s="1">
        <f t="array" ref="U236">INDEX(ICL3_classA!$H$2:$H$37,MATCH(MIN(ABS(AI236-ICL3_classA!$F$2:$F$37)),ABS(AI236-ICL3_classA!$F$2:$F$37),0))</f>
        <v>21</v>
      </c>
      <c r="V236" s="1">
        <v>61</v>
      </c>
      <c r="W236" s="1">
        <v>31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58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19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64</v>
      </c>
      <c r="AJ236" s="1">
        <f>VLOOKUP(A236,'SegEnds_NonXtal_Prot#'!A:AL,34,FALSE)-VLOOKUP(A236,'SegEnds_NonXtal_Prot#'!A:AL,31,FALSE)</f>
        <v>35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392</v>
      </c>
      <c r="B237" s="1" t="str">
        <f>VLOOKUP(A237,Xtal_Templ!B:C,2,FALSE)</f>
        <v>5ht1b_human</v>
      </c>
      <c r="C237" s="5">
        <f>VLOOKUP($B237&amp;"__wt",'SegEnds_Xtal_BW#'!$A:$Z,3,FALSE)</f>
        <v>28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63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INDEX(ICL3_classA!$G$2:$G$37,MATCH(MIN(ABS(AI237-ICL3_classA!$F$2:$F$37)),ABS(AI237-ICL3_classA!$F$2:$F$37),0))</f>
        <v>74</v>
      </c>
      <c r="U237" s="1">
        <f t="array" ref="U237">INDEX(ICL3_classA!$H$2:$H$37,MATCH(MIN(ABS(AI237-ICL3_classA!$F$2:$F$37)),ABS(AI237-ICL3_classA!$F$2:$F$37),0))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19</v>
      </c>
      <c r="AH237" s="1">
        <f>VLOOKUP(A237,'SegEnds_NonXtal_Prot#'!A:AL,28,FALSE)-VLOOKUP(A237,'SegEnds_NonXtal_Prot#'!A:AL,22,FALSE)</f>
        <v>52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393</v>
      </c>
      <c r="B238" s="1" t="str">
        <f>VLOOKUP(A238,Xtal_Templ!B:C,2,FALSE)</f>
        <v>5ht1b_human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v>38</v>
      </c>
      <c r="P238" s="1">
        <f>VLOOKUP($B238&amp;"__wt",'SegEnds_Xtal_BW#'!$A:$Z,16,FALSE)</f>
        <v>63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74</v>
      </c>
      <c r="U238" s="1">
        <f t="array" ref="U238">INDEX(ICL3_classA!$H$2:$H$37,MATCH(MIN(ABS(AI238-ICL3_classA!$F$2:$F$37)),ABS(AI238-ICL3_classA!$F$2:$F$37),0))</f>
        <v>21</v>
      </c>
      <c r="V238" s="1">
        <v>61</v>
      </c>
      <c r="W238" s="1">
        <v>31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58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19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64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394</v>
      </c>
      <c r="B239" s="1" t="str">
        <f>VLOOKUP(A239,Xtal_Templ!B:C,2,FALSE)</f>
        <v>oprx_human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76</v>
      </c>
      <c r="U239" s="1">
        <f t="array" ref="U239">INDEX(ICL3_classA!$H$2:$H$37,MATCH(MIN(ABS(AI239-ICL3_classA!$F$2:$F$37)),ABS(AI239-ICL3_classA!$F$2:$F$37),0))</f>
        <v>24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78</v>
      </c>
      <c r="AJ239" s="1">
        <f>VLOOKUP(A239,'SegEnds_NonXtal_Prot#'!A:AL,34,FALSE)-VLOOKUP(A239,'SegEnds_NonXtal_Prot#'!A:AL,31,FALSE)</f>
        <v>36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395</v>
      </c>
      <c r="B240" s="1" t="str">
        <f>VLOOKUP(A240,Xtal_Templ!B:C,2,FALSE)</f>
        <v>aa2ar_human</v>
      </c>
      <c r="C240" s="5">
        <f>VLOOKUP($B240&amp;"__wt",'SegEnds_Xtal_BW#'!$A:$Z,3,FALSE)</f>
        <v>27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f>VLOOKUP($B240&amp;"__wt",'SegEnds_Xtal_BW#'!$A:$Z,15,FALSE)</f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34</v>
      </c>
      <c r="T240" s="1">
        <f t="array" ref="T240">INDEX(ICL3_classA!$G$2:$G$37,MATCH(MIN(ABS(AI240-ICL3_classA!$F$2:$F$37)),ABS(AI240-ICL3_classA!$F$2:$F$37),0))</f>
        <v>67</v>
      </c>
      <c r="U240" s="1">
        <f t="array" ref="U240">INDEX(ICL3_classA!$H$2:$H$37,MATCH(MIN(ABS(AI240-ICL3_classA!$F$2:$F$37)),ABS(AI240-ICL3_classA!$F$2:$F$37),0))</f>
        <v>26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69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14</v>
      </c>
      <c r="AD240" s="1">
        <f>VLOOKUP(A240,'SegEnds_NonXtal_Prot#'!A:AL,13,FALSE)-VLOOKUP(A240,'SegEnds_NonXtal_Prot#'!A:AL,10,FALSE)</f>
        <v>28</v>
      </c>
      <c r="AE240" s="1">
        <f>VLOOKUP(A240,'SegEnds_NonXtal_Prot#'!A:AL,16,FALSE)-VLOOKUP(A240,'SegEnds_NonXtal_Prot#'!A:AL,10,FALSE)</f>
        <v>59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24</v>
      </c>
      <c r="AH240" s="1">
        <f>VLOOKUP(A240,'SegEnds_NonXtal_Prot#'!A:AL,28,FALSE)-VLOOKUP(A240,'SegEnds_NonXtal_Prot#'!A:AL,22,FALSE)</f>
        <v>47</v>
      </c>
      <c r="AI240" s="1">
        <f>VLOOKUP(A240,'SegEnds_NonXtal_Prot#'!A:AL,31,FALSE)-VLOOKUP(A240,'SegEnds_NonXtal_Prot#'!A:AL,28,FALSE)</f>
        <v>46</v>
      </c>
      <c r="AJ240" s="1">
        <f>VLOOKUP(A240,'SegEnds_NonXtal_Prot#'!A:AL,34,FALSE)-VLOOKUP(A240,'SegEnds_NonXtal_Prot#'!A:AL,31,FALSE)</f>
        <v>36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396</v>
      </c>
      <c r="B241" s="1" t="str">
        <f>VLOOKUP(A241,Xtal_Templ!B:C,2,FALSE)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21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08">
        <v>56</v>
      </c>
      <c r="O241" s="87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72</v>
      </c>
      <c r="U241" s="1">
        <f t="array" ref="U241">INDEX(ICL3_classA!$H$2:$H$37,MATCH(MIN(ABS(AI241-ICL3_classA!$F$2:$F$37)),ABS(AI241-ICL3_classA!$F$2:$F$37),0))</f>
        <v>29</v>
      </c>
      <c r="V241" s="1">
        <v>61</v>
      </c>
      <c r="W241" s="1">
        <v>28</v>
      </c>
      <c r="X241" s="108"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19</v>
      </c>
      <c r="AE241" s="1">
        <f>VLOOKUP(A241,'SegEnds_NonXtal_Prot#'!A:AL,16,FALSE)-VLOOKUP(A241,'SegEnds_NonXtal_Prot#'!A:AL,10,FALSE)</f>
        <v>51</v>
      </c>
      <c r="AF241" s="1">
        <f>VLOOKUP(A241,'SegEnds_NonXtal_Prot#'!A:AL,22,FALSE)-VLOOKUP(A241,'SegEnds_NonXtal_Prot#'!A:AL,19,FALSE)</f>
        <v>19</v>
      </c>
      <c r="AG241" s="1">
        <f>VLOOKUP(A241,'SegEnds_NonXtal_Prot#'!A:AL,28,FALSE)-VLOOKUP(A241,'SegEnds_NonXtal_Prot#'!A:AL,25,FALSE)</f>
        <v>24</v>
      </c>
      <c r="AH241" s="1">
        <f>VLOOKUP(A241,'SegEnds_NonXtal_Prot#'!A:AL,28,FALSE)-VLOOKUP(A241,'SegEnds_NonXtal_Prot#'!A:AL,22,FALSE)</f>
        <v>49</v>
      </c>
      <c r="AI241" s="1">
        <f>VLOOKUP(A241,'SegEnds_NonXtal_Prot#'!A:AL,31,FALSE)-VLOOKUP(A241,'SegEnds_NonXtal_Prot#'!A:AL,28,FALSE)</f>
        <v>50</v>
      </c>
      <c r="AJ241" s="1">
        <f>VLOOKUP(A241,'SegEnds_NonXtal_Prot#'!A:AL,34,FALSE)-VLOOKUP(A241,'SegEnds_NonXtal_Prot#'!A:AL,31,FALSE)</f>
        <v>39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924</v>
      </c>
      <c r="B242" s="1" t="str">
        <f>VLOOKUP(A242,Xtal_Templ!B:C,2,FALSE)</f>
        <v>us28_hcmva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 t="str">
        <f>VLOOKUP($B242&amp;"__wt",'SegEnds_Xtal_BW#'!$A:$Z,9,FALSE)</f>
        <v>-</v>
      </c>
      <c r="J242" s="1" t="str">
        <f>VLOOKUP($B242&amp;"__wt",'SegEnds_Xtal_BW#'!$A:$Z,10,FALSE)</f>
        <v>-</v>
      </c>
      <c r="K242" s="108">
        <v>21</v>
      </c>
      <c r="L242" s="1">
        <f>VLOOKUP($B242&amp;"__wt",'SegEnds_Xtal_BW#'!$A:$Z,12,FALSE)</f>
        <v>55</v>
      </c>
      <c r="M242" s="1" t="str">
        <f>VLOOKUP($B242&amp;"__wt",'SegEnds_Xtal_BW#'!$A:$Z,13,FALSE)</f>
        <v>-</v>
      </c>
      <c r="N242" s="12" t="str">
        <f>VLOOKUP($B242&amp;"__wt",'SegEnds_Xtal_BW#'!$A:$Z,14,FALSE)</f>
        <v>-</v>
      </c>
      <c r="O242" s="87">
        <f>VLOOKUP($B242&amp;"__wt",'SegEnds_Xtal_BW#'!$A:$Z,15,FALSE)</f>
        <v>38</v>
      </c>
      <c r="P242" s="1">
        <f>VLOOKUP($B242&amp;"__wt",'SegEnds_Xtal_BW#'!$A:$Z,16,FALSE)</f>
        <v>62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33</v>
      </c>
      <c r="T242" s="1">
        <f t="array" ref="T242">INDEX(ICL3_classA!$G$2:$G$37,MATCH(MIN(ABS(AI242-ICL3_classA!$F$2:$F$37)),ABS(AI242-ICL3_classA!$F$2:$F$37),0))</f>
        <v>68</v>
      </c>
      <c r="U242" s="1">
        <v>29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62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 t="e">
        <f>VLOOKUP(A242,'SegEnds_NonXtal_Prot#'!A:AL,13,FALSE)-VLOOKUP(A242,'SegEnds_NonXtal_Prot#'!A:AL,10,FALSE)</f>
        <v>#VALUE!</v>
      </c>
      <c r="AE242" s="1">
        <f>VLOOKUP(A242,'SegEnds_NonXtal_Prot#'!A:AL,16,FALSE)-VLOOKUP(A242,'SegEnds_NonXtal_Prot#'!A:AL,10,FALSE)</f>
        <v>50</v>
      </c>
      <c r="AF242" s="1" t="e">
        <f>VLOOKUP(A242,'SegEnds_NonXtal_Prot#'!A:AL,22,FALSE)-VLOOKUP(A242,'SegEnds_NonXtal_Prot#'!A:AL,19,FALSE)</f>
        <v>#VALUE!</v>
      </c>
      <c r="AG242" s="1">
        <f>VLOOKUP(A242,'SegEnds_NonXtal_Prot#'!A:AL,28,FALSE)-VLOOKUP(A242,'SegEnds_NonXtal_Prot#'!A:AL,25,FALSE)</f>
        <v>27</v>
      </c>
      <c r="AH242" s="1">
        <f>VLOOKUP(A242,'SegEnds_NonXtal_Prot#'!A:AL,28,FALSE)-VLOOKUP(A242,'SegEnds_NonXtal_Prot#'!A:AL,22,FALSE)</f>
        <v>48</v>
      </c>
      <c r="AI242" s="1">
        <f>VLOOKUP(A242,'SegEnds_NonXtal_Prot#'!A:AL,31,FALSE)-VLOOKUP(A242,'SegEnds_NonXtal_Prot#'!A:AL,28,FALSE)</f>
        <v>43</v>
      </c>
      <c r="AJ242" s="1">
        <f>VLOOKUP(A242,'SegEnds_NonXtal_Prot#'!A:AL,34,FALSE)-VLOOKUP(A242,'SegEnds_NonXtal_Prot#'!A:AL,31,FALSE)</f>
        <v>45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" t="s">
        <v>397</v>
      </c>
      <c r="B243" s="1" t="str">
        <f>VLOOKUP(A243,Xtal_Templ!B:C,2,FALSE)</f>
        <v>ox2r_human</v>
      </c>
      <c r="C243" s="5">
        <f>VLOOKUP($B243&amp;"__wt",'SegEnds_Xtal_BW#'!$A:$Z,3,FALSE)</f>
        <v>31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08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08">
        <v>56</v>
      </c>
      <c r="O243" s="87">
        <f>VLOOKUP($B243&amp;"__wt",'SegEnds_Xtal_BW#'!$A:$Z,15,FALSE)</f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33</v>
      </c>
      <c r="T243" s="1">
        <f t="array" ref="T243">INDEX(ICL3_classA!$G$2:$G$37,MATCH(MIN(ABS(AI243-ICL3_classA!$F$2:$F$37)),ABS(AI243-ICL3_classA!$F$2:$F$37),0))</f>
        <v>76</v>
      </c>
      <c r="U243" s="1">
        <f t="array" ref="U243">INDEX(ICL3_classA!$H$2:$H$37,MATCH(MIN(ABS(AI243-ICL3_classA!$F$2:$F$37)),ABS(AI243-ICL3_classA!$F$2:$F$37),0))</f>
        <v>24</v>
      </c>
      <c r="V243" s="1">
        <v>61</v>
      </c>
      <c r="W243" s="1">
        <v>28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18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19</v>
      </c>
      <c r="AG243" s="1">
        <f>VLOOKUP(A243,'SegEnds_NonXtal_Prot#'!A:AL,28,FALSE)-VLOOKUP(A243,'SegEnds_NonXtal_Prot#'!A:AL,25,FALSE)</f>
        <v>25</v>
      </c>
      <c r="AH243" s="1">
        <f>VLOOKUP(A243,'SegEnds_NonXtal_Prot#'!A:AL,28,FALSE)-VLOOKUP(A243,'SegEnds_NonXtal_Prot#'!A:AL,22,FALSE)</f>
        <v>53</v>
      </c>
      <c r="AI243" s="1">
        <f>VLOOKUP(A243,'SegEnds_NonXtal_Prot#'!A:AL,31,FALSE)-VLOOKUP(A243,'SegEnds_NonXtal_Prot#'!A:AL,28,FALSE)</f>
        <v>78</v>
      </c>
      <c r="AJ243" s="1">
        <f>VLOOKUP(A243,'SegEnds_NonXtal_Prot#'!A:AL,34,FALSE)-VLOOKUP(A243,'SegEnds_NonXtal_Prot#'!A:AL,31,FALSE)</f>
        <v>39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398</v>
      </c>
      <c r="B244" s="1" t="str">
        <f>VLOOKUP(A244,Xtal_Templ!B:C,2,FALSE)</f>
        <v>ntr1_rat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08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08">
        <v>56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32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28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19</v>
      </c>
      <c r="AG244" s="1">
        <f>VLOOKUP(A244,'SegEnds_NonXtal_Prot#'!A:AL,28,FALSE)-VLOOKUP(A244,'SegEnds_NonXtal_Prot#'!A:AL,25,FALSE)</f>
        <v>25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85</v>
      </c>
      <c r="AJ244" s="1">
        <f>VLOOKUP(A244,'SegEnds_NonXtal_Prot#'!A:AL,34,FALSE)-VLOOKUP(A244,'SegEnds_NonXtal_Prot#'!A:AL,31,FALSE)</f>
        <v>39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400</v>
      </c>
      <c r="B245" s="1" t="str">
        <f>VLOOKUP(A245,Xtal_Templ!B:C,2,FALSE)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50</v>
      </c>
      <c r="AF245" s="1">
        <f>VLOOKUP(A245,'SegEnds_NonXtal_Prot#'!A:AL,22,FALSE)-VLOOKUP(A245,'SegEnds_NonXtal_Prot#'!A:AL,19,FALSE)</f>
        <v>20</v>
      </c>
      <c r="AG245" s="1">
        <f>VLOOKUP(A245,'SegEnds_NonXtal_Prot#'!A:AL,28,FALSE)-VLOOKUP(A245,'SegEnds_NonXtal_Prot#'!A:AL,25,FALSE)</f>
        <v>22</v>
      </c>
      <c r="AH245" s="1">
        <f>VLOOKUP(A245,'SegEnds_NonXtal_Prot#'!A:AL,28,FALSE)-VLOOKUP(A245,'SegEnds_NonXtal_Prot#'!A:AL,22,FALSE)</f>
        <v>43</v>
      </c>
      <c r="AI245" s="1">
        <f>VLOOKUP(A245,'SegEnds_NonXtal_Prot#'!A:AL,31,FALSE)-VLOOKUP(A245,'SegEnds_NonXtal_Prot#'!A:AL,28,FALSE)</f>
        <v>43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134</v>
      </c>
      <c r="B246" s="1" t="str">
        <f>VLOOKUP(A246,Xtal_Templ!B:C,2,FALSE)</f>
        <v>adrb2_human</v>
      </c>
      <c r="C246" s="5">
        <f>VLOOKUP($B246&amp;"__wt",'SegEnds_Xtal_BW#'!$A:$Z,3,FALSE)</f>
        <v>25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35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">
        <v>31</v>
      </c>
      <c r="X246" s="129"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29</v>
      </c>
      <c r="AC246" s="1">
        <f>VLOOKUP(A246,'SegEnds_NonXtal_Prot#'!A:AL,10,FALSE)-VLOOKUP(A246,'SegEnds_NonXtal_Prot#'!A:AL,7,FALSE)</f>
        <v>16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20</v>
      </c>
      <c r="AH246" s="1">
        <f>VLOOKUP(A246,'SegEnds_NonXtal_Prot#'!A:AL,28,FALSE)-VLOOKUP(A246,'SegEnds_NonXtal_Prot#'!A:AL,22,FALSE)</f>
        <v>58</v>
      </c>
      <c r="AI246" s="1">
        <f>VLOOKUP(A246,'SegEnds_NonXtal_Prot#'!A:AL,31,FALSE)-VLOOKUP(A246,'SegEnds_NonXtal_Prot#'!A:AL,28,FALSE)</f>
        <v>70</v>
      </c>
      <c r="AJ246" s="1">
        <f>VLOOKUP(A246,'SegEnds_NonXtal_Prot#'!A:AL,34,FALSE)-VLOOKUP(A246,'SegEnds_NonXtal_Prot#'!A:AL,31,FALSE)</f>
        <v>35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160</v>
      </c>
      <c r="B247" s="1" t="str">
        <f>VLOOKUP(A247,Xtal_Templ!B:C,2,FALSE)</f>
        <v>apj_human</v>
      </c>
      <c r="C247" s="5">
        <f>VLOOKUP($B247&amp;"__wt",'SegEnds_Xtal_BW#'!$A:$Z,3,FALSE)</f>
        <v>33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52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f>VLOOKUP($B247&amp;"__wt",'SegEnds_Xtal_BW#'!$A:$Z,14,FALSE)</f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72</v>
      </c>
      <c r="U247" s="1">
        <f t="array" ref="U247">INDEX(ICL3_classA!$H$2:$H$37,MATCH(MIN(ABS(AI247-ICL3_classA!$F$2:$F$37)),ABS(AI247-ICL3_classA!$F$2:$F$37),0))</f>
        <v>29</v>
      </c>
      <c r="V247" s="108">
        <v>63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61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29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32</v>
      </c>
      <c r="AH247" s="1">
        <f>VLOOKUP(A247,'SegEnds_NonXtal_Prot#'!A:AL,28,FALSE)-VLOOKUP(A247,'SegEnds_NonXtal_Prot#'!A:AL,22,FALSE)</f>
        <v>59</v>
      </c>
      <c r="AI247" s="1">
        <f>VLOOKUP(A247,'SegEnds_NonXtal_Prot#'!A:AL,31,FALSE)-VLOOKUP(A247,'SegEnds_NonXtal_Prot#'!A:AL,28,FALSE)</f>
        <v>50</v>
      </c>
      <c r="AJ247" s="1">
        <f>VLOOKUP(A247,'SegEnds_NonXtal_Prot#'!A:AL,34,FALSE)-VLOOKUP(A247,'SegEnds_NonXtal_Prot#'!A:AL,31,FALSE)</f>
        <v>43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Xtal</v>
      </c>
    </row>
    <row r="248" spans="1:38" x14ac:dyDescent="0.2">
      <c r="A248" s="1" t="s">
        <v>169</v>
      </c>
      <c r="B248" s="1" t="str">
        <f>VLOOKUP(A248,Xtal_Templ!B:C,2,FALSE)</f>
        <v>ccr9_human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f>VLOOKUP($B248&amp;"__wt",'SegEnds_Xtal_BW#'!$A:$Z,14,FALSE)</f>
        <v>56</v>
      </c>
      <c r="O248" s="87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33</v>
      </c>
      <c r="T248" s="1">
        <f t="array" ref="T248">INDEX(ICL3_classA!$G$2:$G$37,MATCH(MIN(ABS(AI248-ICL3_classA!$F$2:$F$37)),ABS(AI248-ICL3_classA!$F$2:$F$37),0))</f>
        <v>68</v>
      </c>
      <c r="U248" s="1">
        <f t="array" ref="U248">INDEX(ICL3_classA!$H$2:$H$37,MATCH(MIN(ABS(AI248-ICL3_classA!$F$2:$F$37)),ABS(AI248-ICL3_classA!$F$2:$F$37),0))</f>
        <v>30</v>
      </c>
      <c r="V248" s="1">
        <v>65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29</v>
      </c>
      <c r="AC248" s="1">
        <f>VLOOKUP(A248,'SegEnds_NonXtal_Prot#'!A:AL,10,FALSE)-VLOOKUP(A248,'SegEnds_NonXtal_Prot#'!A:AL,7,FALSE)</f>
        <v>16</v>
      </c>
      <c r="AD248" s="1">
        <f>VLOOKUP(A248,'SegEnds_NonXtal_Prot#'!A:AL,13,FALSE)-VLOOKUP(A248,'SegEnds_NonXtal_Prot#'!A:AL,10,FALSE)</f>
        <v>18</v>
      </c>
      <c r="AE248" s="1">
        <f>VLOOKUP(A248,'SegEnds_NonXtal_Prot#'!A:AL,16,FALSE)-VLOOKUP(A248,'SegEnds_NonXtal_Prot#'!A:AL,10,FALSE)</f>
        <v>50</v>
      </c>
      <c r="AF248" s="1" t="e">
        <f>VLOOKUP(A248,'SegEnds_NonXtal_Prot#'!A:AL,22,FALSE)-VLOOKUP(A248,'SegEnds_NonXtal_Prot#'!A:AL,19,FALSE)</f>
        <v>#VALUE!</v>
      </c>
      <c r="AG248" s="1">
        <f>VLOOKUP(A248,'SegEnds_NonXtal_Prot#'!A:AL,28,FALSE)-VLOOKUP(A248,'SegEnds_NonXtal_Prot#'!A:AL,25,FALSE)</f>
        <v>28</v>
      </c>
      <c r="AH248" s="1">
        <f>VLOOKUP(A248,'SegEnds_NonXtal_Prot#'!A:AL,28,FALSE)-VLOOKUP(A248,'SegEnds_NonXtal_Prot#'!A:AL,22,FALSE)</f>
        <v>53</v>
      </c>
      <c r="AI248" s="1">
        <f>VLOOKUP(A248,'SegEnds_NonXtal_Prot#'!A:AL,31,FALSE)-VLOOKUP(A248,'SegEnds_NonXtal_Prot#'!A:AL,28,FALSE)</f>
        <v>43</v>
      </c>
      <c r="AJ248" s="1">
        <f>VLOOKUP(A248,'SegEnds_NonXtal_Prot#'!A:AL,34,FALSE)-VLOOKUP(A248,'SegEnds_NonXtal_Prot#'!A:AL,31,FALSE)</f>
        <v>45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182</v>
      </c>
      <c r="B249" s="1" t="str">
        <f>VLOOKUP(A249,Xtal_Templ!B:C,2,FALSE)</f>
        <v>cnr1_human</v>
      </c>
      <c r="C249" s="5">
        <f>VLOOKUP($B249&amp;"__wt",'SegEnds_Xtal_BW#'!$A:$Z,3,FALSE)</f>
        <v>28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f>VLOOKUP($B249&amp;"__wt",'SegEnds_Xtal_BW#'!$A:$Z,7,FALSE)</f>
        <v>37</v>
      </c>
      <c r="H249" s="12">
        <f>VLOOKUP($B249&amp;"__wt",'SegEnds_Xtal_BW#'!$A:$Z,8,FALSE)</f>
        <v>66</v>
      </c>
      <c r="I249" s="1" t="str">
        <f>VLOOKUP($B249&amp;"__wt",'SegEnds_Xtal_BW#'!$A:$Z,9,FALSE)</f>
        <v>-</v>
      </c>
      <c r="J249" s="1" t="str">
        <f>VLOOKUP($B249&amp;"__wt",'SegEnds_Xtal_BW#'!$A:$Z,10,FALSE)</f>
        <v>-</v>
      </c>
      <c r="K249" s="12">
        <f>VLOOKUP($B249&amp;"__wt",'SegEnds_Xtal_BW#'!$A:$Z,11,FALSE)</f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63</v>
      </c>
      <c r="Q249" s="1" t="str">
        <f>VLOOKUP($B249&amp;"__wt",'SegEnds_Xtal_BW#'!$A:$Z,17,FALSE)</f>
        <v>-</v>
      </c>
      <c r="R249" s="1" t="str">
        <f>VLOOKUP($B249&amp;"__wt",'SegEnds_Xtal_BW#'!$A:$Z,18,FALSE)</f>
        <v>-</v>
      </c>
      <c r="S249" s="1">
        <f>VLOOKUP($B249&amp;"__wt",'SegEnds_Xtal_BW#'!$A:$Z,19,FALSE)</f>
        <v>36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f>VLOOKUP($B249&amp;"__wt",'SegEnds_Xtal_BW#'!$A:$Z,22,FALSE)</f>
        <v>61</v>
      </c>
      <c r="W249" s="1">
        <f>VLOOKUP($B249&amp;"__wt",'SegEnds_Xtal_BW#'!$A:$Z,23,FALSE)</f>
        <v>28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29</v>
      </c>
      <c r="AC249" s="1">
        <f>VLOOKUP(A249,'SegEnds_NonXtal_Prot#'!A:AL,10,FALSE)-VLOOKUP(A249,'SegEnds_NonXtal_Prot#'!A:AL,7,FALSE)</f>
        <v>16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20</v>
      </c>
      <c r="AG249" s="1" t="e">
        <f>VLOOKUP(A249,'SegEnds_NonXtal_Prot#'!A:AL,28,FALSE)-VLOOKUP(A249,'SegEnds_NonXtal_Prot#'!A:AL,25,FALSE)</f>
        <v>#VALUE!</v>
      </c>
      <c r="AH249" s="1">
        <f>VLOOKUP(A249,'SegEnds_NonXtal_Prot#'!A:AL,28,FALSE)-VLOOKUP(A249,'SegEnds_NonXtal_Prot#'!A:AL,22,FALSE)</f>
        <v>45</v>
      </c>
      <c r="AI249" s="1">
        <f>VLOOKUP(A249,'SegEnds_NonXtal_Prot#'!A:AL,31,FALSE)-VLOOKUP(A249,'SegEnds_NonXtal_Prot#'!A:AL,28,FALSE)</f>
        <v>72</v>
      </c>
      <c r="AJ249" s="1">
        <f>VLOOKUP(A249,'SegEnds_NonXtal_Prot#'!A:AL,34,FALSE)-VLOOKUP(A249,'SegEnds_NonXtal_Prot#'!A:AL,31,FALSE)</f>
        <v>36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183</v>
      </c>
      <c r="B250" s="1" t="str">
        <f>VLOOKUP(A250,Xtal_Templ!B:C,2,FALSE)</f>
        <v>cnr1_human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66</v>
      </c>
      <c r="I250" s="1">
        <v>48</v>
      </c>
      <c r="J250" s="1">
        <v>52</v>
      </c>
      <c r="K250" s="12">
        <v>21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63</v>
      </c>
      <c r="Q250" s="1" t="str">
        <f>VLOOKUP($B250&amp;"__wt",'SegEnds_Xtal_BW#'!$A:$Z,17,FALSE)</f>
        <v>-</v>
      </c>
      <c r="R250" s="1" t="str">
        <f>VLOOKUP($B250&amp;"__wt",'SegEnds_Xtal_BW#'!$A:$Z,18,FALSE)</f>
        <v>-</v>
      </c>
      <c r="S250" s="1">
        <f>VLOOKUP($B250&amp;"__wt",'SegEnds_Xtal_BW#'!$A:$Z,19,FALSE)</f>
        <v>36</v>
      </c>
      <c r="T250" s="1">
        <f t="array" ref="T250">INDEX(ICL3_classA!$G$2:$G$37,MATCH(MIN(ABS(AI250-ICL3_classA!$F$2:$F$37)),ABS(AI250-ICL3_classA!$F$2:$F$37),0))</f>
        <v>74</v>
      </c>
      <c r="U250" s="1">
        <f t="array" ref="U250">INDEX(ICL3_classA!$H$2:$H$37,MATCH(MIN(ABS(AI250-ICL3_classA!$F$2:$F$37)),ABS(AI250-ICL3_classA!$F$2:$F$37),0))</f>
        <v>21</v>
      </c>
      <c r="V250" s="1">
        <f>VLOOKUP($B250&amp;"__wt",'SegEnds_Xtal_BW#'!$A:$Z,22,FALSE)</f>
        <v>61</v>
      </c>
      <c r="W250" s="1">
        <v>31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29</v>
      </c>
      <c r="AC250" s="1">
        <f>VLOOKUP(A250,'SegEnds_NonXtal_Prot#'!A:AL,10,FALSE)-VLOOKUP(A250,'SegEnds_NonXtal_Prot#'!A:AL,7,FALSE)</f>
        <v>16</v>
      </c>
      <c r="AD250" s="1" t="e">
        <f>VLOOKUP(A250,'SegEnds_NonXtal_Prot#'!A:AL,13,FALSE)-VLOOKUP(A250,'SegEnds_NonXtal_Prot#'!A:AL,10,FALSE)</f>
        <v>#VALUE!</v>
      </c>
      <c r="AE250" s="1">
        <f>VLOOKUP(A250,'SegEnds_NonXtal_Prot#'!A:AL,16,FALSE)-VLOOKUP(A250,'SegEnds_NonXtal_Prot#'!A:AL,10,FALSE)</f>
        <v>51</v>
      </c>
      <c r="AF250" s="1">
        <f>VLOOKUP(A250,'SegEnds_NonXtal_Prot#'!A:AL,22,FALSE)-VLOOKUP(A250,'SegEnds_NonXtal_Prot#'!A:AL,19,FALSE)</f>
        <v>20</v>
      </c>
      <c r="AG250" s="1" t="e">
        <f>VLOOKUP(A250,'SegEnds_NonXtal_Prot#'!A:AL,28,FALSE)-VLOOKUP(A250,'SegEnds_NonXtal_Prot#'!A:AL,25,FALSE)</f>
        <v>#VALUE!</v>
      </c>
      <c r="AH250" s="1">
        <f>VLOOKUP(A250,'SegEnds_NonXtal_Prot#'!A:AL,28,FALSE)-VLOOKUP(A250,'SegEnds_NonXtal_Prot#'!A:AL,22,FALSE)</f>
        <v>43</v>
      </c>
      <c r="AI250" s="1">
        <f>VLOOKUP(A250,'SegEnds_NonXtal_Prot#'!A:AL,31,FALSE)-VLOOKUP(A250,'SegEnds_NonXtal_Prot#'!A:AL,28,FALSE)</f>
        <v>59</v>
      </c>
      <c r="AJ250" s="1">
        <f>VLOOKUP(A250,'SegEnds_NonXtal_Prot#'!A:AL,34,FALSE)-VLOOKUP(A250,'SegEnds_NonXtal_Prot#'!A:AL,31,FALSE)</f>
        <v>36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190</v>
      </c>
      <c r="B251" s="1" t="str">
        <f>VLOOKUP(A251,Xtal_Templ!B:C,2,FALSE)</f>
        <v>adrb2_human</v>
      </c>
      <c r="C251" s="5">
        <f>VLOOKUP($B251&amp;"__wt",'SegEnds_Xtal_BW#'!$A:$Z,3,FALSE)</f>
        <v>25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INDEX(ICL3_classA!$G$2:$G$37,MATCH(MIN(ABS(AI251-ICL3_classA!$F$2:$F$37)),ABS(AI251-ICL3_classA!$F$2:$F$37),0))</f>
        <v>76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28</v>
      </c>
      <c r="X251" s="1">
        <f>VLOOKUP($B251&amp;"__wt",'SegEnds_Xtal_BW#'!$A:$Z,24,FALSE)</f>
        <v>55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29</v>
      </c>
      <c r="AC251" s="1">
        <f>VLOOKUP(A251,'SegEnds_NonXtal_Prot#'!A:AL,10,FALSE)-VLOOKUP(A251,'SegEnds_NonXtal_Prot#'!A:AL,7,FALSE)</f>
        <v>16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51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58</v>
      </c>
      <c r="AI251" s="1">
        <f>VLOOKUP(A251,'SegEnds_NonXtal_Prot#'!A:AL,31,FALSE)-VLOOKUP(A251,'SegEnds_NonXtal_Prot#'!A:AL,28,FALSE)</f>
        <v>81</v>
      </c>
      <c r="AJ251" s="1">
        <f>VLOOKUP(A251,'SegEnds_NonXtal_Prot#'!A:AL,34,FALSE)-VLOOKUP(A251,'SegEnds_NonXtal_Prot#'!A:AL,31,FALSE)</f>
        <v>41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194</v>
      </c>
      <c r="B252" s="1" t="str">
        <f>VLOOKUP(A252,Xtal_Templ!B:C,2,FALSE)</f>
        <v>adrb2_human</v>
      </c>
      <c r="C252" s="5">
        <f>VLOOKUP($B252&amp;"__wt",'SegEnds_Xtal_BW#'!$A:$Z,3,FALSE)</f>
        <v>25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21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64</v>
      </c>
      <c r="W252" s="1">
        <v>24</v>
      </c>
      <c r="X252" s="129"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29</v>
      </c>
      <c r="AC252" s="1">
        <f>VLOOKUP(A252,'SegEnds_NonXtal_Prot#'!A:AL,10,FALSE)-VLOOKUP(A252,'SegEnds_NonXtal_Prot#'!A:AL,7,FALSE)</f>
        <v>16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51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72</v>
      </c>
      <c r="AI252" s="1">
        <f>VLOOKUP(A252,'SegEnds_NonXtal_Prot#'!A:AL,31,FALSE)-VLOOKUP(A252,'SegEnds_NonXtal_Prot#'!A:AL,28,FALSE)</f>
        <v>74</v>
      </c>
      <c r="AJ252" s="1">
        <f>VLOOKUP(A252,'SegEnds_NonXtal_Prot#'!A:AL,34,FALSE)-VLOOKUP(A252,'SegEnds_NonXtal_Prot#'!A:AL,31,FALSE)</f>
        <v>45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1173</v>
      </c>
      <c r="B253" s="1" t="str">
        <f>VLOOKUP(A253,Xtal_Templ!B:C,2,FALSE)</f>
        <v>ffar1_human</v>
      </c>
      <c r="C253" s="5">
        <f>VLOOKUP($B253&amp;"__wt",'SegEnds_Xtal_BW#'!$A:$Z,3,FALSE)</f>
        <v>31</v>
      </c>
      <c r="D253" s="1">
        <f>VLOOKUP($B253&amp;"__wt",'SegEnds_Xtal_BW#'!$A:$Z,4,FALSE)</f>
        <v>64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57</v>
      </c>
      <c r="O253" s="87">
        <f>VLOOKUP($B253&amp;"__wt",'SegEnds_Xtal_BW#'!$A:$Z,15,FALSE)</f>
        <v>38</v>
      </c>
      <c r="P253" s="1">
        <f>VLOOKUP($B253&amp;"__wt",'SegEnds_Xtal_BW#'!$A:$Z,16,FALSE)</f>
        <v>65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31</v>
      </c>
      <c r="T253" s="1">
        <f t="array" ref="T253">INDEX(ICL3_classA!$G$2:$G$37,MATCH(MIN(ABS(AI253-ICL3_classA!$F$2:$F$37)),ABS(AI253-ICL3_classA!$F$2:$F$37),0))</f>
        <v>67</v>
      </c>
      <c r="U253" s="1">
        <f t="array" ref="U253">INDEX(ICL3_classA!$H$2:$H$37,MATCH(MIN(ABS(AI253-ICL3_classA!$F$2:$F$37)),ABS(AI253-ICL3_classA!$F$2:$F$37),0))</f>
        <v>28</v>
      </c>
      <c r="V253" s="1">
        <v>61</v>
      </c>
      <c r="W253" s="1">
        <v>32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61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29</v>
      </c>
      <c r="AC253" s="1" t="e">
        <f>VLOOKUP(A253,'SegEnds_NonXtal_Prot#'!A:AL,10,FALSE)-VLOOKUP(A253,'SegEnds_NonXtal_Prot#'!A:AL,7,FALSE)</f>
        <v>#VALUE!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24</v>
      </c>
      <c r="AH253" s="1">
        <f>VLOOKUP(A253,'SegEnds_NonXtal_Prot#'!A:AL,28,FALSE)-VLOOKUP(A253,'SegEnds_NonXtal_Prot#'!A:AL,22,FALSE)</f>
        <v>63</v>
      </c>
      <c r="AI253" s="1">
        <f>VLOOKUP(A253,'SegEnds_NonXtal_Prot#'!A:AL,31,FALSE)-VLOOKUP(A253,'SegEnds_NonXtal_Prot#'!A:AL,28,FALSE)</f>
        <v>45</v>
      </c>
      <c r="AJ253" s="1">
        <f>VLOOKUP(A253,'SegEnds_NonXtal_Prot#'!A:AL,34,FALSE)-VLOOKUP(A253,'SegEnds_NonXtal_Prot#'!A:AL,31,FALSE)</f>
        <v>34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199</v>
      </c>
      <c r="B254" s="1" t="str">
        <f>VLOOKUP(A254,Xtal_Templ!B:C,2,FALSE)</f>
        <v>par1_human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32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28</v>
      </c>
      <c r="V254" s="1">
        <v>61</v>
      </c>
      <c r="W254" s="1">
        <v>33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29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27</v>
      </c>
      <c r="AH254" s="1">
        <f>VLOOKUP(A254,'SegEnds_NonXtal_Prot#'!A:AL,28,FALSE)-VLOOKUP(A254,'SegEnds_NonXtal_Prot#'!A:AL,22,FALSE)</f>
        <v>56</v>
      </c>
      <c r="AI254" s="1">
        <f>VLOOKUP(A254,'SegEnds_NonXtal_Prot#'!A:AL,31,FALSE)-VLOOKUP(A254,'SegEnds_NonXtal_Prot#'!A:AL,28,FALSE)</f>
        <v>44</v>
      </c>
      <c r="AJ254" s="1">
        <f>VLOOKUP(A254,'SegEnds_NonXtal_Prot#'!A:AL,34,FALSE)-VLOOKUP(A254,'SegEnds_NonXtal_Prot#'!A:AL,31,FALSE)</f>
        <v>33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213</v>
      </c>
      <c r="B255" s="1" t="str">
        <f>VLOOKUP(A255,Xtal_Templ!B:C,2,FALSE)</f>
        <v>acm1_human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08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69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INDEX(ICL3_classA!$G$2:$G$37,MATCH(MIN(ABS(AI255-ICL3_classA!$F$2:$F$37)),ABS(AI255-ICL3_classA!$F$2:$F$37),0))</f>
        <v>74</v>
      </c>
      <c r="U255" s="1">
        <f t="array" ref="U255">INDEX(ICL3_classA!$H$2:$H$37,MATCH(MIN(ABS(AI255-ICL3_classA!$F$2:$F$37)),ABS(AI255-ICL3_classA!$F$2:$F$37),0))</f>
        <v>21</v>
      </c>
      <c r="V255" s="1"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29</v>
      </c>
      <c r="AC255" s="1" t="e">
        <f>VLOOKUP(A255,'SegEnds_NonXtal_Prot#'!A:AL,10,FALSE)-VLOOKUP(A255,'SegEnds_NonXtal_Prot#'!A:AL,7,FALSE)</f>
        <v>#VALUE!</v>
      </c>
      <c r="AD255" s="1" t="e">
        <f>VLOOKUP(A255,'SegEnds_NonXtal_Prot#'!A:AL,13,FALSE)-VLOOKUP(A255,'SegEnds_NonXtal_Prot#'!A:AL,10,FALSE)</f>
        <v>#VALUE!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21</v>
      </c>
      <c r="AH255" s="1">
        <f>VLOOKUP(A255,'SegEnds_NonXtal_Prot#'!A:AL,28,FALSE)-VLOOKUP(A255,'SegEnds_NonXtal_Prot#'!A:AL,22,FALSE)</f>
        <v>46</v>
      </c>
      <c r="AI255" s="1">
        <f>VLOOKUP(A255,'SegEnds_NonXtal_Prot#'!A:AL,31,FALSE)-VLOOKUP(A255,'SegEnds_NonXtal_Prot#'!A:AL,28,FALSE)</f>
        <v>64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216</v>
      </c>
      <c r="B256" s="1" t="str">
        <f>VLOOKUP(A256,Xtal_Templ!B:C,2,FALSE)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61</v>
      </c>
      <c r="W256" s="1">
        <v>28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218</v>
      </c>
      <c r="B257" s="1" t="str">
        <f>VLOOKUP(A257,Xtal_Templ!B:C,2,FALSE)</f>
        <v>5ht2c_human</v>
      </c>
      <c r="C257" s="5">
        <f>VLOOKUP($B257&amp;"__wt",'SegEnds_Xtal_BW#'!$A:$Z,3,FALSE)</f>
        <v>33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87">
        <f>VLOOKUP($B257&amp;"__wt",'SegEnds_Xtal_BW#'!$A:$Z,15,FALSE)</f>
        <v>38</v>
      </c>
      <c r="P257" s="1">
        <f>VLOOKUP($B257&amp;"__wt",'SegEnds_Xtal_BW#'!$A:$Z,16,FALSE)</f>
        <v>67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INDEX(ICL3_classA!$G$2:$G$37,MATCH(MIN(ABS(AI257-ICL3_classA!$F$2:$F$37)),ABS(AI257-ICL3_classA!$F$2:$F$37),0))</f>
        <v>67</v>
      </c>
      <c r="U257" s="1">
        <f t="array" ref="U257">INDEX(ICL3_classA!$H$2:$H$37,MATCH(MIN(ABS(AI257-ICL3_classA!$F$2:$F$37)),ABS(AI257-ICL3_classA!$F$2:$F$37),0))</f>
        <v>26</v>
      </c>
      <c r="V257" s="1">
        <v>61</v>
      </c>
      <c r="W257" s="1">
        <v>28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60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220</v>
      </c>
      <c r="B258" s="1" t="str">
        <f>VLOOKUP(A258,Xtal_Templ!B:C,2,FALSE)</f>
        <v>5ht1b_human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24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v>38</v>
      </c>
      <c r="P258" s="1">
        <f>VLOOKUP($B258&amp;"__wt",'SegEnds_Xtal_BW#'!$A:$Z,16,FALSE)</f>
        <v>63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58</v>
      </c>
      <c r="W258" s="1">
        <v>36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58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29</v>
      </c>
      <c r="AC258" s="1">
        <f>VLOOKUP(A258,'SegEnds_NonXtal_Prot#'!A:AL,10,FALSE)-VLOOKUP(A258,'SegEnds_NonXtal_Prot#'!A:AL,7,FALSE)</f>
        <v>16</v>
      </c>
      <c r="AD258" s="1">
        <f>VLOOKUP(A258,'SegEnds_NonXtal_Prot#'!A:AL,13,FALSE)-VLOOKUP(A258,'SegEnds_NonXtal_Prot#'!A:AL,10,FALSE)</f>
        <v>18</v>
      </c>
      <c r="AE258" s="1">
        <f>VLOOKUP(A258,'SegEnds_NonXtal_Prot#'!A:AL,16,FALSE)-VLOOKUP(A258,'SegEnds_NonXtal_Prot#'!A:AL,10,FALSE)</f>
        <v>50</v>
      </c>
      <c r="AF258" s="1">
        <f>VLOOKUP(A258,'SegEnds_NonXtal_Prot#'!A:AL,22,FALSE)-VLOOKUP(A258,'SegEnds_NonXtal_Prot#'!A:AL,19,FALSE)</f>
        <v>20</v>
      </c>
      <c r="AG258" s="1" t="e">
        <f>VLOOKUP(A258,'SegEnds_NonXtal_Prot#'!A:AL,28,FALSE)-VLOOKUP(A258,'SegEnds_NonXtal_Prot#'!A:AL,25,FALSE)</f>
        <v>#VALUE!</v>
      </c>
      <c r="AH258" s="1">
        <f>VLOOKUP(A258,'SegEnds_NonXtal_Prot#'!A:AL,28,FALSE)-VLOOKUP(A258,'SegEnds_NonXtal_Prot#'!A:AL,22,FALSE)</f>
        <v>38</v>
      </c>
      <c r="AI258" s="1">
        <f>VLOOKUP(A258,'SegEnds_NonXtal_Prot#'!A:AL,31,FALSE)-VLOOKUP(A258,'SegEnds_NonXtal_Prot#'!A:AL,28,FALSE)</f>
        <v>68</v>
      </c>
      <c r="AJ258" s="1">
        <f>VLOOKUP(A258,'SegEnds_NonXtal_Prot#'!A:AL,34,FALSE)-VLOOKUP(A258,'SegEnds_NonXtal_Prot#'!A:AL,31,FALSE)</f>
        <v>30</v>
      </c>
      <c r="AK258" s="1">
        <f>VLOOKUP(A258,'SegEnds_NonXtal_Prot#'!A:AL,37,FALSE)-VLOOKUP(A258,'SegEnds_NonXtal_Prot#'!A:AL,34,FALSE)</f>
        <v>11</v>
      </c>
      <c r="AL258" s="1" t="str">
        <f>IF(ISERROR(MATCH(A258,'SegEnds_Xtal_Prot#'!B:B, 0)), "NoXtal", "Xtal")</f>
        <v>NoXtal</v>
      </c>
    </row>
    <row r="259" spans="1:38" x14ac:dyDescent="0.2">
      <c r="A259" s="1" t="s">
        <v>221</v>
      </c>
      <c r="B259" s="1" t="str">
        <f>VLOOKUP(A259,Xtal_Templ!B:C,2,FALSE)</f>
        <v>s1pr1_human</v>
      </c>
      <c r="C259" s="5">
        <f>VLOOKUP($B259&amp;"__wt",'SegEnds_Xtal_BW#'!$A:$Z,3,FALSE)</f>
        <v>29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47</v>
      </c>
      <c r="J259" s="1">
        <f>VLOOKUP($B259&amp;"__wt",'SegEnds_Xtal_BW#'!$A:$Z,10,FALSE)</f>
        <v>53</v>
      </c>
      <c r="K259" s="12">
        <v>18</v>
      </c>
      <c r="L259" s="1">
        <f>VLOOKUP($B259&amp;"__wt",'SegEnds_Xtal_BW#'!$A:$Z,12,FALSE)</f>
        <v>56</v>
      </c>
      <c r="M259" s="108" t="s">
        <v>23</v>
      </c>
      <c r="N259" s="12" t="s">
        <v>23</v>
      </c>
      <c r="O259" s="87">
        <f>VLOOKUP($B259&amp;"__wt",'SegEnds_Xtal_BW#'!$A:$Z,15,FALSE)</f>
        <v>38</v>
      </c>
      <c r="P259" s="1">
        <f>VLOOKUP($B259&amp;"__wt",'SegEnds_Xtal_BW#'!$A:$Z,16,FALSE)</f>
        <v>63</v>
      </c>
      <c r="Q259" s="1" t="str">
        <f>VLOOKUP($B259&amp;"__wt",'SegEnds_Xtal_BW#'!$A:$Z,17,FALSE)</f>
        <v>-</v>
      </c>
      <c r="R259" s="1" t="str">
        <f>VLOOKUP($B259&amp;"__wt",'SegEnds_Xtal_BW#'!$A:$Z,18,FALSE)</f>
        <v>-</v>
      </c>
      <c r="S259" s="1">
        <f>VLOOKUP($B259&amp;"__wt",'SegEnds_Xtal_BW#'!$A:$Z,19,FALSE)</f>
        <v>36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32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59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29</v>
      </c>
      <c r="AC259" s="1" t="e">
        <f>VLOOKUP(A259,'SegEnds_NonXtal_Prot#'!A:AL,10,FALSE)-VLOOKUP(A259,'SegEnds_NonXtal_Prot#'!A:AL,7,FALSE)</f>
        <v>#VALUE!</v>
      </c>
      <c r="AD259" s="1">
        <f>VLOOKUP(A259,'SegEnds_NonXtal_Prot#'!A:AL,13,FALSE)-VLOOKUP(A259,'SegEnds_NonXtal_Prot#'!A:AL,10,FALSE)</f>
        <v>26</v>
      </c>
      <c r="AE259" s="1">
        <f>VLOOKUP(A259,'SegEnds_NonXtal_Prot#'!A:AL,16,FALSE)-VLOOKUP(A259,'SegEnds_NonXtal_Prot#'!A:AL,10,FALSE)</f>
        <v>69</v>
      </c>
      <c r="AF259" s="1" t="e">
        <f>VLOOKUP(A259,'SegEnds_NonXtal_Prot#'!A:AL,22,FALSE)-VLOOKUP(A259,'SegEnds_NonXtal_Prot#'!A:AL,19,FALSE)</f>
        <v>#VALUE!</v>
      </c>
      <c r="AG259" s="1" t="e">
        <f>VLOOKUP(A259,'SegEnds_NonXtal_Prot#'!A:AL,28,FALSE)-VLOOKUP(A259,'SegEnds_NonXtal_Prot#'!A:AL,25,FALSE)</f>
        <v>#VALUE!</v>
      </c>
      <c r="AH259" s="1">
        <f>VLOOKUP(A259,'SegEnds_NonXtal_Prot#'!A:AL,28,FALSE)-VLOOKUP(A259,'SegEnds_NonXtal_Prot#'!A:AL,22,FALSE)</f>
        <v>53</v>
      </c>
      <c r="AI259" s="1">
        <f>VLOOKUP(A259,'SegEnds_NonXtal_Prot#'!A:AL,31,FALSE)-VLOOKUP(A259,'SegEnds_NonXtal_Prot#'!A:AL,28,FALSE)</f>
        <v>114</v>
      </c>
      <c r="AJ259" s="1">
        <f>VLOOKUP(A259,'SegEnds_NonXtal_Prot#'!A:AL,34,FALSE)-VLOOKUP(A259,'SegEnds_NonXtal_Prot#'!A:AL,31,FALSE)</f>
        <v>34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4" t="s">
        <v>235</v>
      </c>
      <c r="B260" s="4" t="str">
        <f>VLOOKUP(A260,Xtal_Templ!B:C,2,FALSE)</f>
        <v>lpar1_human</v>
      </c>
      <c r="C260" s="5">
        <f>VLOOKUP($B260&amp;"__wt",'SegEnds_Xtal_BW#'!$A:$Z,3,FALSE)</f>
        <v>30</v>
      </c>
      <c r="D260" s="4">
        <f>VLOOKUP($B260&amp;"__wt",'SegEnds_Xtal_BW#'!$A:$Z,4,FALSE)</f>
        <v>60</v>
      </c>
      <c r="E260" s="4">
        <f>VLOOKUP($B260&amp;"__wt",'SegEnds_Xtal_BW#'!$A:$Z,5,FALSE)</f>
        <v>48</v>
      </c>
      <c r="F260" s="4">
        <f>VLOOKUP($B260&amp;"__wt",'SegEnds_Xtal_BW#'!$A:$Z,6,FALSE)</f>
        <v>51</v>
      </c>
      <c r="G260" s="4">
        <v>37</v>
      </c>
      <c r="H260" s="11">
        <v>66</v>
      </c>
      <c r="I260" s="4">
        <v>48</v>
      </c>
      <c r="J260" s="4">
        <v>52</v>
      </c>
      <c r="K260" s="11">
        <v>24</v>
      </c>
      <c r="L260" s="4">
        <f>VLOOKUP($B260&amp;"__wt",'SegEnds_Xtal_BW#'!$A:$Z,12,FALSE)</f>
        <v>56</v>
      </c>
      <c r="M260" s="4">
        <f>VLOOKUP($B260&amp;"__wt",'SegEnds_Xtal_BW#'!$A:$Z,13,FALSE)</f>
        <v>50</v>
      </c>
      <c r="N260" s="11">
        <f>VLOOKUP($B260&amp;"__wt",'SegEnds_Xtal_BW#'!$A:$Z,14,FALSE)</f>
        <v>56</v>
      </c>
      <c r="O260" s="88">
        <v>38</v>
      </c>
      <c r="P260" s="4">
        <f>VLOOKUP($B260&amp;"__wt",'SegEnds_Xtal_BW#'!$A:$Z,16,FALSE)</f>
        <v>63</v>
      </c>
      <c r="Q260" s="115">
        <v>50</v>
      </c>
      <c r="R260" s="115">
        <v>52</v>
      </c>
      <c r="S260" s="4">
        <v>35</v>
      </c>
      <c r="T260" s="4">
        <f t="array" ref="T260">INDEX(ICL3_classA!$G$2:$G$37,MATCH(MIN(ABS(AI260-ICL3_classA!$F$2:$F$37)),ABS(AI260-ICL3_classA!$F$2:$F$37),0))</f>
        <v>74</v>
      </c>
      <c r="U260" s="4">
        <f t="array" ref="U260">INDEX(ICL3_classA!$H$2:$H$37,MATCH(MIN(ABS(AI260-ICL3_classA!$F$2:$F$37)),ABS(AI260-ICL3_classA!$F$2:$F$37),0))</f>
        <v>21</v>
      </c>
      <c r="V260" s="4">
        <v>61</v>
      </c>
      <c r="W260" s="4">
        <v>28</v>
      </c>
      <c r="X260" s="4">
        <f>VLOOKUP($B260&amp;"__wt",'SegEnds_Xtal_BW#'!$A:$Z,24,FALSE)</f>
        <v>56</v>
      </c>
      <c r="Y260" s="4">
        <f>VLOOKUP($B260&amp;"__wt",'SegEnds_Xtal_BW#'!$A:$Z,25,FALSE)</f>
        <v>47</v>
      </c>
      <c r="Z260" s="4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29</v>
      </c>
      <c r="AC260" s="4">
        <f>VLOOKUP(A260,'SegEnds_NonXtal_Prot#'!A:AL,10,FALSE)-VLOOKUP(A260,'SegEnds_NonXtal_Prot#'!A:AL,7,FALSE)</f>
        <v>16</v>
      </c>
      <c r="AD260" s="4" t="e">
        <f>VLOOKUP(A260,'SegEnds_NonXtal_Prot#'!A:AL,13,FALSE)-VLOOKUP(A260,'SegEnds_NonXtal_Prot#'!A:AL,10,FALSE)</f>
        <v>#VALUE!</v>
      </c>
      <c r="AE260" s="4">
        <f>VLOOKUP(A260,'SegEnds_NonXtal_Prot#'!A:AL,16,FALSE)-VLOOKUP(A260,'SegEnds_NonXtal_Prot#'!A:AL,10,FALSE)</f>
        <v>49</v>
      </c>
      <c r="AF260" s="1" t="e">
        <f>VLOOKUP(A260,'SegEnds_NonXtal_Prot#'!A:AL,22,FALSE)-VLOOKUP(A260,'SegEnds_NonXtal_Prot#'!A:AL,19,FALSE)</f>
        <v>#VALUE!</v>
      </c>
      <c r="AG260" s="4">
        <f>VLOOKUP(A260,'SegEnds_NonXtal_Prot#'!A:AL,28,FALSE)-VLOOKUP(A260,'SegEnds_NonXtal_Prot#'!A:AL,25,FALSE)</f>
        <v>21</v>
      </c>
      <c r="AH260" s="1">
        <f>VLOOKUP(A260,'SegEnds_NonXtal_Prot#'!A:AL,28,FALSE)-VLOOKUP(A260,'SegEnds_NonXtal_Prot#'!A:AL,22,FALSE)</f>
        <v>44</v>
      </c>
      <c r="AI260" s="4">
        <f>VLOOKUP(A260,'SegEnds_NonXtal_Prot#'!A:AL,31,FALSE)-VLOOKUP(A260,'SegEnds_NonXtal_Prot#'!A:AL,28,FALSE)</f>
        <v>63</v>
      </c>
      <c r="AJ260" s="4">
        <f>VLOOKUP(A260,'SegEnds_NonXtal_Prot#'!A:AL,34,FALSE)-VLOOKUP(A260,'SegEnds_NonXtal_Prot#'!A:AL,31,FALSE)</f>
        <v>38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244</v>
      </c>
      <c r="B261" s="1" t="str">
        <f>VLOOKUP(A261,Xtal_Templ!B:C,2,FALSE)</f>
        <v>5ht2b_human</v>
      </c>
      <c r="C261" s="5">
        <f>VLOOKUP($B261&amp;"__wt",'SegEnds_Xtal_BW#'!$A:$Z,3,FALSE)</f>
        <v>32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08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v>35</v>
      </c>
      <c r="T261" s="1">
        <f t="array" ref="T261">INDEX(ICL3_classA!$G$2:$G$37,MATCH(MIN(ABS(AI261-ICL3_classA!$F$2:$F$37)),ABS(AI261-ICL3_classA!$F$2:$F$37),0))</f>
        <v>74</v>
      </c>
      <c r="U261" s="1">
        <f t="array" ref="U261">INDEX(ICL3_classA!$H$2:$H$37,MATCH(MIN(ABS(AI261-ICL3_classA!$F$2:$F$37)),ABS(AI261-ICL3_classA!$F$2:$F$37),0))</f>
        <v>21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58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29</v>
      </c>
      <c r="AC261" s="1">
        <f>VLOOKUP(A261,'SegEnds_NonXtal_Prot#'!A:AL,10,FALSE)-VLOOKUP(A261,'SegEnds_NonXtal_Prot#'!A:AL,7,FALSE)</f>
        <v>16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21</v>
      </c>
      <c r="AH261" s="1">
        <f>VLOOKUP(A261,'SegEnds_NonXtal_Prot#'!A:AL,28,FALSE)-VLOOKUP(A261,'SegEnds_NonXtal_Prot#'!A:AL,22,FALSE)</f>
        <v>48</v>
      </c>
      <c r="AI261" s="1">
        <f>VLOOKUP(A261,'SegEnds_NonXtal_Prot#'!A:AL,31,FALSE)-VLOOKUP(A261,'SegEnds_NonXtal_Prot#'!A:AL,28,FALSE)</f>
        <v>65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245</v>
      </c>
      <c r="B262" s="1" t="str">
        <f>VLOOKUP(A262,Xtal_Templ!B:C,2,FALSE)</f>
        <v>5ht2c_human</v>
      </c>
      <c r="C262" s="5">
        <f>VLOOKUP($B262&amp;"__wt",'SegEnds_Xtal_BW#'!$A:$Z,3,FALSE)</f>
        <v>33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68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53</v>
      </c>
      <c r="O262" s="87">
        <f>VLOOKUP($B262&amp;"__wt",'SegEnds_Xtal_BW#'!$A:$Z,15,FALSE)</f>
        <v>38</v>
      </c>
      <c r="P262" s="1">
        <v>63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v>35</v>
      </c>
      <c r="T262" s="1">
        <f t="array" ref="T262">INDEX(ICL3_classA!$G$2:$G$37,MATCH(MIN(ABS(AI262-ICL3_classA!$F$2:$F$37)),ABS(AI262-ICL3_classA!$F$2:$F$37),0))</f>
        <v>74</v>
      </c>
      <c r="U262" s="1">
        <f t="array" ref="U262">INDEX(ICL3_classA!$H$2:$H$37,MATCH(MIN(ABS(AI262-ICL3_classA!$F$2:$F$37)),ABS(AI262-ICL3_classA!$F$2:$F$37),0))</f>
        <v>24</v>
      </c>
      <c r="V262" s="1">
        <v>61</v>
      </c>
      <c r="W262" s="1">
        <v>31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60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29</v>
      </c>
      <c r="AC262" s="1">
        <f>VLOOKUP(A262,'SegEnds_NonXtal_Prot#'!A:AL,10,FALSE)-VLOOKUP(A262,'SegEnds_NonXtal_Prot#'!A:AL,7,FALSE)</f>
        <v>16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18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58</v>
      </c>
      <c r="AI262" s="1">
        <f>VLOOKUP(A262,'SegEnds_NonXtal_Prot#'!A:AL,31,FALSE)-VLOOKUP(A262,'SegEnds_NonXtal_Prot#'!A:AL,28,FALSE)</f>
        <v>105</v>
      </c>
      <c r="AJ262" s="1">
        <f>VLOOKUP(A262,'SegEnds_NonXtal_Prot#'!A:AL,34,FALSE)-VLOOKUP(A262,'SegEnds_NonXtal_Prot#'!A:AL,31,FALSE)</f>
        <v>36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247</v>
      </c>
      <c r="B263" s="1" t="str">
        <f>VLOOKUP(A263,Xtal_Templ!B:C,2,FALSE)</f>
        <v>drd2_human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68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v>38</v>
      </c>
      <c r="P263" s="1">
        <f>VLOOKUP($B263&amp;"__wt",'SegEnds_Xtal_BW#'!$A:$Z,16,FALSE)</f>
        <v>62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76</v>
      </c>
      <c r="U263" s="1">
        <f t="array" ref="U263">INDEX(ICL3_classA!$H$2:$H$37,MATCH(MIN(ABS(AI263-ICL3_classA!$F$2:$F$37)),ABS(AI263-ICL3_classA!$F$2:$F$37),0))</f>
        <v>24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29</v>
      </c>
      <c r="AC263" s="1">
        <f>VLOOKUP(A263,'SegEnds_NonXtal_Prot#'!A:AL,10,FALSE)-VLOOKUP(A263,'SegEnds_NonXtal_Prot#'!A:AL,7,FALSE)</f>
        <v>16</v>
      </c>
      <c r="AD263" s="1" t="e">
        <f>VLOOKUP(A263,'SegEnds_NonXtal_Prot#'!A:AL,13,FALSE)-VLOOKUP(A263,'SegEnds_NonXtal_Prot#'!A:AL,10,FALSE)</f>
        <v>#VALUE!</v>
      </c>
      <c r="AE263" s="1">
        <f>VLOOKUP(A263,'SegEnds_NonXtal_Prot#'!A:AL,16,FALSE)-VLOOKUP(A263,'SegEnds_NonXtal_Prot#'!A:AL,10,FALSE)</f>
        <v>52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25</v>
      </c>
      <c r="AH263" s="1">
        <f>VLOOKUP(A263,'SegEnds_NonXtal_Prot#'!A:AL,28,FALSE)-VLOOKUP(A263,'SegEnds_NonXtal_Prot#'!A:AL,22,FALSE)</f>
        <v>53</v>
      </c>
      <c r="AI263" s="1">
        <f>VLOOKUP(A263,'SegEnds_NonXtal_Prot#'!A:AL,31,FALSE)-VLOOKUP(A263,'SegEnds_NonXtal_Prot#'!A:AL,28,FALSE)</f>
        <v>72</v>
      </c>
      <c r="AJ263" s="1">
        <f>VLOOKUP(A263,'SegEnds_NonXtal_Prot#'!A:AL,34,FALSE)-VLOOKUP(A263,'SegEnds_NonXtal_Prot#'!A:AL,31,FALSE)</f>
        <v>35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258</v>
      </c>
      <c r="B264" s="1" t="str">
        <f>VLOOKUP(A264,Xtal_Templ!B:C,2,FALSE)</f>
        <v>par1_human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f>VLOOKUP($B264&amp;"__wt",'SegEnds_Xtal_BW#'!$A:$Z,15,FALSE)</f>
        <v>38</v>
      </c>
      <c r="P264" s="1">
        <f>VLOOKUP($B264&amp;"__wt",'SegEnds_Xtal_BW#'!$A:$Z,16,FALSE)</f>
        <v>63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32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28</v>
      </c>
      <c r="V264" s="1">
        <v>61</v>
      </c>
      <c r="W264" s="1">
        <v>33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29</v>
      </c>
      <c r="AC264" s="1" t="e">
        <f>VLOOKUP(A264,'SegEnds_NonXtal_Prot#'!A:AL,10,FALSE)-VLOOKUP(A264,'SegEnds_NonXtal_Prot#'!A:AL,7,FALSE)</f>
        <v>#VALUE!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27</v>
      </c>
      <c r="AH264" s="1">
        <f>VLOOKUP(A264,'SegEnds_NonXtal_Prot#'!A:AL,28,FALSE)-VLOOKUP(A264,'SegEnds_NonXtal_Prot#'!A:AL,22,FALSE)</f>
        <v>56</v>
      </c>
      <c r="AI264" s="1">
        <f>VLOOKUP(A264,'SegEnds_NonXtal_Prot#'!A:AL,31,FALSE)-VLOOKUP(A264,'SegEnds_NonXtal_Prot#'!A:AL,28,FALSE)</f>
        <v>44</v>
      </c>
      <c r="AJ264" s="1">
        <f>VLOOKUP(A264,'SegEnds_NonXtal_Prot#'!A:AL,34,FALSE)-VLOOKUP(A264,'SegEnds_NonXtal_Prot#'!A:AL,31,FALSE)</f>
        <v>33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260</v>
      </c>
      <c r="B265" s="1" t="str">
        <f>VLOOKUP(A265,Xtal_Templ!B:C,2,FALSE)</f>
        <v>5ht2b_human</v>
      </c>
      <c r="C265" s="5">
        <f>VLOOKUP($B265&amp;"__wt",'SegEnds_Xtal_BW#'!$A:$Z,3,FALSE)</f>
        <v>32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08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v>35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21</v>
      </c>
      <c r="V265" s="1">
        <v>61</v>
      </c>
      <c r="W265" s="1">
        <v>32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58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29</v>
      </c>
      <c r="AC265" s="1">
        <f>VLOOKUP(A265,'SegEnds_NonXtal_Prot#'!A:AL,10,FALSE)-VLOOKUP(A265,'SegEnds_NonXtal_Prot#'!A:AL,7,FALSE)</f>
        <v>16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52</v>
      </c>
      <c r="AF265" s="1">
        <f>VLOOKUP(A265,'SegEnds_NonXtal_Prot#'!A:AL,22,FALSE)-VLOOKUP(A265,'SegEnds_NonXtal_Prot#'!A:AL,19,FALSE)</f>
        <v>20</v>
      </c>
      <c r="AG265" s="1">
        <f>VLOOKUP(A265,'SegEnds_NonXtal_Prot#'!A:AL,28,FALSE)-VLOOKUP(A265,'SegEnds_NonXtal_Prot#'!A:AL,25,FALSE)</f>
        <v>21</v>
      </c>
      <c r="AH265" s="1">
        <f>VLOOKUP(A265,'SegEnds_NonXtal_Prot#'!A:AL,28,FALSE)-VLOOKUP(A265,'SegEnds_NonXtal_Prot#'!A:AL,22,FALSE)</f>
        <v>48</v>
      </c>
      <c r="AI265" s="1">
        <f>VLOOKUP(A265,'SegEnds_NonXtal_Prot#'!A:AL,31,FALSE)-VLOOKUP(A265,'SegEnds_NonXtal_Prot#'!A:AL,28,FALSE)</f>
        <v>66</v>
      </c>
      <c r="AJ265" s="1">
        <f>VLOOKUP(A265,'SegEnds_NonXtal_Prot#'!A:AL,34,FALSE)-VLOOKUP(A265,'SegEnds_NonXtal_Prot#'!A:AL,31,FALSE)</f>
        <v>34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267</v>
      </c>
      <c r="B266" s="1" t="str">
        <f>VLOOKUP(A266,Xtal_Templ!B:C,2,FALSE)</f>
        <v>drd2_human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v>38</v>
      </c>
      <c r="P266" s="1">
        <f>VLOOKUP($B266&amp;"__wt",'SegEnds_Xtal_BW#'!$A:$Z,16,FALSE)</f>
        <v>62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INDEX(ICL3_classA!$G$2:$G$37,MATCH(MIN(ABS(AI266-ICL3_classA!$F$2:$F$37)),ABS(AI266-ICL3_classA!$F$2:$F$37),0))</f>
        <v>76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52</v>
      </c>
      <c r="AF266" s="1">
        <f>VLOOKUP(A266,'SegEnds_NonXtal_Prot#'!A:AL,22,FALSE)-VLOOKUP(A266,'SegEnds_NonXtal_Prot#'!A:AL,19,FALSE)</f>
        <v>20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72</v>
      </c>
      <c r="AJ266" s="1">
        <f>VLOOKUP(A266,'SegEnds_NonXtal_Prot#'!A:AL,34,FALSE)-VLOOKUP(A266,'SegEnds_NonXtal_Prot#'!A:AL,31,FALSE)</f>
        <v>35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285</v>
      </c>
      <c r="B267" s="1" t="str">
        <f>VLOOKUP(A267,Xtal_Templ!B:C,2,FALSE)</f>
        <v>5ht2c_human</v>
      </c>
      <c r="C267" s="5">
        <f>VLOOKUP($B267&amp;"__wt",'SegEnds_Xtal_BW#'!$A:$Z,3,FALSE)</f>
        <v>33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f>VLOOKUP($B267&amp;"__wt",'SegEnds_Xtal_BW#'!$A:$Z,16,FALSE)</f>
        <v>67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INDEX(ICL3_classA!$G$2:$G$37,MATCH(MIN(ABS(AI267-ICL3_classA!$F$2:$F$37)),ABS(AI267-ICL3_classA!$F$2:$F$37),0))</f>
        <v>67</v>
      </c>
      <c r="U267" s="1">
        <f t="array" ref="U267">INDEX(ICL3_classA!$H$2:$H$37,MATCH(MIN(ABS(AI267-ICL3_classA!$F$2:$F$37)),ABS(AI267-ICL3_classA!$F$2:$F$37),0))</f>
        <v>28</v>
      </c>
      <c r="V267" s="1">
        <v>61</v>
      </c>
      <c r="W267" s="1">
        <v>31</v>
      </c>
      <c r="X267" s="108">
        <v>56</v>
      </c>
      <c r="Y267" s="1">
        <f>VLOOKUP($B267&amp;"__wt",'SegEnds_Xtal_BW#'!$A:$Z,25,FALSE)</f>
        <v>47</v>
      </c>
      <c r="Z267" s="1">
        <f>VLOOKUP($B267&amp;"__wt",'SegEnds_Xtal_BW#'!$A:$Z,26,FALSE)</f>
        <v>60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59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26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45</v>
      </c>
      <c r="AJ267" s="1">
        <f>VLOOKUP(A267,'SegEnds_NonXtal_Prot#'!A:AL,34,FALSE)-VLOOKUP(A267,'SegEnds_NonXtal_Prot#'!A:AL,31,FALSE)</f>
        <v>36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329</v>
      </c>
      <c r="B268" s="1" t="str">
        <f>VLOOKUP(A268,Xtal_Templ!B:C,2,FALSE)</f>
        <v>npy1r_human</v>
      </c>
      <c r="C268" s="5">
        <f>VLOOKUP($B268&amp;"__wt",'SegEnds_Xtal_BW#'!$A:$Z,3,FALSE)</f>
        <v>28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 t="str">
        <f>VLOOKUP($B268&amp;"__wt",'SegEnds_Xtal_BW#'!$A:$Z,13,FALSE)</f>
        <v>-</v>
      </c>
      <c r="N268" s="12" t="str">
        <f>VLOOKUP($B268&amp;"__wt",'SegEnds_Xtal_BW#'!$A:$Z,14,FALSE)</f>
        <v>-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INDEX(ICL3_classA!$G$2:$G$37,MATCH(MIN(ABS(AI268-ICL3_classA!$F$2:$F$37)),ABS(AI268-ICL3_classA!$F$2:$F$37),0))</f>
        <v>73</v>
      </c>
      <c r="U268" s="1">
        <f t="array" ref="U268">INDEX(ICL3_classA!$H$2:$H$37,MATCH(MIN(ABS(AI268-ICL3_classA!$F$2:$F$37)),ABS(AI268-ICL3_classA!$F$2:$F$37),0))</f>
        <v>22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29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20</v>
      </c>
      <c r="AE268" s="1">
        <f>VLOOKUP(A268,'SegEnds_NonXtal_Prot#'!A:AL,16,FALSE)-VLOOKUP(A268,'SegEnds_NonXtal_Prot#'!A:AL,10,FALSE)</f>
        <v>52</v>
      </c>
      <c r="AF268" s="1" t="e">
        <f>VLOOKUP(A268,'SegEnds_NonXtal_Prot#'!A:AL,22,FALSE)-VLOOKUP(A268,'SegEnds_NonXtal_Prot#'!A:AL,19,FALSE)</f>
        <v>#VALUE!</v>
      </c>
      <c r="AG268" s="1" t="e">
        <f>VLOOKUP(A268,'SegEnds_NonXtal_Prot#'!A:AL,28,FALSE)-VLOOKUP(A268,'SegEnds_NonXtal_Prot#'!A:AL,25,FALSE)</f>
        <v>#VALUE!</v>
      </c>
      <c r="AH268" s="1">
        <f>VLOOKUP(A268,'SegEnds_NonXtal_Prot#'!A:AL,28,FALSE)-VLOOKUP(A268,'SegEnds_NonXtal_Prot#'!A:AL,22,FALSE)</f>
        <v>62</v>
      </c>
      <c r="AI268" s="1">
        <f>VLOOKUP(A268,'SegEnds_NonXtal_Prot#'!A:AL,31,FALSE)-VLOOKUP(A268,'SegEnds_NonXtal_Prot#'!A:AL,28,FALSE)</f>
        <v>55</v>
      </c>
      <c r="AJ268" s="1" t="e">
        <f>VLOOKUP(A268,'SegEnds_NonXtal_Prot#'!A:AL,34,FALSE)-VLOOKUP(A268,'SegEnds_NonXtal_Prot#'!A:AL,31,FALSE)</f>
        <v>#VALUE!</v>
      </c>
      <c r="AK268" s="1" t="e">
        <f>VLOOKUP(A268,'SegEnds_NonXtal_Prot#'!A:AL,37,FALSE)-VLOOKUP(A268,'SegEnds_NonXtal_Prot#'!A:AL,34,FALSE)</f>
        <v>#VALUE!</v>
      </c>
      <c r="AL268" s="1" t="str">
        <f>IF(ISERROR(MATCH(A268,'SegEnds_Xtal_Prot#'!B:B, 0)), "NoXtal", "Xtal")</f>
        <v>NoXtal</v>
      </c>
    </row>
    <row r="269" spans="1:38" x14ac:dyDescent="0.2">
      <c r="A269" s="1" t="s">
        <v>330</v>
      </c>
      <c r="B269" s="1" t="str">
        <f>VLOOKUP(A269,Xtal_Templ!B:C,2,FALSE)</f>
        <v>ntr1_rat</v>
      </c>
      <c r="C269" s="5">
        <f>VLOOKUP($B269&amp;"__wt",'SegEnds_Xtal_BW#'!$A:$Z,3,FALSE)</f>
        <v>29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INDEX(ICL3_classA!$G$2:$G$37,MATCH(MIN(ABS(AI269-ICL3_classA!$F$2:$F$37)),ABS(AI269-ICL3_classA!$F$2:$F$37),0))</f>
        <v>74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29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22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24</v>
      </c>
      <c r="AH269" s="1">
        <f>VLOOKUP(A269,'SegEnds_NonXtal_Prot#'!A:AL,28,FALSE)-VLOOKUP(A269,'SegEnds_NonXtal_Prot#'!A:AL,22,FALSE)</f>
        <v>58</v>
      </c>
      <c r="AI269" s="1">
        <f>VLOOKUP(A269,'SegEnds_NonXtal_Prot#'!A:AL,31,FALSE)-VLOOKUP(A269,'SegEnds_NonXtal_Prot#'!A:AL,28,FALSE)</f>
        <v>94</v>
      </c>
      <c r="AJ269" s="1">
        <f>VLOOKUP(A269,'SegEnds_NonXtal_Prot#'!A:AL,34,FALSE)-VLOOKUP(A269,'SegEnds_NonXtal_Prot#'!A:AL,31,FALSE)</f>
        <v>43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351</v>
      </c>
      <c r="B270" s="1" t="str">
        <f>VLOOKUP(A270,Xtal_Templ!B:C,2,FALSE)</f>
        <v>p2ry1_human</v>
      </c>
      <c r="C270" s="5">
        <f>VLOOKUP($B270&amp;"__wt",'SegEnds_Xtal_BW#'!$A:$Z,3,FALSE)</f>
        <v>30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67</v>
      </c>
      <c r="U270" s="1">
        <f t="array" ref="U270">INDEX(ICL3_classA!$H$2:$H$37,MATCH(MIN(ABS(AI270-ICL3_classA!$F$2:$F$37)),ABS(AI270-ICL3_classA!$F$2:$F$37),0))</f>
        <v>26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29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20</v>
      </c>
      <c r="AE270" s="1">
        <f>VLOOKUP(A270,'SegEnds_NonXtal_Prot#'!A:AL,16,FALSE)-VLOOKUP(A270,'SegEnds_NonXtal_Prot#'!A:AL,10,FALSE)</f>
        <v>52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26</v>
      </c>
      <c r="AH270" s="1">
        <f>VLOOKUP(A270,'SegEnds_NonXtal_Prot#'!A:AL,28,FALSE)-VLOOKUP(A270,'SegEnds_NonXtal_Prot#'!A:AL,22,FALSE)</f>
        <v>63</v>
      </c>
      <c r="AI270" s="1">
        <f>VLOOKUP(A270,'SegEnds_NonXtal_Prot#'!A:AL,31,FALSE)-VLOOKUP(A270,'SegEnds_NonXtal_Prot#'!A:AL,28,FALSE)</f>
        <v>46</v>
      </c>
      <c r="AJ270" s="1">
        <f>VLOOKUP(A270,'SegEnds_NonXtal_Prot#'!A:AL,34,FALSE)-VLOOKUP(A270,'SegEnds_NonXtal_Prot#'!A:AL,31,FALSE)</f>
        <v>55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366</v>
      </c>
      <c r="B271" s="1" t="str">
        <f>VLOOKUP(A271,Xtal_Templ!B:C,2,FALSE)</f>
        <v>agtr2_human</v>
      </c>
      <c r="C271" s="5">
        <f>VLOOKUP($B271&amp;"__wt",'SegEnds_Xtal_BW#'!$A:$Z,3,FALSE)</f>
        <v>33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v>67</v>
      </c>
      <c r="I271" s="1">
        <f>VLOOKUP($B271&amp;"__wt",'SegEnds_Xtal_BW#'!$A:$Z,9,FALSE)</f>
        <v>47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30</v>
      </c>
      <c r="T271" s="1">
        <f t="array" ref="T271">INDEX(ICL3_classA!$G$2:$G$37,MATCH(MIN(ABS(AI271-ICL3_classA!$F$2:$F$37)),ABS(AI271-ICL3_classA!$F$2:$F$37),0))</f>
        <v>73</v>
      </c>
      <c r="U271" s="1">
        <f t="array" ref="U271">INDEX(ICL3_classA!$H$2:$H$37,MATCH(MIN(ABS(AI271-ICL3_classA!$F$2:$F$37)),ABS(AI271-ICL3_classA!$F$2:$F$37),0))</f>
        <v>22</v>
      </c>
      <c r="V271" s="1">
        <v>61</v>
      </c>
      <c r="W271" s="1">
        <v>31</v>
      </c>
      <c r="X271" s="108">
        <v>56</v>
      </c>
      <c r="Y271" s="1">
        <f>VLOOKUP($B271&amp;"__wt",'SegEnds_Xtal_BW#'!$A:$Z,25,FALSE)</f>
        <v>47</v>
      </c>
      <c r="Z271" s="1">
        <f>VLOOKUP($B271&amp;"__wt",'SegEnds_Xtal_BW#'!$A:$Z,26,FALSE)</f>
        <v>61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29</v>
      </c>
      <c r="AC271" s="1" t="e">
        <f>VLOOKUP(A271,'SegEnds_NonXtal_Prot#'!A:AL,10,FALSE)-VLOOKUP(A271,'SegEnds_NonXtal_Prot#'!A:AL,7,FALSE)</f>
        <v>#VALUE!</v>
      </c>
      <c r="AD271" s="1" t="e">
        <f>VLOOKUP(A271,'SegEnds_NonXtal_Prot#'!A:AL,13,FALSE)-VLOOKUP(A271,'SegEnds_NonXtal_Prot#'!A:AL,10,FALSE)</f>
        <v>#VALUE!</v>
      </c>
      <c r="AE271" s="1">
        <f>VLOOKUP(A271,'SegEnds_NonXtal_Prot#'!A:AL,16,FALSE)-VLOOKUP(A271,'SegEnds_NonXtal_Prot#'!A:AL,10,FALSE)</f>
        <v>57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53</v>
      </c>
      <c r="AI271" s="1">
        <f>VLOOKUP(A271,'SegEnds_NonXtal_Prot#'!A:AL,31,FALSE)-VLOOKUP(A271,'SegEnds_NonXtal_Prot#'!A:AL,28,FALSE)</f>
        <v>57</v>
      </c>
      <c r="AJ271" s="1">
        <f>VLOOKUP(A271,'SegEnds_NonXtal_Prot#'!A:AL,34,FALSE)-VLOOKUP(A271,'SegEnds_NonXtal_Prot#'!A:AL,31,FALSE)</f>
        <v>35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373</v>
      </c>
      <c r="B272" s="1" t="str">
        <f>VLOOKUP(A272,Xtal_Templ!B:C,2,FALSE)</f>
        <v>agtr1_human</v>
      </c>
      <c r="C272" s="5">
        <f>VLOOKUP($B272&amp;"__wt",'SegEnds_Xtal_BW#'!$A:$Z,3,FALSE)</f>
        <v>30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58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34</v>
      </c>
      <c r="T272" s="1">
        <f t="array" ref="T272">INDEX(ICL3_classA!$G$2:$G$37,MATCH(MIN(ABS(AI272-ICL3_classA!$F$2:$F$37)),ABS(AI272-ICL3_classA!$F$2:$F$37),0))</f>
        <v>74</v>
      </c>
      <c r="U272" s="1">
        <f t="array" ref="U272">INDEX(ICL3_classA!$H$2:$H$37,MATCH(MIN(ABS(AI272-ICL3_classA!$F$2:$F$37)),ABS(AI272-ICL3_classA!$F$2:$F$37),0))</f>
        <v>21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61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>
        <f>VLOOKUP(A272,'SegEnds_NonXtal_Prot#'!A:AL,10,FALSE)-VLOOKUP(A272,'SegEnds_NonXtal_Prot#'!A:AL,7,FALSE)</f>
        <v>16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52</v>
      </c>
      <c r="AF272" s="1" t="e">
        <f>VLOOKUP(A272,'SegEnds_NonXtal_Prot#'!A:AL,22,FALSE)-VLOOKUP(A272,'SegEnds_NonXtal_Prot#'!A:AL,19,FALSE)</f>
        <v>#VALUE!</v>
      </c>
      <c r="AG272" s="1">
        <f>VLOOKUP(A272,'SegEnds_NonXtal_Prot#'!A:AL,28,FALSE)-VLOOKUP(A272,'SegEnds_NonXtal_Prot#'!A:AL,25,FALSE)</f>
        <v>32</v>
      </c>
      <c r="AH272" s="1">
        <f>VLOOKUP(A272,'SegEnds_NonXtal_Prot#'!A:AL,28,FALSE)-VLOOKUP(A272,'SegEnds_NonXtal_Prot#'!A:AL,22,FALSE)</f>
        <v>57</v>
      </c>
      <c r="AI272" s="1">
        <f>VLOOKUP(A272,'SegEnds_NonXtal_Prot#'!A:AL,31,FALSE)-VLOOKUP(A272,'SegEnds_NonXtal_Prot#'!A:AL,28,FALSE)</f>
        <v>62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142</v>
      </c>
      <c r="B273" s="1" t="str">
        <f>VLOOKUP(A273,Xtal_Templ!B:C,2,FALSE)</f>
        <v>c5ar1_human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 t="str">
        <f>VLOOKUP($B273&amp;"__wt",'SegEnds_Xtal_BW#'!$A:$Z,5,FALSE)</f>
        <v>-</v>
      </c>
      <c r="F273" s="1" t="str">
        <f>VLOOKUP($B273&amp;"__wt",'SegEnds_Xtal_BW#'!$A:$Z,6,FALSE)</f>
        <v>-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31</v>
      </c>
      <c r="T273" s="1">
        <f t="array" ref="T273">INDEX(ICL3_classA!$G$2:$G$37,MATCH(MIN(ABS(AI273-ICL3_classA!$F$2:$F$37)),ABS(AI273-ICL3_classA!$F$2:$F$37),0))</f>
        <v>64</v>
      </c>
      <c r="U273" s="1">
        <f t="array" ref="U273">INDEX(ICL3_classA!$H$2:$H$37,MATCH(MIN(ABS(AI273-ICL3_classA!$F$2:$F$37)),ABS(AI273-ICL3_classA!$F$2:$F$37),0))</f>
        <v>34</v>
      </c>
      <c r="V273" s="1">
        <v>64</v>
      </c>
      <c r="W273" s="1">
        <v>24</v>
      </c>
      <c r="X273" s="108">
        <v>56</v>
      </c>
      <c r="Y273" s="1">
        <f>VLOOKUP($B273&amp;"__wt",'SegEnds_Xtal_BW#'!$A:$Z,25,FALSE)</f>
        <v>47</v>
      </c>
      <c r="Z273" s="1">
        <f>VLOOKUP($B273&amp;"__wt",'SegEnds_Xtal_BW#'!$A:$Z,26,FALSE)</f>
        <v>56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30</v>
      </c>
      <c r="AC273" s="1" t="e">
        <f>VLOOKUP(A273,'SegEnds_NonXtal_Prot#'!A:AL,10,FALSE)-VLOOKUP(A273,'SegEnds_NonXtal_Prot#'!A:AL,7,FALSE)</f>
        <v>#VALUE!</v>
      </c>
      <c r="AD273" s="1" t="e">
        <f>VLOOKUP(A273,'SegEnds_NonXtal_Prot#'!A:AL,13,FALSE)-VLOOKUP(A273,'SegEnds_NonXtal_Prot#'!A:AL,10,FALSE)</f>
        <v>#VALUE!</v>
      </c>
      <c r="AE273" s="1">
        <f>VLOOKUP(A273,'SegEnds_NonXtal_Prot#'!A:AL,16,FALSE)-VLOOKUP(A273,'SegEnds_NonXtal_Prot#'!A:AL,10,FALSE)</f>
        <v>48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23</v>
      </c>
      <c r="AH273" s="1">
        <f>VLOOKUP(A273,'SegEnds_NonXtal_Prot#'!A:AL,28,FALSE)-VLOOKUP(A273,'SegEnds_NonXtal_Prot#'!A:AL,22,FALSE)</f>
        <v>44</v>
      </c>
      <c r="AI273" s="1">
        <f>VLOOKUP(A273,'SegEnds_NonXtal_Prot#'!A:AL,31,FALSE)-VLOOKUP(A273,'SegEnds_NonXtal_Prot#'!A:AL,28,FALSE)</f>
        <v>37</v>
      </c>
      <c r="AJ273" s="1">
        <f>VLOOKUP(A273,'SegEnds_NonXtal_Prot#'!A:AL,34,FALSE)-VLOOKUP(A273,'SegEnds_NonXtal_Prot#'!A:AL,31,FALSE)</f>
        <v>46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198</v>
      </c>
      <c r="B274" s="1" t="str">
        <f>VLOOKUP(A274,Xtal_Templ!B:C,2,FALSE)</f>
        <v>par2_human</v>
      </c>
      <c r="C274" s="5">
        <f>VLOOKUP($B274&amp;"__wt",'SegEnds_Xtal_BW#'!$A:$Z,3,FALSE)</f>
        <v>28</v>
      </c>
      <c r="D274" s="1">
        <f>VLOOKUP($B274&amp;"__wt",'SegEnds_Xtal_BW#'!$A:$Z,4,FALSE)</f>
        <v>60</v>
      </c>
      <c r="E274" s="1" t="str">
        <f>VLOOKUP($B274&amp;"__wt",'SegEnds_Xtal_BW#'!$A:$Z,5,FALSE)</f>
        <v>-</v>
      </c>
      <c r="F274" s="1" t="str">
        <f>VLOOKUP($B274&amp;"__wt",'SegEnds_Xtal_BW#'!$A:$Z,6,FALSE)</f>
        <v>-</v>
      </c>
      <c r="G274" s="1">
        <v>37</v>
      </c>
      <c r="H274" s="12">
        <f>VLOOKUP($B274&amp;"__wt",'SegEnds_Xtal_BW#'!$A:$Z,8,FALSE)</f>
        <v>66</v>
      </c>
      <c r="I274" s="1">
        <f>VLOOKUP($B274&amp;"__wt",'SegEnds_Xtal_BW#'!$A:$Z,9,FALSE)</f>
        <v>47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f>VLOOKUP($B274&amp;"__wt",'SegEnds_Xtal_BW#'!$A:$Z,15,FALSE)</f>
        <v>38</v>
      </c>
      <c r="P274" s="1">
        <f>VLOOKUP($B274&amp;"__wt",'SegEnds_Xtal_BW#'!$A:$Z,16,FALSE)</f>
        <v>62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31</v>
      </c>
      <c r="T274" s="1">
        <f t="array" ref="T274">INDEX(ICL3_classA!$G$2:$G$37,MATCH(MIN(ABS(AI274-ICL3_classA!$F$2:$F$37)),ABS(AI274-ICL3_classA!$F$2:$F$37),0))</f>
        <v>67</v>
      </c>
      <c r="U274" s="1">
        <f t="array" ref="U274">INDEX(ICL3_classA!$H$2:$H$37,MATCH(MIN(ABS(AI274-ICL3_classA!$F$2:$F$37)),ABS(AI274-ICL3_classA!$F$2:$F$37),0))</f>
        <v>26</v>
      </c>
      <c r="V274" s="1">
        <v>61</v>
      </c>
      <c r="W274" s="1">
        <v>33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61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30</v>
      </c>
      <c r="AC274" s="1" t="e">
        <f>VLOOKUP(A274,'SegEnds_NonXtal_Prot#'!A:AL,10,FALSE)-VLOOKUP(A274,'SegEnds_NonXtal_Prot#'!A:AL,7,FALSE)</f>
        <v>#VALUE!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52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46</v>
      </c>
      <c r="AJ274" s="1">
        <f>VLOOKUP(A274,'SegEnds_NonXtal_Prot#'!A:AL,34,FALSE)-VLOOKUP(A274,'SegEnds_NonXtal_Prot#'!A:AL,31,FALSE)</f>
        <v>33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205</v>
      </c>
      <c r="B275" s="1" t="str">
        <f>VLOOKUP(A275,Xtal_Templ!B:C,2,FALSE)</f>
        <v>oprk_human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30</v>
      </c>
      <c r="T275" s="1">
        <f t="array" ref="T275">INDEX(ICL3_classA!$G$2:$G$37,MATCH(MIN(ABS(AI275-ICL3_classA!$F$2:$F$37)),ABS(AI275-ICL3_classA!$F$2:$F$37),0))</f>
        <v>72</v>
      </c>
      <c r="U275" s="1">
        <f t="array" ref="U275">INDEX(ICL3_classA!$H$2:$H$37,MATCH(MIN(ABS(AI275-ICL3_classA!$F$2:$F$37)),ABS(AI275-ICL3_classA!$F$2:$F$37),0))</f>
        <v>29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30</v>
      </c>
      <c r="AC275" s="1" t="e">
        <f>VLOOKUP(A275,'SegEnds_NonXtal_Prot#'!A:AL,10,FALSE)-VLOOKUP(A275,'SegEnds_NonXtal_Prot#'!A:AL,7,FALSE)</f>
        <v>#VALUE!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52</v>
      </c>
      <c r="AI275" s="1">
        <f>VLOOKUP(A275,'SegEnds_NonXtal_Prot#'!A:AL,31,FALSE)-VLOOKUP(A275,'SegEnds_NonXtal_Prot#'!A:AL,28,FALSE)</f>
        <v>50</v>
      </c>
      <c r="AJ275" s="1">
        <f>VLOOKUP(A275,'SegEnds_NonXtal_Prot#'!A:AL,34,FALSE)-VLOOKUP(A275,'SegEnds_NonXtal_Prot#'!A:AL,31,FALSE)</f>
        <v>38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223</v>
      </c>
      <c r="B276" s="1" t="str">
        <f>VLOOKUP(A276,Xtal_Templ!B:C,2,FALSE)</f>
        <v>agtr2_human</v>
      </c>
      <c r="C276" s="5">
        <f>VLOOKUP($B276&amp;"__wt",'SegEnds_Xtal_BW#'!$A:$Z,3,FALSE)</f>
        <v>33</v>
      </c>
      <c r="D276" s="1">
        <f>VLOOKUP($B276&amp;"__wt",'SegEnds_Xtal_BW#'!$A:$Z,4,FALSE)</f>
        <v>60</v>
      </c>
      <c r="E276" s="1" t="str">
        <f>VLOOKUP($B276&amp;"__wt",'SegEnds_Xtal_BW#'!$A:$Z,5,FALSE)</f>
        <v>-</v>
      </c>
      <c r="F276" s="1" t="str">
        <f>VLOOKUP($B276&amp;"__wt",'SegEnds_Xtal_BW#'!$A:$Z,6,FALSE)</f>
        <v>-</v>
      </c>
      <c r="G276" s="1">
        <v>37</v>
      </c>
      <c r="H276" s="12">
        <f>VLOOKUP($B276&amp;"__wt",'SegEnds_Xtal_BW#'!$A:$Z,8,FALSE)</f>
        <v>66</v>
      </c>
      <c r="I276" s="1">
        <f>VLOOKUP($B276&amp;"__wt",'SegEnds_Xtal_BW#'!$A:$Z,9,FALSE)</f>
        <v>47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56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30</v>
      </c>
      <c r="T276" s="1">
        <f t="array" ref="T276">INDEX(ICL3_classA!$G$2:$G$37,MATCH(MIN(ABS(AI276-ICL3_classA!$F$2:$F$37)),ABS(AI276-ICL3_classA!$F$2:$F$37),0))</f>
        <v>68</v>
      </c>
      <c r="U276" s="1">
        <f t="array" ref="U276">INDEX(ICL3_classA!$H$2:$H$37,MATCH(MIN(ABS(AI276-ICL3_classA!$F$2:$F$37)),ABS(AI276-ICL3_classA!$F$2:$F$37),0))</f>
        <v>23</v>
      </c>
      <c r="V276" s="1">
        <v>61</v>
      </c>
      <c r="W276" s="1">
        <v>28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61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30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19</v>
      </c>
      <c r="AG276" s="1">
        <f>VLOOKUP(A276,'SegEnds_NonXtal_Prot#'!A:AL,28,FALSE)-VLOOKUP(A276,'SegEnds_NonXtal_Prot#'!A:AL,25,FALSE)</f>
        <v>27</v>
      </c>
      <c r="AH276" s="1">
        <f>VLOOKUP(A276,'SegEnds_NonXtal_Prot#'!A:AL,28,FALSE)-VLOOKUP(A276,'SegEnds_NonXtal_Prot#'!A:AL,22,FALSE)</f>
        <v>52</v>
      </c>
      <c r="AI276" s="1">
        <f>VLOOKUP(A276,'SegEnds_NonXtal_Prot#'!A:AL,31,FALSE)-VLOOKUP(A276,'SegEnds_NonXtal_Prot#'!A:AL,28,FALSE)</f>
        <v>51</v>
      </c>
      <c r="AJ276" s="1">
        <f>VLOOKUP(A276,'SegEnds_NonXtal_Prot#'!A:AL,34,FALSE)-VLOOKUP(A276,'SegEnds_NonXtal_Prot#'!A:AL,31,FALSE)</f>
        <v>38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224</v>
      </c>
      <c r="B277" s="1" t="str">
        <f>VLOOKUP(A277,Xtal_Templ!B:C,2,FALSE)</f>
        <v>ntr1_rat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28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30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22</v>
      </c>
      <c r="AH277" s="1">
        <f>VLOOKUP(A277,'SegEnds_NonXtal_Prot#'!A:AL,28,FALSE)-VLOOKUP(A277,'SegEnds_NonXtal_Prot#'!A:AL,22,FALSE)</f>
        <v>48</v>
      </c>
      <c r="AI277" s="1">
        <f>VLOOKUP(A277,'SegEnds_NonXtal_Prot#'!A:AL,31,FALSE)-VLOOKUP(A277,'SegEnds_NonXtal_Prot#'!A:AL,28,FALSE)</f>
        <v>48</v>
      </c>
      <c r="AJ277" s="1">
        <f>VLOOKUP(A277,'SegEnds_NonXtal_Prot#'!A:AL,34,FALSE)-VLOOKUP(A277,'SegEnds_NonXtal_Prot#'!A:AL,31,FALSE)</f>
        <v>40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266</v>
      </c>
      <c r="B278" s="1" t="str">
        <f>VLOOKUP(A278,Xtal_Templ!B:C,2,FALSE)</f>
        <v>acm3_rat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f>VLOOKUP($B278&amp;"__wt",'SegEnds_Xtal_BW#'!$A:$Z,14,FALSE)</f>
        <v>57</v>
      </c>
      <c r="O278" s="87">
        <f>VLOOKUP($B278&amp;"__wt",'SegEnds_Xtal_BW#'!$A:$Z,15,FALSE)</f>
        <v>38</v>
      </c>
      <c r="P278" s="1">
        <f>VLOOKUP($B278&amp;"__wt",'SegEnds_Xtal_BW#'!$A:$Z,16,FALSE)</f>
        <v>69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35</v>
      </c>
      <c r="T278" s="1">
        <f t="array" ref="T278">INDEX(ICL3_classA!$G$2:$G$37,MATCH(MIN(ABS(AI278-ICL3_classA!$F$2:$F$37)),ABS(AI278-ICL3_classA!$F$2:$F$37),0))</f>
        <v>76</v>
      </c>
      <c r="U278" s="1">
        <f t="array" ref="U278">INDEX(ICL3_classA!$H$2:$H$37,MATCH(MIN(ABS(AI278-ICL3_classA!$F$2:$F$37)),ABS(AI278-ICL3_classA!$F$2:$F$37),0))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30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53</v>
      </c>
      <c r="AF278" s="1" t="e">
        <f>VLOOKUP(A278,'SegEnds_NonXtal_Prot#'!A:AL,22,FALSE)-VLOOKUP(A278,'SegEnds_NonXtal_Prot#'!A:AL,19,FALSE)</f>
        <v>#VALUE!</v>
      </c>
      <c r="AG278" s="1">
        <f>VLOOKUP(A278,'SegEnds_NonXtal_Prot#'!A:AL,28,FALSE)-VLOOKUP(A278,'SegEnds_NonXtal_Prot#'!A:AL,25,FALSE)</f>
        <v>25</v>
      </c>
      <c r="AH278" s="1">
        <f>VLOOKUP(A278,'SegEnds_NonXtal_Prot#'!A:AL,28,FALSE)-VLOOKUP(A278,'SegEnds_NonXtal_Prot#'!A:AL,22,FALSE)</f>
        <v>45</v>
      </c>
      <c r="AI278" s="1">
        <f>VLOOKUP(A278,'SegEnds_NonXtal_Prot#'!A:AL,31,FALSE)-VLOOKUP(A278,'SegEnds_NonXtal_Prot#'!A:AL,28,FALSE)</f>
        <v>122</v>
      </c>
      <c r="AJ278" s="1">
        <f>VLOOKUP(A278,'SegEnds_NonXtal_Prot#'!A:AL,34,FALSE)-VLOOKUP(A278,'SegEnds_NonXtal_Prot#'!A:AL,31,FALSE)</f>
        <v>37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293</v>
      </c>
      <c r="B279" s="1" t="str">
        <f>VLOOKUP(A279,Xtal_Templ!B:C,2,FALSE)</f>
        <v>agtr1_human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26</v>
      </c>
      <c r="V279" s="1">
        <v>64</v>
      </c>
      <c r="W279" s="1">
        <v>24</v>
      </c>
      <c r="X279" s="108"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30</v>
      </c>
      <c r="AC279" s="1">
        <f>VLOOKUP(A279,'SegEnds_NonXtal_Prot#'!A:AL,10,FALSE)-VLOOKUP(A279,'SegEnds_NonXtal_Prot#'!A:AL,7,FALSE)</f>
        <v>17</v>
      </c>
      <c r="AD279" s="1">
        <f>VLOOKUP(A279,'SegEnds_NonXtal_Prot#'!A:AL,13,FALSE)-VLOOKUP(A279,'SegEnds_NonXtal_Prot#'!A:AL,10,FALSE)</f>
        <v>19</v>
      </c>
      <c r="AE279" s="1">
        <f>VLOOKUP(A279,'SegEnds_NonXtal_Prot#'!A:AL,16,FALSE)-VLOOKUP(A279,'SegEnds_NonXtal_Prot#'!A:AL,10,FALSE)</f>
        <v>51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22</v>
      </c>
      <c r="AH279" s="1">
        <f>VLOOKUP(A279,'SegEnds_NonXtal_Prot#'!A:AL,28,FALSE)-VLOOKUP(A279,'SegEnds_NonXtal_Prot#'!A:AL,22,FALSE)</f>
        <v>47</v>
      </c>
      <c r="AI279" s="1">
        <f>VLOOKUP(A279,'SegEnds_NonXtal_Prot#'!A:AL,31,FALSE)-VLOOKUP(A279,'SegEnds_NonXtal_Prot#'!A:AL,28,FALSE)</f>
        <v>46</v>
      </c>
      <c r="AJ279" s="1">
        <f>VLOOKUP(A279,'SegEnds_NonXtal_Prot#'!A:AL,34,FALSE)-VLOOKUP(A279,'SegEnds_NonXtal_Prot#'!A:AL,31,FALSE)</f>
        <v>46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364</v>
      </c>
      <c r="B280" s="1" t="str">
        <f>VLOOKUP(A280,Xtal_Templ!B:C,2,FALSE)</f>
        <v>5ht2c_human</v>
      </c>
      <c r="C280" s="5">
        <f>VLOOKUP($B280&amp;"__wt",'SegEnds_Xtal_BW#'!$A:$Z,3,FALSE)</f>
        <v>33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68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21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f>VLOOKUP($B280&amp;"__wt",'SegEnds_Xtal_BW#'!$A:$Z,14,FALSE)</f>
        <v>57</v>
      </c>
      <c r="O280" s="87">
        <v>38</v>
      </c>
      <c r="P280" s="1">
        <f>VLOOKUP($B280&amp;"__wt",'SegEnds_Xtal_BW#'!$A:$Z,16,FALSE)</f>
        <v>67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35</v>
      </c>
      <c r="T280" s="1">
        <f t="array" ref="T280">INDEX(ICL3_classA!$G$2:$G$37,MATCH(MIN(ABS(AI280-ICL3_classA!$F$2:$F$37)),ABS(AI280-ICL3_classA!$F$2:$F$37),0))</f>
        <v>76</v>
      </c>
      <c r="U280" s="1">
        <f t="array" ref="U280">INDEX(ICL3_classA!$H$2:$H$37,MATCH(MIN(ABS(AI280-ICL3_classA!$F$2:$F$37)),ABS(AI280-ICL3_classA!$F$2:$F$37),0))</f>
        <v>24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 t="e">
        <f>VLOOKUP(A280,'SegEnds_NonXtal_Prot#'!A:AL,10,FALSE)-VLOOKUP(A280,'SegEnds_NonXtal_Prot#'!A:AL,7,FALSE)</f>
        <v>#VALUE!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27</v>
      </c>
      <c r="AH280" s="1">
        <f>VLOOKUP(A280,'SegEnds_NonXtal_Prot#'!A:AL,28,FALSE)-VLOOKUP(A280,'SegEnds_NonXtal_Prot#'!A:AL,22,FALSE)</f>
        <v>53</v>
      </c>
      <c r="AI280" s="1">
        <f>VLOOKUP(A280,'SegEnds_NonXtal_Prot#'!A:AL,31,FALSE)-VLOOKUP(A280,'SegEnds_NonXtal_Prot#'!A:AL,28,FALSE)</f>
        <v>90</v>
      </c>
      <c r="AJ280" s="1">
        <f>VLOOKUP(A280,'SegEnds_NonXtal_Prot#'!A:AL,34,FALSE)-VLOOKUP(A280,'SegEnds_NonXtal_Prot#'!A:AL,31,FALSE)</f>
        <v>39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371</v>
      </c>
      <c r="B281" s="1" t="str">
        <f>VLOOKUP(A281,Xtal_Templ!B:C,2,FALSE)</f>
        <v>ptafr_human</v>
      </c>
      <c r="C281" s="5">
        <f>VLOOKUP($B281&amp;"__wt",'SegEnds_Xtal_BW#'!$A:$Z,3,FALSE)</f>
        <v>27</v>
      </c>
      <c r="D281" s="1">
        <f>VLOOKUP($B281&amp;"__wt",'SegEnds_Xtal_BW#'!$A:$Z,4,FALSE)</f>
        <v>61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08">
        <v>36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7"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33</v>
      </c>
      <c r="T281" s="1">
        <f t="array" ref="T281">INDEX(ICL3_classA!$G$2:$G$37,MATCH(MIN(ABS(AI281-ICL3_classA!$F$2:$F$37)),ABS(AI281-ICL3_classA!$F$2:$F$37),0))</f>
        <v>68</v>
      </c>
      <c r="U281" s="1">
        <f t="array" ref="U281">INDEX(ICL3_classA!$H$2:$H$37,MATCH(MIN(ABS(AI281-ICL3_classA!$F$2:$F$37)),ABS(AI281-ICL3_classA!$F$2:$F$37),0))</f>
        <v>24</v>
      </c>
      <c r="V281" s="108">
        <v>64</v>
      </c>
      <c r="W281" s="1">
        <v>24</v>
      </c>
      <c r="X281" s="1">
        <f>VLOOKUP($B281&amp;"__wt",'SegEnds_Xtal_BW#'!$A:$Z,24,FALSE)</f>
        <v>59</v>
      </c>
      <c r="Y281" s="1">
        <f>VLOOKUP($B281&amp;"__wt",'SegEnds_Xtal_BW#'!$A:$Z,25,FALSE)</f>
        <v>50</v>
      </c>
      <c r="Z281" s="1">
        <f>VLOOKUP($B281&amp;"__wt",'SegEnds_Xtal_BW#'!$A:$Z,26,FALSE)</f>
        <v>63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30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25</v>
      </c>
      <c r="AH281" s="1">
        <f>VLOOKUP(A281,'SegEnds_NonXtal_Prot#'!A:AL,28,FALSE)-VLOOKUP(A281,'SegEnds_NonXtal_Prot#'!A:AL,22,FALSE)</f>
        <v>56</v>
      </c>
      <c r="AI281" s="1">
        <f>VLOOKUP(A281,'SegEnds_NonXtal_Prot#'!A:AL,31,FALSE)-VLOOKUP(A281,'SegEnds_NonXtal_Prot#'!A:AL,28,FALSE)</f>
        <v>49</v>
      </c>
      <c r="AJ281" s="1">
        <f>VLOOKUP(A281,'SegEnds_NonXtal_Prot#'!A:AL,34,FALSE)-VLOOKUP(A281,'SegEnds_NonXtal_Prot#'!A:AL,31,FALSE)</f>
        <v>43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374</v>
      </c>
      <c r="B282" s="1" t="str">
        <f>VLOOKUP(A282,Xtal_Templ!B:C,2,FALSE)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f>VLOOKUP($B282&amp;"__wt",'SegEnds_Xtal_BW#'!$A:$Z,8,FALSE)</f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INDEX(ICL3_classA!$G$2:$G$37,MATCH(MIN(ABS(AI282-ICL3_classA!$F$2:$F$37)),ABS(AI282-ICL3_classA!$F$2:$F$37),0))</f>
        <v>67</v>
      </c>
      <c r="U282" s="1">
        <f t="array" ref="U282">INDEX(ICL3_classA!$H$2:$H$37,MATCH(MIN(ABS(AI282-ICL3_classA!$F$2:$F$37)),ABS(AI282-ICL3_classA!$F$2:$F$37),0))</f>
        <v>28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30</v>
      </c>
      <c r="AC282" s="1">
        <f>VLOOKUP(A282,'SegEnds_NonXtal_Prot#'!A:AL,10,FALSE)-VLOOKUP(A282,'SegEnds_NonXtal_Prot#'!A:AL,7,FALSE)</f>
        <v>16</v>
      </c>
      <c r="AD282" s="1">
        <f>VLOOKUP(A282,'SegEnds_NonXtal_Prot#'!A:AL,13,FALSE)-VLOOKUP(A282,'SegEnds_NonXtal_Prot#'!A:AL,10,FALSE)</f>
        <v>20</v>
      </c>
      <c r="AE282" s="1">
        <f>VLOOKUP(A282,'SegEnds_NonXtal_Prot#'!A:AL,16,FALSE)-VLOOKUP(A282,'SegEnds_NonXtal_Prot#'!A:AL,10,FALSE)</f>
        <v>52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25</v>
      </c>
      <c r="AH282" s="1">
        <f>VLOOKUP(A282,'SegEnds_NonXtal_Prot#'!A:AL,28,FALSE)-VLOOKUP(A282,'SegEnds_NonXtal_Prot#'!A:AL,22,FALSE)</f>
        <v>50</v>
      </c>
      <c r="AI282" s="1">
        <f>VLOOKUP(A282,'SegEnds_NonXtal_Prot#'!A:AL,31,FALSE)-VLOOKUP(A282,'SegEnds_NonXtal_Prot#'!A:AL,28,FALSE)</f>
        <v>45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399</v>
      </c>
      <c r="B283" s="1" t="str">
        <f>VLOOKUP(A283,Xtal_Templ!B:C,2,FALSE)</f>
        <v>ntr1_rat</v>
      </c>
      <c r="C283" s="5">
        <f>VLOOKUP($B283&amp;"__wt",'SegEnds_Xtal_BW#'!$A:$Z,3,FALSE)</f>
        <v>29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08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INDEX(ICL3_classA!$G$2:$G$37,MATCH(MIN(ABS(AI283-ICL3_classA!$F$2:$F$37)),ABS(AI283-ICL3_classA!$F$2:$F$37),0))</f>
        <v>76</v>
      </c>
      <c r="U283" s="1">
        <f t="array" ref="U283">INDEX(ICL3_classA!$H$2:$H$37,MATCH(MIN(ABS(AI283-ICL3_classA!$F$2:$F$37)),ABS(AI283-ICL3_classA!$F$2:$F$37),0))</f>
        <v>24</v>
      </c>
      <c r="V283" s="1">
        <v>61</v>
      </c>
      <c r="W283" s="1">
        <v>31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30</v>
      </c>
      <c r="AC283" s="1">
        <f>VLOOKUP(A283,'SegEnds_NonXtal_Prot#'!A:AL,10,FALSE)-VLOOKUP(A283,'SegEnds_NonXtal_Prot#'!A:AL,7,FALSE)</f>
        <v>16</v>
      </c>
      <c r="AD283" s="1">
        <f>VLOOKUP(A283,'SegEnds_NonXtal_Prot#'!A:AL,13,FALSE)-VLOOKUP(A283,'SegEnds_NonXtal_Prot#'!A:AL,10,FALSE)</f>
        <v>18</v>
      </c>
      <c r="AE283" s="1">
        <f>VLOOKUP(A283,'SegEnds_NonXtal_Prot#'!A:AL,16,FALSE)-VLOOKUP(A283,'SegEnds_NonXtal_Prot#'!A:AL,10,FALSE)</f>
        <v>52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25</v>
      </c>
      <c r="AH283" s="1">
        <f>VLOOKUP(A283,'SegEnds_NonXtal_Prot#'!A:AL,28,FALSE)-VLOOKUP(A283,'SegEnds_NonXtal_Prot#'!A:AL,22,FALSE)</f>
        <v>53</v>
      </c>
      <c r="AI283" s="1">
        <f>VLOOKUP(A283,'SegEnds_NonXtal_Prot#'!A:AL,31,FALSE)-VLOOKUP(A283,'SegEnds_NonXtal_Prot#'!A:AL,28,FALSE)</f>
        <v>69</v>
      </c>
      <c r="AJ283" s="1">
        <f>VLOOKUP(A283,'SegEnds_NonXtal_Prot#'!A:AL,34,FALSE)-VLOOKUP(A283,'SegEnds_NonXtal_Prot#'!A:AL,31,FALSE)</f>
        <v>36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256</v>
      </c>
      <c r="B284" s="1" t="str">
        <f>VLOOKUP(A284,Xtal_Templ!B:C,2,FALSE)</f>
        <v>ntr1_rat</v>
      </c>
      <c r="C284" s="5">
        <f>VLOOKUP($B284&amp;"__wt",'SegEnds_Xtal_BW#'!$A:$Z,3,FALSE)</f>
        <v>29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f>VLOOKUP($B284&amp;"__wt",'SegEnds_Xtal_BW#'!$A:$Z,14,FALSE)</f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v>35</v>
      </c>
      <c r="T284" s="1">
        <f t="array" ref="T284">INDEX(ICL3_classA!$G$2:$G$37,MATCH(MIN(ABS(AI284-ICL3_classA!$F$2:$F$37)),ABS(AI284-ICL3_classA!$F$2:$F$37),0))</f>
        <v>76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31</v>
      </c>
      <c r="AC284" s="1" t="e">
        <f>VLOOKUP(A284,'SegEnds_NonXtal_Prot#'!A:AL,10,FALSE)-VLOOKUP(A284,'SegEnds_NonXtal_Prot#'!A:AL,7,FALSE)</f>
        <v>#VALUE!</v>
      </c>
      <c r="AD284" s="1" t="e">
        <f>VLOOKUP(A284,'SegEnds_NonXtal_Prot#'!A:AL,13,FALSE)-VLOOKUP(A284,'SegEnds_NonXtal_Prot#'!A:AL,10,FALSE)</f>
        <v>#VALUE!</v>
      </c>
      <c r="AE284" s="1">
        <f>VLOOKUP(A284,'SegEnds_NonXtal_Prot#'!A:AL,16,FALSE)-VLOOKUP(A284,'SegEnds_NonXtal_Prot#'!A:AL,10,FALSE)</f>
        <v>54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21</v>
      </c>
      <c r="AH284" s="1">
        <f>VLOOKUP(A284,'SegEnds_NonXtal_Prot#'!A:AL,28,FALSE)-VLOOKUP(A284,'SegEnds_NonXtal_Prot#'!A:AL,22,FALSE)</f>
        <v>71</v>
      </c>
      <c r="AI284" s="1">
        <f>VLOOKUP(A284,'SegEnds_NonXtal_Prot#'!A:AL,31,FALSE)-VLOOKUP(A284,'SegEnds_NonXtal_Prot#'!A:AL,28,FALSE)</f>
        <v>67</v>
      </c>
      <c r="AJ284" s="1">
        <f>VLOOKUP(A284,'SegEnds_NonXtal_Prot#'!A:AL,34,FALSE)-VLOOKUP(A284,'SegEnds_NonXtal_Prot#'!A:AL,31,FALSE)</f>
        <v>43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299</v>
      </c>
      <c r="B285" s="1" t="str">
        <f>VLOOKUP(A285,Xtal_Templ!B:C,2,FALSE)</f>
        <v>oprk_human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30</v>
      </c>
      <c r="T285" s="1">
        <f t="array" ref="T285">INDEX(ICL3_classA!$G$2:$G$37,MATCH(MIN(ABS(AI285-ICL3_classA!$F$2:$F$37)),ABS(AI285-ICL3_classA!$F$2:$F$37),0))</f>
        <v>68</v>
      </c>
      <c r="U285" s="1">
        <f t="array" ref="U285">INDEX(ICL3_classA!$H$2:$H$37,MATCH(MIN(ABS(AI285-ICL3_classA!$F$2:$F$37)),ABS(AI285-ICL3_classA!$F$2:$F$37),0))</f>
        <v>23</v>
      </c>
      <c r="V285" s="1">
        <v>61</v>
      </c>
      <c r="W285" s="1">
        <v>31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31</v>
      </c>
      <c r="AC285" s="1">
        <f>VLOOKUP(A285,'SegEnds_NonXtal_Prot#'!A:AL,10,FALSE)-VLOOKUP(A285,'SegEnds_NonXtal_Prot#'!A:AL,7,FALSE)</f>
        <v>18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26</v>
      </c>
      <c r="AH285" s="1">
        <f>VLOOKUP(A285,'SegEnds_NonXtal_Prot#'!A:AL,28,FALSE)-VLOOKUP(A285,'SegEnds_NonXtal_Prot#'!A:AL,22,FALSE)</f>
        <v>52</v>
      </c>
      <c r="AI285" s="1">
        <f>VLOOKUP(A285,'SegEnds_NonXtal_Prot#'!A:AL,31,FALSE)-VLOOKUP(A285,'SegEnds_NonXtal_Prot#'!A:AL,28,FALSE)</f>
        <v>51</v>
      </c>
      <c r="AJ285" s="1">
        <f>VLOOKUP(A285,'SegEnds_NonXtal_Prot#'!A:AL,34,FALSE)-VLOOKUP(A285,'SegEnds_NonXtal_Prot#'!A:AL,31,FALSE)</f>
        <v>37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127</v>
      </c>
      <c r="B286" s="1" t="str">
        <f>VLOOKUP(A286,Xtal_Templ!B:C,2,FALSE)</f>
        <v>ntr1_rat</v>
      </c>
      <c r="C286" s="5">
        <f>VLOOKUP($B286&amp;"__wt",'SegEnds_Xtal_BW#'!$A:$Z,3,FALSE)</f>
        <v>29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68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INDEX(ICL3_classA!$G$2:$G$37,MATCH(MIN(ABS(AI286-ICL3_classA!$F$2:$F$37)),ABS(AI286-ICL3_classA!$F$2:$F$37),0))</f>
        <v>76</v>
      </c>
      <c r="U286" s="1">
        <f t="array" ref="U286">INDEX(ICL3_classA!$H$2:$H$37,MATCH(MIN(ABS(AI286-ICL3_classA!$F$2:$F$37)),ABS(AI286-ICL3_classA!$F$2:$F$37),0))</f>
        <v>24</v>
      </c>
      <c r="V286" s="1">
        <v>61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31</v>
      </c>
      <c r="AC286" s="1">
        <f>VLOOKUP(A286,'SegEnds_NonXtal_Prot#'!A:AL,10,FALSE)-VLOOKUP(A286,'SegEnds_NonXtal_Prot#'!A:AL,7,FALSE)</f>
        <v>18</v>
      </c>
      <c r="AD286" s="1">
        <f>VLOOKUP(A286,'SegEnds_NonXtal_Prot#'!A:AL,13,FALSE)-VLOOKUP(A286,'SegEnds_NonXtal_Prot#'!A:AL,10,FALSE)</f>
        <v>22</v>
      </c>
      <c r="AE286" s="1">
        <f>VLOOKUP(A286,'SegEnds_NonXtal_Prot#'!A:AL,16,FALSE)-VLOOKUP(A286,'SegEnds_NonXtal_Prot#'!A:AL,10,FALSE)</f>
        <v>54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55</v>
      </c>
      <c r="AI286" s="1">
        <f>VLOOKUP(A286,'SegEnds_NonXtal_Prot#'!A:AL,31,FALSE)-VLOOKUP(A286,'SegEnds_NonXtal_Prot#'!A:AL,28,FALSE)</f>
        <v>70</v>
      </c>
      <c r="AJ286" s="1">
        <f>VLOOKUP(A286,'SegEnds_NonXtal_Prot#'!A:AL,34,FALSE)-VLOOKUP(A286,'SegEnds_NonXtal_Prot#'!A:AL,31,FALSE)</f>
        <v>43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914</v>
      </c>
      <c r="B287" s="1" t="str">
        <f>VLOOKUP(A287,Xtal_Templ!B:C,2,FALSE)</f>
        <v>ntr1_rat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68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f>VLOOKUP($B287&amp;"__wt",'SegEnds_Xtal_BW#'!$A:$Z,14,FALSE)</f>
        <v>57</v>
      </c>
      <c r="O287" s="87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INDEX(ICL3_classA!$G$2:$G$37,MATCH(MIN(ABS(AI287-ICL3_classA!$F$2:$F$37)),ABS(AI287-ICL3_classA!$F$2:$F$37),0))</f>
        <v>76</v>
      </c>
      <c r="U287" s="1">
        <f t="array" ref="U287">INDEX(ICL3_classA!$H$2:$H$37,MATCH(MIN(ABS(AI287-ICL3_classA!$F$2:$F$37)),ABS(AI287-ICL3_classA!$F$2:$F$37),0))</f>
        <v>24</v>
      </c>
      <c r="V287" s="1">
        <v>61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31</v>
      </c>
      <c r="AC287" s="1">
        <f>VLOOKUP(A287,'SegEnds_NonXtal_Prot#'!A:AL,10,FALSE)-VLOOKUP(A287,'SegEnds_NonXtal_Prot#'!A:AL,7,FALSE)</f>
        <v>18</v>
      </c>
      <c r="AD287" s="1">
        <f>VLOOKUP(A287,'SegEnds_NonXtal_Prot#'!A:AL,13,FALSE)-VLOOKUP(A287,'SegEnds_NonXtal_Prot#'!A:AL,10,FALSE)</f>
        <v>22</v>
      </c>
      <c r="AE287" s="1">
        <f>VLOOKUP(A287,'SegEnds_NonXtal_Prot#'!A:AL,16,FALSE)-VLOOKUP(A287,'SegEnds_NonXtal_Prot#'!A:AL,10,FALSE)</f>
        <v>54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24</v>
      </c>
      <c r="AH287" s="1">
        <f>VLOOKUP(A287,'SegEnds_NonXtal_Prot#'!A:AL,28,FALSE)-VLOOKUP(A287,'SegEnds_NonXtal_Prot#'!A:AL,22,FALSE)</f>
        <v>55</v>
      </c>
      <c r="AI287" s="1">
        <f>VLOOKUP(A287,'SegEnds_NonXtal_Prot#'!A:AL,31,FALSE)-VLOOKUP(A287,'SegEnds_NonXtal_Prot#'!A:AL,28,FALSE)</f>
        <v>74</v>
      </c>
      <c r="AJ287" s="1">
        <f>VLOOKUP(A287,'SegEnds_NonXtal_Prot#'!A:AL,34,FALSE)-VLOOKUP(A287,'SegEnds_NonXtal_Prot#'!A:AL,31,FALSE)</f>
        <v>43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261</v>
      </c>
      <c r="B288" s="1" t="str">
        <f>VLOOKUP(A288,Xtal_Templ!B:C,2,FALSE)</f>
        <v>oprk_human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30</v>
      </c>
      <c r="T288" s="1">
        <f t="array" ref="T288">INDEX(ICL3_classA!$G$2:$G$37,MATCH(MIN(ABS(AI288-ICL3_classA!$F$2:$F$37)),ABS(AI288-ICL3_classA!$F$2:$F$37),0))</f>
        <v>68</v>
      </c>
      <c r="U288" s="1">
        <f t="array" ref="U288">INDEX(ICL3_classA!$H$2:$H$37,MATCH(MIN(ABS(AI288-ICL3_classA!$F$2:$F$37)),ABS(AI288-ICL3_classA!$F$2:$F$37),0))</f>
        <v>24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32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49</v>
      </c>
      <c r="AF288" s="1">
        <f>VLOOKUP(A288,'SegEnds_NonXtal_Prot#'!A:AL,22,FALSE)-VLOOKUP(A288,'SegEnds_NonXtal_Prot#'!A:AL,19,FALSE)</f>
        <v>20</v>
      </c>
      <c r="AG288" s="1">
        <f>VLOOKUP(A288,'SegEnds_NonXtal_Prot#'!A:AL,28,FALSE)-VLOOKUP(A288,'SegEnds_NonXtal_Prot#'!A:AL,25,FALSE)</f>
        <v>25</v>
      </c>
      <c r="AH288" s="1">
        <f>VLOOKUP(A288,'SegEnds_NonXtal_Prot#'!A:AL,28,FALSE)-VLOOKUP(A288,'SegEnds_NonXtal_Prot#'!A:AL,22,FALSE)</f>
        <v>47</v>
      </c>
      <c r="AI288" s="1">
        <f>VLOOKUP(A288,'SegEnds_NonXtal_Prot#'!A:AL,31,FALSE)-VLOOKUP(A288,'SegEnds_NonXtal_Prot#'!A:AL,28,FALSE)</f>
        <v>48</v>
      </c>
      <c r="AJ288" s="1">
        <f>VLOOKUP(A288,'SegEnds_NonXtal_Prot#'!A:AL,34,FALSE)-VLOOKUP(A288,'SegEnds_NonXtal_Prot#'!A:AL,31,FALSE)</f>
        <v>44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473</v>
      </c>
      <c r="B289" s="1" t="str">
        <f>VLOOKUP(A289,Xtal_Templ!B:C,2,FALSE)</f>
        <v>5ht2c_human</v>
      </c>
      <c r="C289" s="5">
        <f>VLOOKUP($B289&amp;"__wt",'SegEnds_Xtal_BW#'!$A:$Z,3,FALSE)</f>
        <v>33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67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35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30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60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32</v>
      </c>
      <c r="AC289" s="1" t="e">
        <f>VLOOKUP(A289,'SegEnds_NonXtal_Prot#'!A:AL,10,FALSE)-VLOOKUP(A289,'SegEnds_NonXtal_Prot#'!A:AL,7,FALSE)</f>
        <v>#VALUE!</v>
      </c>
      <c r="AD289" s="1">
        <f>VLOOKUP(A289,'SegEnds_NonXtal_Prot#'!A:AL,13,FALSE)-VLOOKUP(A289,'SegEnds_NonXtal_Prot#'!A:AL,10,FALSE)</f>
        <v>21</v>
      </c>
      <c r="AE289" s="1">
        <f>VLOOKUP(A289,'SegEnds_NonXtal_Prot#'!A:AL,16,FALSE)-VLOOKUP(A289,'SegEnds_NonXtal_Prot#'!A:AL,10,FALSE)</f>
        <v>56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35</v>
      </c>
      <c r="AH289" s="1">
        <f>VLOOKUP(A289,'SegEnds_NonXtal_Prot#'!A:AL,28,FALSE)-VLOOKUP(A289,'SegEnds_NonXtal_Prot#'!A:AL,22,FALSE)</f>
        <v>61</v>
      </c>
      <c r="AI289" s="1">
        <f>VLOOKUP(A289,'SegEnds_NonXtal_Prot#'!A:AL,31,FALSE)-VLOOKUP(A289,'SegEnds_NonXtal_Prot#'!A:AL,28,FALSE)</f>
        <v>42</v>
      </c>
      <c r="AJ289" s="1">
        <f>VLOOKUP(A289,'SegEnds_NonXtal_Prot#'!A:AL,34,FALSE)-VLOOKUP(A289,'SegEnds_NonXtal_Prot#'!A:AL,31,FALSE)</f>
        <v>45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207</v>
      </c>
      <c r="B290" s="1" t="str">
        <f>VLOOKUP(A290,Xtal_Templ!B:C,2,FALSE)</f>
        <v>oprk_human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30</v>
      </c>
      <c r="T290" s="1">
        <f t="array" ref="T290">INDEX(ICL3_classA!$G$2:$G$37,MATCH(MIN(ABS(AI290-ICL3_classA!$F$2:$F$37)),ABS(AI290-ICL3_classA!$F$2:$F$37),0))</f>
        <v>72</v>
      </c>
      <c r="U290" s="1">
        <f t="array" ref="U290">INDEX(ICL3_classA!$H$2:$H$37,MATCH(MIN(ABS(AI290-ICL3_classA!$F$2:$F$37)),ABS(AI290-ICL3_classA!$F$2:$F$37),0))</f>
        <v>24</v>
      </c>
      <c r="V290" s="1">
        <v>61</v>
      </c>
      <c r="W290" s="1">
        <v>28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33</v>
      </c>
      <c r="AC290" s="1">
        <f>VLOOKUP(A290,'SegEnds_NonXtal_Prot#'!A:AL,10,FALSE)-VLOOKUP(A290,'SegEnds_NonXtal_Prot#'!A:AL,7,FALSE)</f>
        <v>19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24</v>
      </c>
      <c r="AH290" s="1">
        <f>VLOOKUP(A290,'SegEnds_NonXtal_Prot#'!A:AL,28,FALSE)-VLOOKUP(A290,'SegEnds_NonXtal_Prot#'!A:AL,22,FALSE)</f>
        <v>49</v>
      </c>
      <c r="AI290" s="1">
        <f>VLOOKUP(A290,'SegEnds_NonXtal_Prot#'!A:AL,31,FALSE)-VLOOKUP(A290,'SegEnds_NonXtal_Prot#'!A:AL,28,FALSE)</f>
        <v>54</v>
      </c>
      <c r="AJ290" s="1">
        <f>VLOOKUP(A290,'SegEnds_NonXtal_Prot#'!A:AL,34,FALSE)-VLOOKUP(A290,'SegEnds_NonXtal_Prot#'!A:AL,31,FALSE)</f>
        <v>38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219</v>
      </c>
      <c r="B291" s="1" t="str">
        <f>VLOOKUP(A291,Xtal_Templ!B:C,2,FALSE)</f>
        <v>agtr1_human</v>
      </c>
      <c r="C291" s="5">
        <f>VLOOKUP($B291&amp;"__wt",'SegEnds_Xtal_BW#'!$A:$Z,3,FALSE)</f>
        <v>30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63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24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56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34</v>
      </c>
      <c r="T291" s="1">
        <f t="array" ref="T291">INDEX(ICL3_classA!$G$2:$G$37,MATCH(MIN(ABS(AI291-ICL3_classA!$F$2:$F$37)),ABS(AI291-ICL3_classA!$F$2:$F$37),0))</f>
        <v>68</v>
      </c>
      <c r="U291" s="1">
        <f t="array" ref="U291">INDEX(ICL3_classA!$H$2:$H$37,MATCH(MIN(ABS(AI291-ICL3_classA!$F$2:$F$37)),ABS(AI291-ICL3_classA!$F$2:$F$37),0))</f>
        <v>24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33</v>
      </c>
      <c r="AC291" s="1" t="e">
        <f>VLOOKUP(A291,'SegEnds_NonXtal_Prot#'!A:AL,10,FALSE)-VLOOKUP(A291,'SegEnds_NonXtal_Prot#'!A:AL,7,FALSE)</f>
        <v>#VALUE!</v>
      </c>
      <c r="AD291" s="1">
        <f>VLOOKUP(A291,'SegEnds_NonXtal_Prot#'!A:AL,13,FALSE)-VLOOKUP(A291,'SegEnds_NonXtal_Prot#'!A:AL,10,FALSE)</f>
        <v>17</v>
      </c>
      <c r="AE291" s="1">
        <f>VLOOKUP(A291,'SegEnds_NonXtal_Prot#'!A:AL,16,FALSE)-VLOOKUP(A291,'SegEnds_NonXtal_Prot#'!A:AL,10,FALSE)</f>
        <v>49</v>
      </c>
      <c r="AF291" s="1" t="e">
        <f>VLOOKUP(A291,'SegEnds_NonXtal_Prot#'!A:AL,22,FALSE)-VLOOKUP(A291,'SegEnds_NonXtal_Prot#'!A:AL,19,FALSE)</f>
        <v>#VALUE!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49</v>
      </c>
      <c r="AJ291" s="1">
        <f>VLOOKUP(A291,'SegEnds_NonXtal_Prot#'!A:AL,34,FALSE)-VLOOKUP(A291,'SegEnds_NonXtal_Prot#'!A:AL,31,FALSE)</f>
        <v>45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222</v>
      </c>
      <c r="B292" s="1" t="str">
        <f>VLOOKUP(A292,Xtal_Templ!B:C,2,FALSE)</f>
        <v>cxcr4_human</v>
      </c>
      <c r="C292" s="5">
        <f>VLOOKUP($B292&amp;"__wt",'SegEnds_Xtal_BW#'!$A:$Z,3,FALSE)</f>
        <v>24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INDEX(ICL3_classA!$G$2:$G$37,MATCH(MIN(ABS(AI292-ICL3_classA!$F$2:$F$37)),ABS(AI292-ICL3_classA!$F$2:$F$37),0))</f>
        <v>74</v>
      </c>
      <c r="U292" s="1">
        <f t="array" ref="U292">INDEX(ICL3_classA!$H$2:$H$37,MATCH(MIN(ABS(AI292-ICL3_classA!$F$2:$F$37)),ABS(AI292-ICL3_classA!$F$2:$F$37),0))</f>
        <v>21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33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54</v>
      </c>
      <c r="AF292" s="1" t="e">
        <f>VLOOKUP(A292,'SegEnds_NonXtal_Prot#'!A:AL,22,FALSE)-VLOOKUP(A292,'SegEnds_NonXtal_Prot#'!A:AL,19,FALSE)</f>
        <v>#VALUE!</v>
      </c>
      <c r="AG292" s="1">
        <f>VLOOKUP(A292,'SegEnds_NonXtal_Prot#'!A:AL,28,FALSE)-VLOOKUP(A292,'SegEnds_NonXtal_Prot#'!A:AL,25,FALSE)</f>
        <v>27</v>
      </c>
      <c r="AH292" s="1">
        <f>VLOOKUP(A292,'SegEnds_NonXtal_Prot#'!A:AL,28,FALSE)-VLOOKUP(A292,'SegEnds_NonXtal_Prot#'!A:AL,22,FALSE)</f>
        <v>75</v>
      </c>
      <c r="AI292" s="1">
        <f>VLOOKUP(A292,'SegEnds_NonXtal_Prot#'!A:AL,31,FALSE)-VLOOKUP(A292,'SegEnds_NonXtal_Prot#'!A:AL,28,FALSE)</f>
        <v>66</v>
      </c>
      <c r="AJ292" s="1">
        <f>VLOOKUP(A292,'SegEnds_NonXtal_Prot#'!A:AL,34,FALSE)-VLOOKUP(A292,'SegEnds_NonXtal_Prot#'!A:AL,31,FALSE)</f>
        <v>39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363</v>
      </c>
      <c r="B293" s="1" t="str">
        <f>VLOOKUP(A293,Xtal_Templ!B:C,2,FALSE)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72</v>
      </c>
      <c r="U293" s="1">
        <f t="array" ref="U293">INDEX(ICL3_classA!$H$2:$H$37,MATCH(MIN(ABS(AI293-ICL3_classA!$F$2:$F$37)),ABS(AI293-ICL3_classA!$F$2:$F$37),0))</f>
        <v>24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33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21</v>
      </c>
      <c r="AE293" s="1">
        <f>VLOOKUP(A293,'SegEnds_NonXtal_Prot#'!A:AL,16,FALSE)-VLOOKUP(A293,'SegEnds_NonXtal_Prot#'!A:AL,10,FALSE)</f>
        <v>56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35</v>
      </c>
      <c r="AH293" s="1">
        <f>VLOOKUP(A293,'SegEnds_NonXtal_Prot#'!A:AL,28,FALSE)-VLOOKUP(A293,'SegEnds_NonXtal_Prot#'!A:AL,22,FALSE)</f>
        <v>61</v>
      </c>
      <c r="AI293" s="1">
        <f>VLOOKUP(A293,'SegEnds_NonXtal_Prot#'!A:AL,31,FALSE)-VLOOKUP(A293,'SegEnds_NonXtal_Prot#'!A:AL,28,FALSE)</f>
        <v>54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365</v>
      </c>
      <c r="B294" s="1" t="str">
        <f>VLOOKUP(A294,Xtal_Templ!B:C,2,FALSE)</f>
        <v>c5ar1_human</v>
      </c>
      <c r="C294" s="5">
        <f>VLOOKUP($B294&amp;"__wt",'SegEnds_Xtal_BW#'!$A:$Z,3,FALSE)</f>
        <v>29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08">
        <v>50</v>
      </c>
      <c r="R294" s="108">
        <v>52</v>
      </c>
      <c r="S294" s="1">
        <v>35</v>
      </c>
      <c r="T294" s="1">
        <f t="array" ref="T294">INDEX(ICL3_classA!$G$2:$G$37,MATCH(MIN(ABS(AI294-ICL3_classA!$F$2:$F$37)),ABS(AI294-ICL3_classA!$F$2:$F$37),0))</f>
        <v>72</v>
      </c>
      <c r="U294" s="1">
        <f t="array" ref="U294">INDEX(ICL3_classA!$H$2:$H$37,MATCH(MIN(ABS(AI294-ICL3_classA!$F$2:$F$37)),ABS(AI294-ICL3_classA!$F$2:$F$37),0))</f>
        <v>29</v>
      </c>
      <c r="V294" s="1">
        <v>61</v>
      </c>
      <c r="W294" s="1">
        <v>31</v>
      </c>
      <c r="X294" s="108">
        <v>56</v>
      </c>
      <c r="Y294" s="1">
        <f>VLOOKUP($B294&amp;"__wt",'SegEnds_Xtal_BW#'!$A:$Z,25,FALSE)</f>
        <v>47</v>
      </c>
      <c r="Z294" s="1">
        <f>VLOOKUP($B294&amp;"__wt",'SegEnds_Xtal_BW#'!$A:$Z,26,FALSE)</f>
        <v>56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>
        <f>VLOOKUP(A294,'SegEnds_NonXtal_Prot#'!A:AL,10,FALSE)-VLOOKUP(A294,'SegEnds_NonXtal_Prot#'!A:AL,7,FALSE)</f>
        <v>19</v>
      </c>
      <c r="AD294" s="1">
        <f>VLOOKUP(A294,'SegEnds_NonXtal_Prot#'!A:AL,13,FALSE)-VLOOKUP(A294,'SegEnds_NonXtal_Prot#'!A:AL,10,FALSE)</f>
        <v>21</v>
      </c>
      <c r="AE294" s="1">
        <f>VLOOKUP(A294,'SegEnds_NonXtal_Prot#'!A:AL,16,FALSE)-VLOOKUP(A294,'SegEnds_NonXtal_Prot#'!A:AL,10,FALSE)</f>
        <v>56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28</v>
      </c>
      <c r="AH294" s="1">
        <f>VLOOKUP(A294,'SegEnds_NonXtal_Prot#'!A:AL,28,FALSE)-VLOOKUP(A294,'SegEnds_NonXtal_Prot#'!A:AL,22,FALSE)</f>
        <v>54</v>
      </c>
      <c r="AI294" s="1">
        <f>VLOOKUP(A294,'SegEnds_NonXtal_Prot#'!A:AL,31,FALSE)-VLOOKUP(A294,'SegEnds_NonXtal_Prot#'!A:AL,28,FALSE)</f>
        <v>50</v>
      </c>
      <c r="AJ294" s="1">
        <f>VLOOKUP(A294,'SegEnds_NonXtal_Prot#'!A:AL,34,FALSE)-VLOOKUP(A294,'SegEnds_NonXtal_Prot#'!A:AL,31,FALSE)</f>
        <v>37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210</v>
      </c>
      <c r="B295" s="1" t="str">
        <f>VLOOKUP(A295,Xtal_Templ!B:C,2,FALSE)</f>
        <v>apj_human</v>
      </c>
      <c r="C295" s="5">
        <f>VLOOKUP($B295&amp;"__wt",'SegEnds_Xtal_BW#'!$A:$Z,3,FALSE)</f>
        <v>33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52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21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53</v>
      </c>
      <c r="O295" s="87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30</v>
      </c>
      <c r="T295" s="1">
        <f t="array" ref="T295">INDEX(ICL3_classA!$G$2:$G$37,MATCH(MIN(ABS(AI295-ICL3_classA!$F$2:$F$37)),ABS(AI295-ICL3_classA!$F$2:$F$37),0))</f>
        <v>74</v>
      </c>
      <c r="U295" s="1">
        <f t="array" ref="U295">INDEX(ICL3_classA!$H$2:$H$37,MATCH(MIN(ABS(AI295-ICL3_classA!$F$2:$F$37)),ABS(AI295-ICL3_classA!$F$2:$F$37),0))</f>
        <v>21</v>
      </c>
      <c r="V295" s="1">
        <v>61</v>
      </c>
      <c r="W295" s="1">
        <v>28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61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34</v>
      </c>
      <c r="AC295" s="1">
        <f>VLOOKUP(A295,'SegEnds_NonXtal_Prot#'!A:AL,10,FALSE)-VLOOKUP(A295,'SegEnds_NonXtal_Prot#'!A:AL,7,FALSE)</f>
        <v>14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18</v>
      </c>
      <c r="AG295" s="1">
        <f>VLOOKUP(A295,'SegEnds_NonXtal_Prot#'!A:AL,28,FALSE)-VLOOKUP(A295,'SegEnds_NonXtal_Prot#'!A:AL,25,FALSE)</f>
        <v>23</v>
      </c>
      <c r="AH295" s="1">
        <f>VLOOKUP(A295,'SegEnds_NonXtal_Prot#'!A:AL,28,FALSE)-VLOOKUP(A295,'SegEnds_NonXtal_Prot#'!A:AL,22,FALSE)</f>
        <v>59</v>
      </c>
      <c r="AI295" s="1">
        <f>VLOOKUP(A295,'SegEnds_NonXtal_Prot#'!A:AL,31,FALSE)-VLOOKUP(A295,'SegEnds_NonXtal_Prot#'!A:AL,28,FALSE)</f>
        <v>59</v>
      </c>
      <c r="AJ295" s="1">
        <f>VLOOKUP(A295,'SegEnds_NonXtal_Prot#'!A:AL,34,FALSE)-VLOOKUP(A295,'SegEnds_NonXtal_Prot#'!A:AL,31,FALSE)</f>
        <v>38</v>
      </c>
      <c r="AK295" s="1" t="e">
        <f>VLOOKUP(A295,'SegEnds_NonXtal_Prot#'!A:AL,37,FALSE)-VLOOKUP(A295,'SegEnds_NonXtal_Prot#'!A:AL,34,FALSE)</f>
        <v>#VALUE!</v>
      </c>
      <c r="AL295" s="1" t="str">
        <f>IF(ISERROR(MATCH(A295,'SegEnds_Xtal_Prot#'!B:B, 0)), "NoXtal", "Xtal")</f>
        <v>NoXtal</v>
      </c>
    </row>
    <row r="296" spans="1:38" x14ac:dyDescent="0.2">
      <c r="A296" s="1" t="s">
        <v>361</v>
      </c>
      <c r="B296" s="1" t="str">
        <f>VLOOKUP(A296,Xtal_Templ!B:C,2,FALSE)</f>
        <v>cnr1_human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v>66</v>
      </c>
      <c r="I296" s="1" t="str">
        <f>VLOOKUP($B296&amp;"__wt",'SegEnds_Xtal_BW#'!$A:$Z,9,FALSE)</f>
        <v>-</v>
      </c>
      <c r="J296" s="1" t="str">
        <f>VLOOKUP($B296&amp;"__wt",'SegEnds_Xtal_BW#'!$A:$Z,10,FALSE)</f>
        <v>-</v>
      </c>
      <c r="K296" s="12">
        <v>21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63</v>
      </c>
      <c r="Q296" s="108">
        <v>50</v>
      </c>
      <c r="R296" s="108">
        <v>52</v>
      </c>
      <c r="S296" s="1">
        <f>VLOOKUP($B296&amp;"__wt",'SegEnds_Xtal_BW#'!$A:$Z,19,FALSE)</f>
        <v>36</v>
      </c>
      <c r="T296" s="1">
        <f t="array" ref="T296">INDEX(ICL3_classA!$G$2:$G$37,MATCH(MIN(ABS(AI296-ICL3_classA!$F$2:$F$37)),ABS(AI296-ICL3_classA!$F$2:$F$37),0))</f>
        <v>74</v>
      </c>
      <c r="U296" s="1">
        <f t="array" ref="U296">INDEX(ICL3_classA!$H$2:$H$37,MATCH(MIN(ABS(AI296-ICL3_classA!$F$2:$F$37)),ABS(AI296-ICL3_classA!$F$2:$F$37),0))</f>
        <v>24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34</v>
      </c>
      <c r="AC296" s="1">
        <f>VLOOKUP(A296,'SegEnds_NonXtal_Prot#'!A:AL,10,FALSE)-VLOOKUP(A296,'SegEnds_NonXtal_Prot#'!A:AL,7,FALSE)</f>
        <v>20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51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28</v>
      </c>
      <c r="AH296" s="1">
        <f>VLOOKUP(A296,'SegEnds_NonXtal_Prot#'!A:AL,28,FALSE)-VLOOKUP(A296,'SegEnds_NonXtal_Prot#'!A:AL,22,FALSE)</f>
        <v>54</v>
      </c>
      <c r="AI296" s="1">
        <f>VLOOKUP(A296,'SegEnds_NonXtal_Prot#'!A:AL,31,FALSE)-VLOOKUP(A296,'SegEnds_NonXtal_Prot#'!A:AL,28,FALSE)</f>
        <v>96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359</v>
      </c>
      <c r="B297" s="1" t="str">
        <f>VLOOKUP(A297,Xtal_Templ!B:C,2,FALSE)</f>
        <v>aa2ar_human</v>
      </c>
      <c r="C297" s="5">
        <f>VLOOKUP($B297&amp;"__wt",'SegEnds_Xtal_BW#'!$A:$Z,3,FALSE)</f>
        <v>27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50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63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34</v>
      </c>
      <c r="T297" s="1">
        <f t="array" ref="T297">INDEX(ICL3_classA!$G$2:$G$37,MATCH(MIN(ABS(AI297-ICL3_classA!$F$2:$F$37)),ABS(AI297-ICL3_classA!$F$2:$F$37),0))</f>
        <v>76</v>
      </c>
      <c r="U297" s="1">
        <f t="array" ref="U297">INDEX(ICL3_classA!$H$2:$H$37,MATCH(MIN(ABS(AI297-ICL3_classA!$F$2:$F$37)),ABS(AI297-ICL3_classA!$F$2:$F$37),0))</f>
        <v>24</v>
      </c>
      <c r="V297" s="1">
        <v>61</v>
      </c>
      <c r="W297" s="1">
        <v>28</v>
      </c>
      <c r="X297" s="128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38</v>
      </c>
      <c r="AC297" s="1" t="e">
        <f>VLOOKUP(A297,'SegEnds_NonXtal_Prot#'!A:AL,10,FALSE)-VLOOKUP(A297,'SegEnds_NonXtal_Prot#'!A:AL,7,FALSE)</f>
        <v>#VALUE!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58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29</v>
      </c>
      <c r="AH297" s="1">
        <f>VLOOKUP(A297,'SegEnds_NonXtal_Prot#'!A:AL,28,FALSE)-VLOOKUP(A297,'SegEnds_NonXtal_Prot#'!A:AL,22,FALSE)</f>
        <v>55</v>
      </c>
      <c r="AI297" s="1">
        <f>VLOOKUP(A297,'SegEnds_NonXtal_Prot#'!A:AL,31,FALSE)-VLOOKUP(A297,'SegEnds_NonXtal_Prot#'!A:AL,28,FALSE)</f>
        <v>68</v>
      </c>
      <c r="AJ297" s="1">
        <f>VLOOKUP(A297,'SegEnds_NonXtal_Prot#'!A:AL,34,FALSE)-VLOOKUP(A297,'SegEnds_NonXtal_Prot#'!A:AL,31,FALSE)</f>
        <v>40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362</v>
      </c>
      <c r="B298" s="1" t="str">
        <f>VLOOKUP(A298,Xtal_Templ!B:C,2,FALSE)</f>
        <v>ntr1_rat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INDEX(ICL3_classA!$G$2:$G$37,MATCH(MIN(ABS(AI298-ICL3_classA!$F$2:$F$37)),ABS(AI298-ICL3_classA!$F$2:$F$37),0))</f>
        <v>76</v>
      </c>
      <c r="U298" s="1">
        <f t="array" ref="U298">INDEX(ICL3_classA!$H$2:$H$37,MATCH(MIN(ABS(AI298-ICL3_classA!$F$2:$F$37)),ABS(AI298-ICL3_classA!$F$2:$F$37),0))</f>
        <v>24</v>
      </c>
      <c r="V298" s="1">
        <v>61</v>
      </c>
      <c r="W298" s="1">
        <v>33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39</v>
      </c>
      <c r="AC298" s="1">
        <f>VLOOKUP(A298,'SegEnds_NonXtal_Prot#'!A:AL,10,FALSE)-VLOOKUP(A298,'SegEnds_NonXtal_Prot#'!A:AL,7,FALSE)</f>
        <v>20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56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22</v>
      </c>
      <c r="AH298" s="1">
        <f>VLOOKUP(A298,'SegEnds_NonXtal_Prot#'!A:AL,28,FALSE)-VLOOKUP(A298,'SegEnds_NonXtal_Prot#'!A:AL,22,FALSE)</f>
        <v>48</v>
      </c>
      <c r="AI298" s="1">
        <f>VLOOKUP(A298,'SegEnds_NonXtal_Prot#'!A:AL,31,FALSE)-VLOOKUP(A298,'SegEnds_NonXtal_Prot#'!A:AL,28,FALSE)</f>
        <v>70</v>
      </c>
      <c r="AJ298" s="1">
        <f>VLOOKUP(A298,'SegEnds_NonXtal_Prot#'!A:AL,34,FALSE)-VLOOKUP(A298,'SegEnds_NonXtal_Prot#'!A:AL,31,FALSE)</f>
        <v>33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401</v>
      </c>
      <c r="B299" s="42" t="str">
        <f>VLOOKUP(A299,Xtal_Templ!B:C,2,FALSE)</f>
        <v>calcr_human</v>
      </c>
      <c r="C299" s="43">
        <f>VLOOKUP($B299&amp;"__wt",'SegEnds_Xtal_BW#'!$A:$Z,3,FALSE)</f>
        <v>19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21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41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40</v>
      </c>
      <c r="T299" s="42">
        <f>VLOOKUP($B299&amp;"__wt",'SegEnds_Xtal_BW#'!$A:$Z,20,FALSE)</f>
        <v>70</v>
      </c>
      <c r="U299" s="42">
        <f>VLOOKUP($B299&amp;"__wt",'SegEnds_Xtal_BW#'!$A:$Z,21,FALSE)</f>
        <v>30</v>
      </c>
      <c r="V299" s="4">
        <f>VLOOKUP($B299&amp;"__wt",'SegEnds_Xtal_BW#'!$A:$Z,22,FALSE)</f>
        <v>53</v>
      </c>
      <c r="W299" s="116">
        <v>28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53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19</v>
      </c>
      <c r="AH299" s="1">
        <f>VLOOKUP(A299,'SegEnds_NonXtal_Prot#'!A:AL,28,FALSE)-VLOOKUP(A299,'SegEnds_NonXtal_Prot#'!A:AL,22,FALSE)</f>
        <v>41</v>
      </c>
      <c r="AI299" s="42">
        <f>VLOOKUP(A299,'SegEnds_NonXtal_Prot#'!A:AL,31,FALSE)-VLOOKUP(A299,'SegEnds_NonXtal_Prot#'!A:AL,28,FALSE)</f>
        <v>50</v>
      </c>
      <c r="AJ299" s="42">
        <f>VLOOKUP(A299,'SegEnds_NonXtal_Prot#'!A:AL,34,FALSE)-VLOOKUP(A299,'SegEnds_NonXtal_Prot#'!A:AL,31,FALSE)</f>
        <v>30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Xtal</v>
      </c>
    </row>
    <row r="300" spans="1:38" x14ac:dyDescent="0.2">
      <c r="A300" s="1" t="s">
        <v>402</v>
      </c>
      <c r="B300" s="1" t="str">
        <f>VLOOKUP(A300,Xtal_Templ!B:C,2,FALSE)</f>
        <v>calcr_human</v>
      </c>
      <c r="C300" s="5">
        <f>VLOOKUP($B300&amp;"__wt",'SegEnds_Xtal_BW#'!$A:$Z,3,FALSE)</f>
        <v>19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15">
        <v>64</v>
      </c>
      <c r="I300" s="1" t="str">
        <f>VLOOKUP($B300&amp;"__wt",'SegEnds_Xtal_BW#'!$A:$Z,9,FALSE)</f>
        <v>-</v>
      </c>
      <c r="J300" s="1" t="str">
        <f>VLOOKUP($B300&amp;"__wt",'SegEnds_Xtal_BW#'!$A:$Z,10,FALSE)</f>
        <v>-</v>
      </c>
      <c r="K300" s="108">
        <v>21</v>
      </c>
      <c r="L300" s="1">
        <f>VLOOKUP($B300&amp;"__wt",'SegEnds_Xtal_BW#'!$A:$Z,12,FALSE)</f>
        <v>56</v>
      </c>
      <c r="M300" s="1" t="str">
        <f>VLOOKUP($B300&amp;"__wt",'SegEnds_Xtal_BW#'!$A:$Z,13,FALSE)</f>
        <v>-</v>
      </c>
      <c r="N300" s="12" t="str">
        <f>VLOOKUP($B300&amp;"__wt",'SegEnds_Xtal_BW#'!$A:$Z,14,FALSE)</f>
        <v>-</v>
      </c>
      <c r="O300" s="87">
        <f>VLOOKUP($B300&amp;"__wt",'SegEnds_Xtal_BW#'!$A:$Z,15,FALSE)</f>
        <v>41</v>
      </c>
      <c r="P300" s="1">
        <f>VLOOKUP($B300&amp;"__wt",'SegEnds_Xtal_BW#'!$A:$Z,16,FALSE)</f>
        <v>68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08">
        <v>39</v>
      </c>
      <c r="T300" s="1">
        <f>VLOOKUP($B300&amp;"__wt",'SegEnds_Xtal_BW#'!$A:$Z,20,FALSE)</f>
        <v>70</v>
      </c>
      <c r="U300" s="1">
        <f>VLOOKUP($B300&amp;"__wt",'SegEnds_Xtal_BW#'!$A:$Z,21,FALSE)</f>
        <v>30</v>
      </c>
      <c r="V300" s="1">
        <f>VLOOKUP($B300&amp;"__wt",'SegEnds_Xtal_BW#'!$A:$Z,22,FALSE)</f>
        <v>53</v>
      </c>
      <c r="W300" s="108">
        <v>28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53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19</v>
      </c>
      <c r="AH300" s="1">
        <f>VLOOKUP(A300,'SegEnds_NonXtal_Prot#'!A:AL,28,FALSE)-VLOOKUP(A300,'SegEnds_NonXtal_Prot#'!A:AL,22,FALSE)</f>
        <v>41</v>
      </c>
      <c r="AI300" s="1">
        <f>VLOOKUP(A300,'SegEnds_NonXtal_Prot#'!A:AL,31,FALSE)-VLOOKUP(A300,'SegEnds_NonXtal_Prot#'!A:AL,28,FALSE)</f>
        <v>50</v>
      </c>
      <c r="AJ300" s="1">
        <f>VLOOKUP(A300,'SegEnds_NonXtal_Prot#'!A:AL,34,FALSE)-VLOOKUP(A300,'SegEnds_NonXtal_Prot#'!A:AL,31,FALSE)</f>
        <v>30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4" t="s">
        <v>38</v>
      </c>
      <c r="B301" s="4" t="str">
        <f>VLOOKUP(A301,Xtal_Templ!B:C,2,FALSE)</f>
        <v>crfr1_human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">
        <v>63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22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08">
        <v>39</v>
      </c>
      <c r="T301" s="4">
        <f>VLOOKUP($B301&amp;"__wt",'SegEnds_Xtal_BW#'!$A:$Z,20,FALSE)</f>
        <v>69</v>
      </c>
      <c r="U301" s="4">
        <f>VLOOKUP($B301&amp;"__wt",'SegEnds_Xtal_BW#'!$A:$Z,21,FALSE)</f>
        <v>25</v>
      </c>
      <c r="V301" s="4">
        <f>VLOOKUP($B301&amp;"__wt",'SegEnds_Xtal_BW#'!$A:$Z,22,FALSE)</f>
        <v>53</v>
      </c>
      <c r="W301" s="4">
        <v>29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51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21</v>
      </c>
      <c r="AH301" s="1">
        <f>VLOOKUP(A301,'SegEnds_NonXtal_Prot#'!A:AL,28,FALSE)-VLOOKUP(A301,'SegEnds_NonXtal_Prot#'!A:AL,22,FALSE)</f>
        <v>43</v>
      </c>
      <c r="AI301" s="4">
        <f>VLOOKUP(A301,'SegEnds_NonXtal_Prot#'!A:AL,31,FALSE)-VLOOKUP(A301,'SegEnds_NonXtal_Prot#'!A:AL,28,FALSE)</f>
        <v>50</v>
      </c>
      <c r="AJ301" s="4">
        <f>VLOOKUP(A301,'SegEnds_NonXtal_Prot#'!A:AL,34,FALSE)-VLOOKUP(A301,'SegEnds_NonXtal_Prot#'!A:AL,31,FALSE)</f>
        <v>31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Xtal</v>
      </c>
    </row>
    <row r="302" spans="1:38" x14ac:dyDescent="0.2">
      <c r="A302" s="4" t="s">
        <v>403</v>
      </c>
      <c r="B302" s="4" t="str">
        <f>VLOOKUP(A302,Xtal_Templ!B:C,2,FALSE)</f>
        <v>crfr1_human</v>
      </c>
      <c r="C302" s="5">
        <f>VLOOKUP($B302&amp;"__wt",'SegEnds_Xtal_BW#'!$A:$Z,3,FALSE)</f>
        <v>19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">
        <v>63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22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40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15">
        <v>39</v>
      </c>
      <c r="T302" s="4">
        <f>VLOOKUP($B302&amp;"__wt",'SegEnds_Xtal_BW#'!$A:$Z,20,FALSE)</f>
        <v>69</v>
      </c>
      <c r="U302" s="4">
        <f>VLOOKUP($B302&amp;"__wt",'SegEnds_Xtal_BW#'!$A:$Z,21,FALSE)</f>
        <v>25</v>
      </c>
      <c r="V302" s="4">
        <f>VLOOKUP($B302&amp;"__wt",'SegEnds_Xtal_BW#'!$A:$Z,22,FALSE)</f>
        <v>53</v>
      </c>
      <c r="W302" s="4">
        <v>29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50</v>
      </c>
      <c r="AF302" s="4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21</v>
      </c>
      <c r="AH302" s="4">
        <f>VLOOKUP(A302,'SegEnds_NonXtal_Prot#'!A:AL,28,FALSE)-VLOOKUP(A302,'SegEnds_NonXtal_Prot#'!A:AL,22,FALSE)</f>
        <v>43</v>
      </c>
      <c r="AI302" s="4">
        <f>VLOOKUP(A302,'SegEnds_NonXtal_Prot#'!A:AL,31,FALSE)-VLOOKUP(A302,'SegEnds_NonXtal_Prot#'!A:AL,28,FALSE)</f>
        <v>50</v>
      </c>
      <c r="AJ302" s="4">
        <f>VLOOKUP(A302,'SegEnds_NonXtal_Prot#'!A:AL,34,FALSE)-VLOOKUP(A302,'SegEnds_NonXtal_Prot#'!A:AL,31,FALSE)</f>
        <v>31</v>
      </c>
      <c r="AK302" s="1">
        <f>VLOOKUP(A302,'SegEnds_NonXtal_Prot#'!A:AL,37,FALSE)-VLOOKUP(A302,'SegEnds_NonXtal_Prot#'!A:AL,34,FALSE)</f>
        <v>10</v>
      </c>
      <c r="AL302" s="4" t="str">
        <f>IF(ISERROR(MATCH(A302,'SegEnds_Xtal_Prot#'!B:B, 0)), "NoXtal", "Xtal")</f>
        <v>NoXtal</v>
      </c>
    </row>
    <row r="303" spans="1:38" x14ac:dyDescent="0.2">
      <c r="A303" s="4" t="s">
        <v>1430</v>
      </c>
      <c r="B303" s="4" t="str">
        <f>VLOOKUP(A303,Xtal_Templ!B:C,2,FALSE)</f>
        <v>g1sgd4_rabit</v>
      </c>
      <c r="C303" s="5">
        <f>VLOOKUP($B303&amp;"__wt",'SegEnds_Xtal_BW#'!$A:$Z,3,FALSE)</f>
        <v>28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74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f>VLOOKUP($B303&amp;"__wt",'SegEnds_Xtal_BW#'!$A:$Z,20,FALSE)</f>
        <v>71</v>
      </c>
      <c r="U303" s="4">
        <f>VLOOKUP($B303&amp;"__wt",'SegEnds_Xtal_BW#'!$A:$Z,21,FALSE)</f>
        <v>30</v>
      </c>
      <c r="V303" s="4">
        <f>VLOOKUP($B303&amp;"__wt",'SegEnds_Xtal_BW#'!$A:$Z,22,FALSE)</f>
        <v>53</v>
      </c>
      <c r="W303" s="115">
        <v>30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64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50</v>
      </c>
      <c r="AJ303" s="4">
        <f>VLOOKUP(A303,'SegEnds_NonXtal_Prot#'!A:AL,34,FALSE)-VLOOKUP(A303,'SegEnds_NonXtal_Prot#'!A:AL,31,FALSE)</f>
        <v>33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Xtal</v>
      </c>
    </row>
    <row r="304" spans="1:38" x14ac:dyDescent="0.2">
      <c r="A304" s="4" t="s">
        <v>404</v>
      </c>
      <c r="B304" s="4" t="str">
        <f>VLOOKUP(A304,Xtal_Templ!B:C,2,FALSE)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21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08">
        <v>39</v>
      </c>
      <c r="T304" s="4">
        <v>69</v>
      </c>
      <c r="U304" s="4">
        <v>25</v>
      </c>
      <c r="V304" s="4">
        <f>VLOOKUP($B304&amp;"__wt",'SegEnds_Xtal_BW#'!$A:$Z,22,FALSE)</f>
        <v>53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55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1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NoXtal</v>
      </c>
    </row>
    <row r="305" spans="1:38" x14ac:dyDescent="0.2">
      <c r="A305" s="4" t="s">
        <v>405</v>
      </c>
      <c r="B305" s="4" t="str">
        <f>VLOOKUP(A305,Xtal_Templ!B:C,2,FALSE)</f>
        <v>glr_human</v>
      </c>
      <c r="C305" s="5">
        <f>VLOOKUP($B305&amp;"__wt",'SegEnds_Xtal_BW#'!$A:$Z,3,FALSE)</f>
        <v>25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08">
        <v>39</v>
      </c>
      <c r="T305" s="4">
        <f>VLOOKUP($B305&amp;"__wt",'SegEnds_Xtal_BW#'!$A:$Z,20,FALSE)</f>
        <v>71</v>
      </c>
      <c r="U305" s="115">
        <v>28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61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20</v>
      </c>
      <c r="AH305" s="1">
        <f>VLOOKUP(A305,'SegEnds_NonXtal_Prot#'!A:AL,28,FALSE)-VLOOKUP(A305,'SegEnds_NonXtal_Prot#'!A:AL,22,FALSE)</f>
        <v>42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33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NoXtal</v>
      </c>
    </row>
    <row r="306" spans="1:38" x14ac:dyDescent="0.2">
      <c r="A306" s="1" t="s">
        <v>406</v>
      </c>
      <c r="B306" s="1" t="str">
        <f>VLOOKUP(A306,Xtal_Templ!B:C,2,FALSE)</f>
        <v>glp1r_human</v>
      </c>
      <c r="C306" s="5">
        <f>VLOOKUP($B306&amp;"__wt",'SegEnds_Xtal_BW#'!$A:$Z,3,FALSE)</f>
        <v>29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08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08">
        <v>39</v>
      </c>
      <c r="T306" s="1">
        <f>VLOOKUP($B306&amp;"__wt",'SegEnds_Xtal_BW#'!$A:$Z,20,FALSE)</f>
        <v>71</v>
      </c>
      <c r="U306" s="1">
        <f>VLOOKUP($B306&amp;"__wt",'SegEnds_Xtal_BW#'!$A:$Z,21,FALSE)</f>
        <v>28</v>
      </c>
      <c r="V306" s="1">
        <f>VLOOKUP($B306&amp;"__wt",'SegEnds_Xtal_BW#'!$A:$Z,22,FALSE)</f>
        <v>53</v>
      </c>
      <c r="W306" s="1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64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20</v>
      </c>
      <c r="AH306" s="1">
        <f>VLOOKUP(A306,'SegEnds_NonXtal_Prot#'!A:AL,28,FALSE)-VLOOKUP(A306,'SegEnds_NonXtal_Prot#'!A:AL,22,FALSE)</f>
        <v>42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33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407</v>
      </c>
      <c r="B307" s="4" t="str">
        <f>VLOOKUP(A307,Xtal_Templ!B:C,2,FALSE)</f>
        <v>glr_human</v>
      </c>
      <c r="C307" s="5">
        <f>VLOOKUP($B307&amp;"__wt",'SegEnds_Xtal_BW#'!$A:$Z,3,FALSE)</f>
        <v>25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71</v>
      </c>
      <c r="U307" s="115">
        <v>28</v>
      </c>
      <c r="V307" s="4">
        <f>VLOOKUP($B307&amp;"__wt",'SegEnds_Xtal_BW#'!$A:$Z,22,FALSE)</f>
        <v>53</v>
      </c>
      <c r="W307" s="4">
        <v>28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64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33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4" t="s">
        <v>32</v>
      </c>
      <c r="B308" s="4" t="str">
        <f>VLOOKUP(A308,Xtal_Templ!B:C,2,FALSE)</f>
        <v>glr_human</v>
      </c>
      <c r="C308" s="5">
        <f>VLOOKUP($B308&amp;"__wt",'SegEnds_Xtal_BW#'!$A:$Z,3,FALSE)</f>
        <v>25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v>36</v>
      </c>
      <c r="T308" s="4">
        <f>VLOOKUP($B308&amp;"__wt",'SegEnds_Xtal_BW#'!$A:$Z,20,FALSE)</f>
        <v>71</v>
      </c>
      <c r="U308" s="4">
        <f>VLOOKUP($B308&amp;"__wt",'SegEnds_Xtal_BW#'!$A:$Z,21,FALSE)</f>
        <v>28</v>
      </c>
      <c r="V308" s="4">
        <f>VLOOKUP($B308&amp;"__wt",'SegEnds_Xtal_BW#'!$A:$Z,22,FALSE)</f>
        <v>53</v>
      </c>
      <c r="W308" s="115">
        <v>27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65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33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1" t="s">
        <v>408</v>
      </c>
      <c r="B309" s="1" t="str">
        <f>VLOOKUP(A309,Xtal_Templ!B:C,2,FALSE)</f>
        <v>glr_human</v>
      </c>
      <c r="C309" s="5">
        <f>VLOOKUP($B309&amp;"__wt",'SegEnds_Xtal_BW#'!$A:$Z,3,FALSE)</f>
        <v>25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21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08">
        <v>39</v>
      </c>
      <c r="T309" s="1">
        <v>69</v>
      </c>
      <c r="U309" s="1">
        <v>25</v>
      </c>
      <c r="V309" s="1">
        <f>VLOOKUP($B309&amp;"__wt",'SegEnds_Xtal_BW#'!$A:$Z,22,FALSE)</f>
        <v>53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409</v>
      </c>
      <c r="B310" s="4" t="str">
        <f>VLOOKUP(A310,Xtal_Templ!B:C,2,FALSE)</f>
        <v>glp1r_human</v>
      </c>
      <c r="C310" s="5">
        <f>VLOOKUP($B310&amp;"__wt",'SegEnds_Xtal_BW#'!$A:$Z,3,FALSE)</f>
        <v>29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69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21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38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5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76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4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53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NoXtal</v>
      </c>
    </row>
    <row r="311" spans="1:38" x14ac:dyDescent="0.2">
      <c r="A311" s="4" t="s">
        <v>410</v>
      </c>
      <c r="B311" s="4" t="str">
        <f>VLOOKUP(A311,Xtal_Templ!B:C,2,FALSE)</f>
        <v>glp1r_human</v>
      </c>
      <c r="C311" s="5">
        <f>VLOOKUP($B311&amp;"__wt",'SegEnds_Xtal_BW#'!$A:$Z,3,FALSE)</f>
        <v>29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69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21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38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v>69</v>
      </c>
      <c r="U311" s="4">
        <v>25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74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4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53</v>
      </c>
      <c r="AJ311" s="4">
        <f>VLOOKUP(A311,'SegEnds_NonXtal_Prot#'!A:AL,34,FALSE)-VLOOKUP(A311,'SegEnds_NonXtal_Prot#'!A:AL,31,FALSE)</f>
        <v>32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411</v>
      </c>
      <c r="B312" s="4" t="str">
        <f>VLOOKUP(A312,Xtal_Templ!B:C,2,FALSE)</f>
        <v>glp1r_human</v>
      </c>
      <c r="C312" s="5">
        <f>VLOOKUP($B312&amp;"__wt",'SegEnds_Xtal_BW#'!$A:$Z,3,FALSE)</f>
        <v>29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21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38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15">
        <v>39</v>
      </c>
      <c r="T312" s="4">
        <v>69</v>
      </c>
      <c r="U312" s="4">
        <v>25</v>
      </c>
      <c r="V312" s="4">
        <f>VLOOKUP($B312&amp;"__wt",'SegEnds_Xtal_BW#'!$A:$Z,22,FALSE)</f>
        <v>53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55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28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412</v>
      </c>
      <c r="B313" s="4" t="str">
        <f>VLOOKUP(A313,Xtal_Templ!B:C,2,FALSE)</f>
        <v>glp1r_human</v>
      </c>
      <c r="C313" s="4">
        <f>VLOOKUP($B313&amp;"__wt",'SegEnds_Xtal_BW#'!$A:$Z,3,FALSE)</f>
        <v>29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38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08">
        <v>39</v>
      </c>
      <c r="T313" s="4">
        <v>69</v>
      </c>
      <c r="U313" s="4">
        <v>25</v>
      </c>
      <c r="V313" s="1">
        <f>VLOOKUP($B313&amp;"__wt",'SegEnds_Xtal_BW#'!$A:$Z,22,FALSE)</f>
        <v>53</v>
      </c>
      <c r="W313" s="4">
        <v>31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55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19</v>
      </c>
      <c r="AH313" s="1">
        <f>VLOOKUP(A313,'SegEnds_NonXtal_Prot#'!A:AL,28,FALSE)-VLOOKUP(A313,'SegEnds_NonXtal_Prot#'!A:AL,22,FALSE)</f>
        <v>41</v>
      </c>
      <c r="AI313" s="4">
        <f>VLOOKUP(A313,'SegEnds_NonXtal_Prot#'!A:AL,31,FALSE)-VLOOKUP(A313,'SegEnds_NonXtal_Prot#'!A:AL,28,FALSE)</f>
        <v>52</v>
      </c>
      <c r="AJ313" s="4">
        <f>VLOOKUP(A313,'SegEnds_NonXtal_Prot#'!A:AL,34,FALSE)-VLOOKUP(A313,'SegEnds_NonXtal_Prot#'!A:AL,31,FALSE)</f>
        <v>29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5" customFormat="1" x14ac:dyDescent="0.2">
      <c r="A314" s="45" t="s">
        <v>413</v>
      </c>
      <c r="B314" s="45" t="str">
        <f>VLOOKUP(A314,Xtal_Templ!B:C,2,FALSE)</f>
        <v>glr_human</v>
      </c>
      <c r="C314" s="46">
        <f>VLOOKUP($B314&amp;"__wt",'SegEnds_Xtal_BW#'!$A:$Z,3,FALSE)</f>
        <v>25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64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23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40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53</v>
      </c>
      <c r="W314" s="45">
        <v>31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58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20</v>
      </c>
      <c r="AH314" s="45">
        <f>VLOOKUP(A314,'SegEnds_NonXtal_Prot#'!A:AL,28,FALSE)-VLOOKUP(A314,'SegEnds_NonXtal_Prot#'!A:AL,22,FALSE)</f>
        <v>42</v>
      </c>
      <c r="AI314" s="45">
        <f>VLOOKUP(A314,'SegEnds_NonXtal_Prot#'!A:AL,31,FALSE)-VLOOKUP(A314,'SegEnds_NonXtal_Prot#'!A:AL,28,FALSE)</f>
        <v>52</v>
      </c>
      <c r="AJ314" s="45">
        <f>VLOOKUP(A314,'SegEnds_NonXtal_Prot#'!A:AL,34,FALSE)-VLOOKUP(A314,'SegEnds_NonXtal_Prot#'!A:AL,31,FALSE)</f>
        <v>29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NoXtal</v>
      </c>
    </row>
    <row r="315" spans="1:38" x14ac:dyDescent="0.2">
      <c r="A315" s="1" t="s">
        <v>1177</v>
      </c>
      <c r="B315" s="1" t="str">
        <f>VLOOKUP(A315,Xtal_Templ!B:C,2,FALSE)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29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26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47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18</v>
      </c>
      <c r="AH315" s="1">
        <f>VLOOKUP(A315,'SegEnds_NonXtal_Prot#'!A:AL,28,FALSE)-VLOOKUP(A315,'SegEnds_NonXtal_Prot#'!A:AL,22,FALSE)</f>
        <v>46</v>
      </c>
      <c r="AI315" s="1">
        <f>VLOOKUP(A315,'SegEnds_NonXtal_Prot#'!A:AL,31,FALSE)-VLOOKUP(A315,'SegEnds_NonXtal_Prot#'!A:AL,28,FALSE)</f>
        <v>86</v>
      </c>
      <c r="AJ315" s="1">
        <f>VLOOKUP(A315,'SegEnds_NonXtal_Prot#'!A:AL,34,FALSE)-VLOOKUP(A315,'SegEnds_NonXtal_Prot#'!A:AL,31,FALSE)</f>
        <v>31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1178</v>
      </c>
      <c r="B316" s="4" t="str">
        <f>VLOOKUP(A316,Xtal_Templ!B:C,2,FALSE)</f>
        <v>crfr1_human</v>
      </c>
      <c r="C316" s="5">
        <v>23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">
        <v>63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4">
        <v>36</v>
      </c>
      <c r="T316" s="4">
        <v>69</v>
      </c>
      <c r="U316" s="4">
        <v>29</v>
      </c>
      <c r="V316" s="4">
        <f>VLOOKUP($B316&amp;"__wt",'SegEnds_Xtal_BW#'!$A:$Z,22,FALSE)</f>
        <v>53</v>
      </c>
      <c r="W316" s="4">
        <v>29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26</v>
      </c>
      <c r="AC316" s="4" t="e">
        <f>VLOOKUP(A316,'SegEnds_NonXtal_Prot#'!A:AL,10,FALSE)-VLOOKUP(A316,'SegEnds_NonXtal_Prot#'!A:AL,7,FALSE)</f>
        <v>#VALUE!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47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18</v>
      </c>
      <c r="AH316" s="1">
        <f>VLOOKUP(A316,'SegEnds_NonXtal_Prot#'!A:AL,28,FALSE)-VLOOKUP(A316,'SegEnds_NonXtal_Prot#'!A:AL,22,FALSE)</f>
        <v>43</v>
      </c>
      <c r="AI316" s="4">
        <f>VLOOKUP(A316,'SegEnds_NonXtal_Prot#'!A:AL,31,FALSE)-VLOOKUP(A316,'SegEnds_NonXtal_Prot#'!A:AL,28,FALSE)</f>
        <v>100</v>
      </c>
      <c r="AJ316" s="4">
        <f>VLOOKUP(A316,'SegEnds_NonXtal_Prot#'!A:AL,34,FALSE)-VLOOKUP(A316,'SegEnds_NonXtal_Prot#'!A:AL,31,FALSE)</f>
        <v>31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1179</v>
      </c>
      <c r="B317" s="1" t="str">
        <f>VLOOKUP(A317,Xtal_Templ!B:C,2,FALSE)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29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26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45</v>
      </c>
      <c r="AI317" s="1">
        <f>VLOOKUP(A317,'SegEnds_NonXtal_Prot#'!A:AL,31,FALSE)-VLOOKUP(A317,'SegEnds_NonXtal_Prot#'!A:AL,28,FALSE)</f>
        <v>85</v>
      </c>
      <c r="AJ317" s="1">
        <f>VLOOKUP(A317,'SegEnds_NonXtal_Prot#'!A:AL,34,FALSE)-VLOOKUP(A317,'SegEnds_NonXtal_Prot#'!A:AL,31,FALSE)</f>
        <v>31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442</v>
      </c>
      <c r="B318" s="1" t="str">
        <f>VLOOKUP(A318,Xtal_Templ!B:C,2,FALSE)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26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47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20</v>
      </c>
      <c r="AH318" s="1">
        <f>VLOOKUP(A318,'SegEnds_NonXtal_Prot#'!A:AL,28,FALSE)-VLOOKUP(A318,'SegEnds_NonXtal_Prot#'!A:AL,22,FALSE)</f>
        <v>54</v>
      </c>
      <c r="AI318" s="1">
        <f>VLOOKUP(A318,'SegEnds_NonXtal_Prot#'!A:AL,31,FALSE)-VLOOKUP(A318,'SegEnds_NonXtal_Prot#'!A:AL,28,FALSE)</f>
        <v>49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1183</v>
      </c>
      <c r="B319" s="1" t="str">
        <f>VLOOKUP(A319,Xtal_Templ!B:C,2,FALSE)</f>
        <v>glp1r_human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38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v>50</v>
      </c>
      <c r="W319" s="1">
        <v>33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1">
        <f>VLOOKUP(A319,'SegEnds_NonXtal_Prot#'!A:AL,31,FALSE)-VLOOKUP(A319,'SegEnds_NonXtal_Prot#'!A:AL,28,FALSE)</f>
        <v>66</v>
      </c>
      <c r="AJ319" s="1">
        <f>VLOOKUP(A319,'SegEnds_NonXtal_Prot#'!A:AL,34,FALSE)-VLOOKUP(A319,'SegEnds_NonXtal_Prot#'!A:AL,31,FALSE)</f>
        <v>20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1184</v>
      </c>
      <c r="B320" s="4" t="str">
        <f>VLOOKUP(A320,Xtal_Templ!B:C,2,FALSE)</f>
        <v>calcr_human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41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53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52</v>
      </c>
      <c r="AJ320" s="4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1185</v>
      </c>
      <c r="B321" s="1" t="str">
        <f>VLOOKUP(A321,Xtal_Templ!B:C,2,FALSE)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1186</v>
      </c>
      <c r="B322" s="1" t="str">
        <f>VLOOKUP(A322,Xtal_Templ!B:C,2,FALSE)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1187</v>
      </c>
      <c r="B323" s="1" t="str">
        <f>VLOOKUP(A323,Xtal_Templ!B:C,2,FALSE)</f>
        <v>glp1r_human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38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28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1">
        <f>VLOOKUP(A323,'SegEnds_NonXtal_Prot#'!A:AL,10,FALSE)-VLOOKUP(A323,'SegEnds_NonXtal_Prot#'!A:AL,7,FALSE)</f>
        <v>15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42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32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VLOOKUP(A324,Xtal_Templ!B:C,2,FALSE)</f>
        <v>glr_human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1199</v>
      </c>
      <c r="B325" s="1" t="str">
        <f>VLOOKUP(A325,Xtal_Templ!B:C,2,FALSE)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1200</v>
      </c>
      <c r="B326" s="1" t="str">
        <f>VLOOKUP(A326,Xtal_Templ!B:C,2,FALSE)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 t="e">
        <f>VLOOKUP(A326,'SegEnds_NonXtal_Prot#'!A:AL,10,FALSE)-VLOOKUP(A326,'SegEnds_NonXtal_Prot#'!A:AL,7,FALSE)</f>
        <v>#VALUE!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1201</v>
      </c>
      <c r="B327" s="1" t="str">
        <f>VLOOKUP(A327,Xtal_Templ!B:C,2,FALSE)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1202</v>
      </c>
      <c r="B328" s="1" t="str">
        <f>VLOOKUP(A328,Xtal_Templ!B:C,2,FALSE)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4" t="s">
        <v>417</v>
      </c>
      <c r="B329" s="4" t="str">
        <f>VLOOKUP(A329,Xtal_Templ!B:C,2,FALSE)</f>
        <v>glp1r_human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88">
        <f>VLOOKUP($B329&amp;"__wt",'SegEnds_Xtal_BW#'!$A:$Z,15,FALSE)</f>
        <v>38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4" t="e">
        <f>VLOOKUP(A329,'SegEnds_NonXtal_Prot#'!A:AL,10,FALSE)-VLOOKUP(A329,'SegEnds_NonXtal_Prot#'!A:AL,7,FALSE)</f>
        <v>#VALUE!</v>
      </c>
      <c r="AD329" s="4" t="e">
        <f>VLOOKUP(A329,'SegEnds_NonXtal_Prot#'!A:AL,13,FALSE)-VLOOKUP(A329,'SegEnds_NonXtal_Prot#'!A:AL,10,FALSE)</f>
        <v>#VALUE!</v>
      </c>
      <c r="AE329" s="4">
        <f>VLOOKUP(A329,'SegEnds_NonXtal_Prot#'!A:AL,16,FALSE)-VLOOKUP(A329,'SegEnds_NonXtal_Prot#'!A:AL,10,FALSE)</f>
        <v>47</v>
      </c>
      <c r="AF329" s="1" t="e">
        <f>VLOOKUP(A329,'SegEnds_NonXtal_Prot#'!A:AL,22,FALSE)-VLOOKUP(A329,'SegEnds_NonXtal_Prot#'!A:AL,19,FALSE)</f>
        <v>#VALUE!</v>
      </c>
      <c r="AG329" s="4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4">
        <f>VLOOKUP(A329,'SegEnds_NonXtal_Prot#'!A:AL,31,FALSE)-VLOOKUP(A329,'SegEnds_NonXtal_Prot#'!A:AL,28,FALSE)</f>
        <v>52</v>
      </c>
      <c r="AJ329" s="4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418</v>
      </c>
      <c r="B330" s="1" t="str">
        <f>VLOOKUP(A330,Xtal_Templ!B:C,2,FALSE)</f>
        <v>calcr_human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>
        <f>VLOOKUP(A330,'SegEnds_NonXtal_Prot#'!A:AL,10,FALSE)-VLOOKUP(A330,'SegEnds_NonXtal_Prot#'!A:AL,7,FALSE)</f>
        <v>15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48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419</v>
      </c>
      <c r="B331" s="4" t="str">
        <f>VLOOKUP(A331,Xtal_Templ!B:C,2,FALSE)</f>
        <v>calcr_human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41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4">
        <f>VLOOKUP(A331,'SegEnds_NonXtal_Prot#'!A:AL,10,FALSE)-VLOOKUP(A331,'SegEnds_NonXtal_Prot#'!A:AL,7,FALSE)</f>
        <v>15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4">
        <f>VLOOKUP(A331,'SegEnds_NonXtal_Prot#'!A:AL,31,FALSE)-VLOOKUP(A331,'SegEnds_NonXtal_Prot#'!A:AL,28,FALSE)</f>
        <v>48</v>
      </c>
      <c r="AJ331" s="4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420</v>
      </c>
      <c r="B332" s="1" t="str">
        <f>VLOOKUP(A332,Xtal_Templ!B:C,2,FALSE)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47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1180</v>
      </c>
      <c r="B333" s="1" t="str">
        <f>VLOOKUP(A333,Xtal_Templ!B:C,2,FALSE)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29</v>
      </c>
      <c r="AC333" s="1" t="e">
        <f>VLOOKUP(A333,'SegEnds_NonXtal_Prot#'!A:AL,10,FALSE)-VLOOKUP(A333,'SegEnds_NonXtal_Prot#'!A:AL,7,FALSE)</f>
        <v>#VALUE!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44</v>
      </c>
      <c r="AI333" s="1">
        <f>VLOOKUP(A333,'SegEnds_NonXtal_Prot#'!A:AL,31,FALSE)-VLOOKUP(A333,'SegEnds_NonXtal_Prot#'!A:AL,28,FALSE)</f>
        <v>83</v>
      </c>
      <c r="AJ333" s="1">
        <f>VLOOKUP(A333,'SegEnds_NonXtal_Prot#'!A:AL,34,FALSE)-VLOOKUP(A333,'SegEnds_NonXtal_Prot#'!A:AL,31,FALSE)</f>
        <v>29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1181</v>
      </c>
      <c r="B334" s="1" t="str">
        <f>VLOOKUP(A334,Xtal_Templ!B:C,2,FALSE)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29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44</v>
      </c>
      <c r="AI334" s="1">
        <f>VLOOKUP(A334,'SegEnds_NonXtal_Prot#'!A:AL,31,FALSE)-VLOOKUP(A334,'SegEnds_NonXtal_Prot#'!A:AL,28,FALSE)</f>
        <v>83</v>
      </c>
      <c r="AJ334" s="1">
        <f>VLOOKUP(A334,'SegEnds_NonXtal_Prot#'!A:AL,34,FALSE)-VLOOKUP(A334,'SegEnds_NonXtal_Prot#'!A:AL,31,FALSE)</f>
        <v>29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4" t="s">
        <v>1194</v>
      </c>
      <c r="B335" s="4" t="str">
        <f>VLOOKUP(A335,Xtal_Templ!B:C,2,FALSE)</f>
        <v>crfr1_human</v>
      </c>
      <c r="C335" s="5">
        <v>23</v>
      </c>
      <c r="D335" s="4">
        <f>VLOOKUP($B335&amp;"__wt",'SegEnds_Xtal_BW#'!$A:$Z,4,FALSE)</f>
        <v>60</v>
      </c>
      <c r="E335" s="4">
        <f>VLOOKUP($B335&amp;"__wt",'SegEnds_Xtal_BW#'!$A:$Z,5,FALSE)</f>
        <v>48</v>
      </c>
      <c r="F335" s="4">
        <f>VLOOKUP($B335&amp;"__wt",'SegEnds_Xtal_BW#'!$A:$Z,6,FALSE)</f>
        <v>51</v>
      </c>
      <c r="G335" s="4">
        <v>37</v>
      </c>
      <c r="H335" s="11">
        <v>63</v>
      </c>
      <c r="I335" s="4" t="str">
        <f>VLOOKUP($B335&amp;"__wt",'SegEnds_Xtal_BW#'!$A:$Z,9,FALSE)</f>
        <v>-</v>
      </c>
      <c r="J335" s="4" t="str">
        <f>VLOOKUP($B335&amp;"__wt",'SegEnds_Xtal_BW#'!$A:$Z,10,FALSE)</f>
        <v>-</v>
      </c>
      <c r="K335" s="11">
        <v>23</v>
      </c>
      <c r="L335" s="4">
        <f>VLOOKUP($B335&amp;"__wt",'SegEnds_Xtal_BW#'!$A:$Z,12,FALSE)</f>
        <v>56</v>
      </c>
      <c r="M335" s="4" t="str">
        <f>VLOOKUP($B335&amp;"__wt",'SegEnds_Xtal_BW#'!$A:$Z,13,FALSE)</f>
        <v>-</v>
      </c>
      <c r="N335" s="11" t="str">
        <f>VLOOKUP($B335&amp;"__wt",'SegEnds_Xtal_BW#'!$A:$Z,14,FALSE)</f>
        <v>-</v>
      </c>
      <c r="O335" s="88">
        <f>VLOOKUP($B335&amp;"__wt",'SegEnds_Xtal_BW#'!$A:$Z,15,FALSE)</f>
        <v>40</v>
      </c>
      <c r="P335" s="4">
        <f>VLOOKUP($B335&amp;"__wt",'SegEnds_Xtal_BW#'!$A:$Z,16,FALSE)</f>
        <v>68</v>
      </c>
      <c r="Q335" s="4">
        <f>VLOOKUP($B335&amp;"__wt",'SegEnds_Xtal_BW#'!$A:$Z,17,FALSE)</f>
        <v>50</v>
      </c>
      <c r="R335" s="4">
        <f>VLOOKUP($B335&amp;"__wt",'SegEnds_Xtal_BW#'!$A:$Z,18,FALSE)</f>
        <v>52</v>
      </c>
      <c r="S335" s="4">
        <v>36</v>
      </c>
      <c r="T335" s="4">
        <v>69</v>
      </c>
      <c r="U335" s="4">
        <v>29</v>
      </c>
      <c r="V335" s="4">
        <f>VLOOKUP($B335&amp;"__wt",'SegEnds_Xtal_BW#'!$A:$Z,22,FALSE)</f>
        <v>53</v>
      </c>
      <c r="W335" s="4">
        <v>31</v>
      </c>
      <c r="X335" s="4">
        <f>VLOOKUP($B335&amp;"__wt",'SegEnds_Xtal_BW#'!$A:$Z,24,FALSE)</f>
        <v>56</v>
      </c>
      <c r="Y335" s="4">
        <f>VLOOKUP($B335&amp;"__wt",'SegEnds_Xtal_BW#'!$A:$Z,25,FALSE)</f>
        <v>47</v>
      </c>
      <c r="Z335" s="4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4" t="e">
        <f>VLOOKUP(A335,'SegEnds_NonXtal_Prot#'!A:AL,10,FALSE)-VLOOKUP(A335,'SegEnds_NonXtal_Prot#'!A:AL,7,FALSE)</f>
        <v>#VALUE!</v>
      </c>
      <c r="AD335" s="4" t="e">
        <f>VLOOKUP(A335,'SegEnds_NonXtal_Prot#'!A:AL,13,FALSE)-VLOOKUP(A335,'SegEnds_NonXtal_Prot#'!A:AL,10,FALSE)</f>
        <v>#VALUE!</v>
      </c>
      <c r="AE335" s="4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4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54</v>
      </c>
      <c r="AI335" s="4">
        <f>VLOOKUP(A335,'SegEnds_NonXtal_Prot#'!A:AL,31,FALSE)-VLOOKUP(A335,'SegEnds_NonXtal_Prot#'!A:AL,28,FALSE)</f>
        <v>51</v>
      </c>
      <c r="AJ335" s="4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4" t="s">
        <v>1196</v>
      </c>
      <c r="B336" s="4" t="str">
        <f>VLOOKUP(A336,Xtal_Templ!B:C,2,FALSE)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8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31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4" t="e">
        <f>VLOOKUP(A336,'SegEnds_NonXtal_Prot#'!A:AL,10,FALSE)-VLOOKUP(A336,'SegEnds_NonXtal_Prot#'!A:AL,7,FALSE)</f>
        <v>#VALUE!</v>
      </c>
      <c r="AD336" s="4" t="e">
        <f>VLOOKUP(A336,'SegEnds_NonXtal_Prot#'!A:AL,13,FALSE)-VLOOKUP(A336,'SegEnds_NonXtal_Prot#'!A:AL,10,FALSE)</f>
        <v>#VALUE!</v>
      </c>
      <c r="AE336" s="4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4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47</v>
      </c>
      <c r="AI336" s="4">
        <f>VLOOKUP(A336,'SegEnds_NonXtal_Prot#'!A:AL,31,FALSE)-VLOOKUP(A336,'SegEnds_NonXtal_Prot#'!A:AL,28,FALSE)</f>
        <v>50</v>
      </c>
      <c r="AJ336" s="4">
        <f>VLOOKUP(A336,'SegEnds_NonXtal_Prot#'!A:AL,34,FALSE)-VLOOKUP(A336,'SegEnds_NonXtal_Prot#'!A:AL,31,FALSE)</f>
        <v>28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1423</v>
      </c>
      <c r="B337" s="1" t="str">
        <f>VLOOKUP(A337,Xtal_Templ!B:C,2,FALSE)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>
        <f>VLOOKUP(A337,'SegEnds_NonXtal_Prot#'!A:AL,10,FALSE)-VLOOKUP(A337,'SegEnds_NonXtal_Prot#'!A:AL,7,FALSE)</f>
        <v>16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53</v>
      </c>
      <c r="AI337" s="1">
        <f>VLOOKUP(A337,'SegEnds_NonXtal_Prot#'!A:AL,31,FALSE)-VLOOKUP(A337,'SegEnds_NonXtal_Prot#'!A:AL,28,FALSE)</f>
        <v>51</v>
      </c>
      <c r="AJ337" s="1">
        <f>VLOOKUP(A337,'SegEnds_NonXtal_Prot#'!A:AL,34,FALSE)-VLOOKUP(A337,'SegEnds_NonXtal_Prot#'!A:AL,31,FALSE)</f>
        <v>28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1198</v>
      </c>
      <c r="B338" s="1" t="str">
        <f>VLOOKUP(A338,Xtal_Templ!B:C,2,FALSE)</f>
        <v>glp1r_human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65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18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38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29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73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26</v>
      </c>
      <c r="AH338" s="1">
        <f>VLOOKUP(A338,'SegEnds_NonXtal_Prot#'!A:AL,28,FALSE)-VLOOKUP(A338,'SegEnds_NonXtal_Prot#'!A:AL,22,FALSE)</f>
        <v>60</v>
      </c>
      <c r="AI338" s="1">
        <f>VLOOKUP(A338,'SegEnds_NonXtal_Prot#'!A:AL,31,FALSE)-VLOOKUP(A338,'SegEnds_NonXtal_Prot#'!A:AL,28,FALSE)</f>
        <v>51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414</v>
      </c>
      <c r="B339" s="1" t="str">
        <f>VLOOKUP(A339,Xtal_Templ!B:C,2,FALSE)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29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45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44</v>
      </c>
      <c r="AI339" s="1">
        <f>VLOOKUP(A339,'SegEnds_NonXtal_Prot#'!A:AL,31,FALSE)-VLOOKUP(A339,'SegEnds_NonXtal_Prot#'!A:AL,28,FALSE)</f>
        <v>50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1182</v>
      </c>
      <c r="B340" s="1" t="str">
        <f>VLOOKUP(A340,Xtal_Templ!B:C,2,FALSE)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18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45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43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28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1188</v>
      </c>
      <c r="B341" s="1" t="str">
        <f>VLOOKUP(A341,Xtal_Templ!B:C,2,FALSE)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51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21</v>
      </c>
      <c r="AH341" s="1">
        <f>VLOOKUP(A341,'SegEnds_NonXtal_Prot#'!A:AL,28,FALSE)-VLOOKUP(A341,'SegEnds_NonXtal_Prot#'!A:AL,22,FALSE)</f>
        <v>47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1189</v>
      </c>
      <c r="B342" s="1" t="str">
        <f>VLOOKUP(A342,Xtal_Templ!B:C,2,FALSE)</f>
        <v>calcr_human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41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08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31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51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20</v>
      </c>
      <c r="AH342" s="1">
        <f>VLOOKUP(A342,'SegEnds_NonXtal_Prot#'!A:AL,28,FALSE)-VLOOKUP(A342,'SegEnds_NonXtal_Prot#'!A:AL,22,FALSE)</f>
        <v>46</v>
      </c>
      <c r="AI342" s="1">
        <f>VLOOKUP(A342,'SegEnds_NonXtal_Prot#'!A:AL,31,FALSE)-VLOOKUP(A342,'SegEnds_NonXtal_Prot#'!A:AL,28,FALSE)</f>
        <v>57</v>
      </c>
      <c r="AJ342" s="1">
        <f>VLOOKUP(A342,'SegEnds_NonXtal_Prot#'!A:AL,34,FALSE)-VLOOKUP(A342,'SegEnds_NonXtal_Prot#'!A:AL,31,FALSE)</f>
        <v>23</v>
      </c>
      <c r="AK342" s="1" t="e">
        <f>VLOOKUP(A342,'SegEnds_NonXtal_Prot#'!A:AL,37,FALSE)-VLOOKUP(A342,'SegEnds_NonXtal_Prot#'!A:AL,34,FALSE)</f>
        <v>#VALUE!</v>
      </c>
      <c r="AL342" s="1" t="str">
        <f>IF(ISERROR(MATCH(A342,'SegEnds_Xtal_Prot#'!B:B, 0)), "NoXtal", "Xtal")</f>
        <v>NoXtal</v>
      </c>
    </row>
    <row r="343" spans="1:38" x14ac:dyDescent="0.2">
      <c r="A343" s="1" t="s">
        <v>1190</v>
      </c>
      <c r="B343" s="1" t="str">
        <f>VLOOKUP(A343,Xtal_Templ!B:C,2,FALSE)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31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50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45</v>
      </c>
      <c r="AI343" s="1">
        <f>VLOOKUP(A343,'SegEnds_NonXtal_Prot#'!A:AL,31,FALSE)-VLOOKUP(A343,'SegEnds_NonXtal_Prot#'!A:AL,28,FALSE)</f>
        <v>52</v>
      </c>
      <c r="AJ343" s="1">
        <f>VLOOKUP(A343,'SegEnds_NonXtal_Prot#'!A:AL,34,FALSE)-VLOOKUP(A343,'SegEnds_NonXtal_Prot#'!A:AL,31,FALSE)</f>
        <v>29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1191</v>
      </c>
      <c r="B344" s="1" t="str">
        <f>VLOOKUP(A344,Xtal_Templ!B:C,2,FALSE)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31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51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20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29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1192</v>
      </c>
      <c r="B345" s="1" t="str">
        <f>VLOOKUP(A345,Xtal_Templ!B:C,2,FALSE)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31</v>
      </c>
      <c r="AC345" s="1">
        <f>VLOOKUP(A345,'SegEnds_NonXtal_Prot#'!A:AL,10,FALSE)-VLOOKUP(A345,'SegEnds_NonXtal_Prot#'!A:AL,7,FALSE)</f>
        <v>17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53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46</v>
      </c>
      <c r="AI345" s="1">
        <f>VLOOKUP(A345,'SegEnds_NonXtal_Prot#'!A:AL,31,FALSE)-VLOOKUP(A345,'SegEnds_NonXtal_Prot#'!A:AL,28,FALSE)</f>
        <v>52</v>
      </c>
      <c r="AJ345" s="1">
        <f>VLOOKUP(A345,'SegEnds_NonXtal_Prot#'!A:AL,34,FALSE)-VLOOKUP(A345,'SegEnds_NonXtal_Prot#'!A:AL,31,FALSE)</f>
        <v>29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1195</v>
      </c>
      <c r="B346" s="1" t="str">
        <f>VLOOKUP(A346,Xtal_Templ!B:C,2,FALSE)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v>50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33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51</v>
      </c>
      <c r="AI346" s="1">
        <f>VLOOKUP(A346,'SegEnds_NonXtal_Prot#'!A:AL,31,FALSE)-VLOOKUP(A346,'SegEnds_NonXtal_Prot#'!A:AL,28,FALSE)</f>
        <v>54</v>
      </c>
      <c r="AJ346" s="1">
        <f>VLOOKUP(A346,'SegEnds_NonXtal_Prot#'!A:AL,34,FALSE)-VLOOKUP(A346,'SegEnds_NonXtal_Prot#'!A:AL,31,FALSE)</f>
        <v>26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4" t="s">
        <v>1193</v>
      </c>
      <c r="B347" s="4" t="str">
        <f>VLOOKUP(A347,Xtal_Templ!B:C,2,FALSE)</f>
        <v>crfr1_human</v>
      </c>
      <c r="C347" s="5">
        <v>23</v>
      </c>
      <c r="D347" s="4">
        <f>VLOOKUP($B347&amp;"__wt",'SegEnds_Xtal_BW#'!$A:$Z,4,FALSE)</f>
        <v>60</v>
      </c>
      <c r="E347" s="4">
        <f>VLOOKUP($B347&amp;"__wt",'SegEnds_Xtal_BW#'!$A:$Z,5,FALSE)</f>
        <v>48</v>
      </c>
      <c r="F347" s="4">
        <f>VLOOKUP($B347&amp;"__wt",'SegEnds_Xtal_BW#'!$A:$Z,6,FALSE)</f>
        <v>51</v>
      </c>
      <c r="G347" s="4">
        <v>37</v>
      </c>
      <c r="H347" s="11">
        <v>63</v>
      </c>
      <c r="I347" s="4" t="str">
        <f>VLOOKUP($B347&amp;"__wt",'SegEnds_Xtal_BW#'!$A:$Z,9,FALSE)</f>
        <v>-</v>
      </c>
      <c r="J347" s="4" t="str">
        <f>VLOOKUP($B347&amp;"__wt",'SegEnds_Xtal_BW#'!$A:$Z,10,FALSE)</f>
        <v>-</v>
      </c>
      <c r="K347" s="11">
        <v>23</v>
      </c>
      <c r="L347" s="4">
        <f>VLOOKUP($B347&amp;"__wt",'SegEnds_Xtal_BW#'!$A:$Z,12,FALSE)</f>
        <v>56</v>
      </c>
      <c r="M347" s="4" t="str">
        <f>VLOOKUP($B347&amp;"__wt",'SegEnds_Xtal_BW#'!$A:$Z,13,FALSE)</f>
        <v>-</v>
      </c>
      <c r="N347" s="11" t="str">
        <f>VLOOKUP($B347&amp;"__wt",'SegEnds_Xtal_BW#'!$A:$Z,14,FALSE)</f>
        <v>-</v>
      </c>
      <c r="O347" s="88">
        <f>VLOOKUP($B347&amp;"__wt",'SegEnds_Xtal_BW#'!$A:$Z,15,FALSE)</f>
        <v>40</v>
      </c>
      <c r="P347" s="4">
        <f>VLOOKUP($B347&amp;"__wt",'SegEnds_Xtal_BW#'!$A:$Z,16,FALSE)</f>
        <v>68</v>
      </c>
      <c r="Q347" s="4">
        <f>VLOOKUP($B347&amp;"__wt",'SegEnds_Xtal_BW#'!$A:$Z,17,FALSE)</f>
        <v>50</v>
      </c>
      <c r="R347" s="4">
        <f>VLOOKUP($B347&amp;"__wt",'SegEnds_Xtal_BW#'!$A:$Z,18,FALSE)</f>
        <v>52</v>
      </c>
      <c r="S347" s="4">
        <v>36</v>
      </c>
      <c r="T347" s="4">
        <v>69</v>
      </c>
      <c r="U347" s="4">
        <v>29</v>
      </c>
      <c r="V347" s="4">
        <f>VLOOKUP($B347&amp;"__wt",'SegEnds_Xtal_BW#'!$A:$Z,22,FALSE)</f>
        <v>53</v>
      </c>
      <c r="W347" s="115">
        <v>28</v>
      </c>
      <c r="X347" s="4">
        <f>VLOOKUP($B347&amp;"__wt",'SegEnds_Xtal_BW#'!$A:$Z,24,FALSE)</f>
        <v>56</v>
      </c>
      <c r="Y347" s="4">
        <f>VLOOKUP($B347&amp;"__wt",'SegEnds_Xtal_BW#'!$A:$Z,25,FALSE)</f>
        <v>47</v>
      </c>
      <c r="Z347" s="4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35</v>
      </c>
      <c r="AC347" s="4">
        <f>VLOOKUP(A347,'SegEnds_NonXtal_Prot#'!A:AL,10,FALSE)-VLOOKUP(A347,'SegEnds_NonXtal_Prot#'!A:AL,7,FALSE)</f>
        <v>21</v>
      </c>
      <c r="AD347" s="4" t="e">
        <f>VLOOKUP(A347,'SegEnds_NonXtal_Prot#'!A:AL,13,FALSE)-VLOOKUP(A347,'SegEnds_NonXtal_Prot#'!A:AL,10,FALSE)</f>
        <v>#VALUE!</v>
      </c>
      <c r="AE347" s="4">
        <f>VLOOKUP(A347,'SegEnds_NonXtal_Prot#'!A:AL,16,FALSE)-VLOOKUP(A347,'SegEnds_NonXtal_Prot#'!A:AL,10,FALSE)</f>
        <v>47</v>
      </c>
      <c r="AF347" s="1" t="e">
        <f>VLOOKUP(A347,'SegEnds_NonXtal_Prot#'!A:AL,22,FALSE)-VLOOKUP(A347,'SegEnds_NonXtal_Prot#'!A:AL,19,FALSE)</f>
        <v>#VALUE!</v>
      </c>
      <c r="AG347" s="4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57</v>
      </c>
      <c r="AI347" s="4">
        <f>VLOOKUP(A347,'SegEnds_NonXtal_Prot#'!A:AL,31,FALSE)-VLOOKUP(A347,'SegEnds_NonXtal_Prot#'!A:AL,28,FALSE)</f>
        <v>44</v>
      </c>
      <c r="AJ347" s="4">
        <f>VLOOKUP(A347,'SegEnds_NonXtal_Prot#'!A:AL,34,FALSE)-VLOOKUP(A347,'SegEnds_NonXtal_Prot#'!A:AL,31,FALSE)</f>
        <v>30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105</v>
      </c>
      <c r="B348" s="42" t="str">
        <f>VLOOKUP(A348,Xtal_Templ!B:C,2,FALSE)</f>
        <v>grm5_human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18</v>
      </c>
      <c r="AH348" s="1">
        <f>VLOOKUP(A348,'SegEnds_NonXtal_Prot#'!A:AL,28,FALSE)-VLOOKUP(A348,'SegEnds_NonXtal_Prot#'!A:AL,22,FALSE)</f>
        <v>51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NoXtal</v>
      </c>
    </row>
    <row r="349" spans="1:38" x14ac:dyDescent="0.2">
      <c r="A349" s="4" t="s">
        <v>106</v>
      </c>
      <c r="B349" s="4" t="str">
        <f>VLOOKUP(A349,Xtal_Templ!B:C,2,FALSE)</f>
        <v>grm5_human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88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36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33</v>
      </c>
      <c r="X349" s="4">
        <f>VLOOKUP($B349&amp;"__wt",'SegEnds_Xtal_BW#'!$A:$Z,24,FALSE)</f>
        <v>64</v>
      </c>
      <c r="Y349" s="4">
        <f>VLOOKUP($B349&amp;"__wt",'SegEnds_Xtal_BW#'!$A:$Z,25,FALSE)</f>
        <v>46</v>
      </c>
      <c r="Z349" s="4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">
        <f>VLOOKUP(A349,'SegEnds_NonXtal_Prot#'!A:AL,10,FALSE)-VLOOKUP(A349,'SegEnds_NonXtal_Prot#'!A:AL,7,FALSE)</f>
        <v>15</v>
      </c>
      <c r="AD349" s="4" t="e">
        <f>VLOOKUP(A349,'SegEnds_NonXtal_Prot#'!A:AL,13,FALSE)-VLOOKUP(A349,'SegEnds_NonXtal_Prot#'!A:AL,10,FALSE)</f>
        <v>#VALUE!</v>
      </c>
      <c r="AE349" s="4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4">
        <f>VLOOKUP(A349,'SegEnds_NonXtal_Prot#'!A:AL,28,FALSE)-VLOOKUP(A349,'SegEnds_NonXtal_Prot#'!A:AL,25,FALSE)</f>
        <v>19</v>
      </c>
      <c r="AH349" s="1">
        <f>VLOOKUP(A349,'SegEnds_NonXtal_Prot#'!A:AL,28,FALSE)-VLOOKUP(A349,'SegEnds_NonXtal_Prot#'!A:AL,22,FALSE)</f>
        <v>62</v>
      </c>
      <c r="AI349" s="4">
        <f>VLOOKUP(A349,'SegEnds_NonXtal_Prot#'!A:AL,31,FALSE)-VLOOKUP(A349,'SegEnds_NonXtal_Prot#'!A:AL,28,FALSE)</f>
        <v>38</v>
      </c>
      <c r="AJ349" s="4">
        <f>VLOOKUP(A349,'SegEnds_NonXtal_Prot#'!A:AL,34,FALSE)-VLOOKUP(A349,'SegEnds_NonXtal_Prot#'!A:AL,31,FALSE)</f>
        <v>31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NoXtal</v>
      </c>
    </row>
    <row r="350" spans="1:38" x14ac:dyDescent="0.2">
      <c r="A350" s="1" t="s">
        <v>107</v>
      </c>
      <c r="B350" s="1" t="str">
        <f>VLOOKUP(A350,Xtal_Templ!B:C,2,FALSE)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19</v>
      </c>
      <c r="AH350" s="1">
        <f>VLOOKUP(A350,'SegEnds_NonXtal_Prot#'!A:AL,28,FALSE)-VLOOKUP(A350,'SegEnds_NonXtal_Prot#'!A:AL,22,FALSE)</f>
        <v>62</v>
      </c>
      <c r="AI350" s="1">
        <f>VLOOKUP(A350,'SegEnds_NonXtal_Prot#'!A:AL,31,FALSE)-VLOOKUP(A350,'SegEnds_NonXtal_Prot#'!A:AL,28,FALSE)</f>
        <v>38</v>
      </c>
      <c r="AJ350" s="1">
        <f>VLOOKUP(A350,'SegEnds_NonXtal_Prot#'!A:AL,34,FALSE)-VLOOKUP(A350,'SegEnds_NonXtal_Prot#'!A:AL,31,FALSE)</f>
        <v>31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1" t="s">
        <v>108</v>
      </c>
      <c r="B351" s="1" t="str">
        <f>VLOOKUP(A351,Xtal_Templ!B:C,2,FALSE)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36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33</v>
      </c>
      <c r="X351" s="1">
        <f>VLOOKUP($B351&amp;"__wt",'SegEnds_Xtal_BW#'!$A:$Z,24,FALSE)</f>
        <v>64</v>
      </c>
      <c r="Y351" s="1">
        <f>VLOOKUP($B351&amp;"__wt",'SegEnds_Xtal_BW#'!$A:$Z,25,FALSE)</f>
        <v>46</v>
      </c>
      <c r="Z351" s="1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15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50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19</v>
      </c>
      <c r="AH351" s="1">
        <f>VLOOKUP(A351,'SegEnds_NonXtal_Prot#'!A:AL,28,FALSE)-VLOOKUP(A351,'SegEnds_NonXtal_Prot#'!A:AL,22,FALSE)</f>
        <v>62</v>
      </c>
      <c r="AI351" s="1">
        <f>VLOOKUP(A351,'SegEnds_NonXtal_Prot#'!A:AL,31,FALSE)-VLOOKUP(A351,'SegEnds_NonXtal_Prot#'!A:AL,28,FALSE)</f>
        <v>39</v>
      </c>
      <c r="AJ351" s="1">
        <f>VLOOKUP(A351,'SegEnds_NonXtal_Prot#'!A:AL,34,FALSE)-VLOOKUP(A351,'SegEnds_NonXtal_Prot#'!A:AL,31,FALSE)</f>
        <v>30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109</v>
      </c>
      <c r="B352" s="4" t="str">
        <f>VLOOKUP(A352,Xtal_Templ!B:C,2,FALSE)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">
        <f>VLOOKUP(A352,'SegEnds_NonXtal_Prot#'!A:AL,10,FALSE)-VLOOKUP(A352,'SegEnds_NonXtal_Prot#'!A:AL,7,FALSE)</f>
        <v>15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16</v>
      </c>
      <c r="AH352" s="1">
        <f>VLOOKUP(A352,'SegEnds_NonXtal_Prot#'!A:AL,28,FALSE)-VLOOKUP(A352,'SegEnds_NonXtal_Prot#'!A:AL,22,FALSE)</f>
        <v>65</v>
      </c>
      <c r="AI352" s="4">
        <f>VLOOKUP(A352,'SegEnds_NonXtal_Prot#'!A:AL,31,FALSE)-VLOOKUP(A352,'SegEnds_NonXtal_Prot#'!A:AL,28,FALSE)</f>
        <v>37</v>
      </c>
      <c r="AJ352" s="4">
        <f>VLOOKUP(A352,'SegEnds_NonXtal_Prot#'!A:AL,34,FALSE)-VLOOKUP(A352,'SegEnds_NonXtal_Prot#'!A:AL,31,FALSE)</f>
        <v>33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110</v>
      </c>
      <c r="B353" s="1" t="str">
        <f>VLOOKUP(A353,Xtal_Templ!B:C,2,FALSE)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40</v>
      </c>
      <c r="B354" s="4" t="str">
        <f>VLOOKUP(A354,Xtal_Templ!B:C,2,FALSE)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17</v>
      </c>
      <c r="AH354" s="1">
        <f>VLOOKUP(A354,'SegEnds_NonXtal_Prot#'!A:AL,28,FALSE)-VLOOKUP(A354,'SegEnds_NonXtal_Prot#'!A:AL,22,FALSE)</f>
        <v>49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27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Xtal</v>
      </c>
    </row>
    <row r="355" spans="1:38" x14ac:dyDescent="0.2">
      <c r="A355" s="1" t="s">
        <v>115</v>
      </c>
      <c r="B355" s="1" t="str">
        <f>VLOOKUP(A355,Xtal_Templ!B:C,2,FALSE)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51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31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116</v>
      </c>
      <c r="B356" s="1" t="str">
        <f>VLOOKUP(A356,Xtal_Templ!B:C,2,FALSE)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51</v>
      </c>
      <c r="AI356" s="1">
        <f>VLOOKUP(A356,'SegEnds_NonXtal_Prot#'!A:AL,31,FALSE)-VLOOKUP(A356,'SegEnds_NonXtal_Prot#'!A:AL,28,FALSE)</f>
        <v>37</v>
      </c>
      <c r="AJ356" s="1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117</v>
      </c>
      <c r="B357" s="1" t="str">
        <f>VLOOKUP(A357,Xtal_Templ!B:C,2,FALSE)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56</v>
      </c>
      <c r="AI357" s="1">
        <f>VLOOKUP(A357,'SegEnds_NonXtal_Prot#'!A:AL,31,FALSE)-VLOOKUP(A357,'SegEnds_NonXtal_Prot#'!A:AL,28,FALSE)</f>
        <v>37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41</v>
      </c>
      <c r="B358" s="1" t="str">
        <f>VLOOKUP(A358,Xtal_Templ!B:C,2,FALSE)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49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27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Xtal</v>
      </c>
    </row>
    <row r="359" spans="1:38" x14ac:dyDescent="0.2">
      <c r="A359" s="1" t="s">
        <v>118</v>
      </c>
      <c r="B359" s="1" t="str">
        <f>VLOOKUP(A359,Xtal_Templ!B:C,2,FALSE)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56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34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119</v>
      </c>
      <c r="B360" s="1" t="str">
        <f>VLOOKUP(A360,Xtal_Templ!B:C,2,FALSE)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56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34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120</v>
      </c>
      <c r="B361" s="1" t="str">
        <f>VLOOKUP(A361,Xtal_Templ!B:C,2,FALSE)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56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34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122</v>
      </c>
      <c r="B362" s="1" t="str">
        <f>VLOOKUP(A362,Xtal_Templ!B:C,2,FALSE)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18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29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123</v>
      </c>
      <c r="B363" s="1" t="str">
        <f>VLOOKUP(A363,Xtal_Templ!B:C,2,FALSE)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18</v>
      </c>
      <c r="AH363" s="1">
        <f>VLOOKUP(A363,'SegEnds_NonXtal_Prot#'!A:AL,28,FALSE)-VLOOKUP(A363,'SegEnds_NonXtal_Prot#'!A:AL,22,FALSE)</f>
        <v>52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29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124</v>
      </c>
      <c r="B364" s="1" t="str">
        <f>VLOOKUP(A364,Xtal_Templ!B:C,2,FALSE)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18</v>
      </c>
      <c r="AH364" s="1">
        <f>VLOOKUP(A364,'SegEnds_NonXtal_Prot#'!A:AL,28,FALSE)-VLOOKUP(A364,'SegEnds_NonXtal_Prot#'!A:AL,22,FALSE)</f>
        <v>51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29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4" t="s">
        <v>114</v>
      </c>
      <c r="B365" s="4" t="str">
        <f>VLOOKUP(A365,Xtal_Templ!B:C,2,FALSE)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88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36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33</v>
      </c>
      <c r="X365" s="4">
        <f>VLOOKUP($B365&amp;"__wt",'SegEnds_Xtal_BW#'!$A:$Z,24,FALSE)</f>
        <v>64</v>
      </c>
      <c r="Y365" s="4">
        <f>VLOOKUP($B365&amp;"__wt",'SegEnds_Xtal_BW#'!$A:$Z,25,FALSE)</f>
        <v>46</v>
      </c>
      <c r="Z365" s="4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32</v>
      </c>
      <c r="AC365" s="4">
        <f>VLOOKUP(A365,'SegEnds_NonXtal_Prot#'!A:AL,10,FALSE)-VLOOKUP(A365,'SegEnds_NonXtal_Prot#'!A:AL,7,FALSE)</f>
        <v>16</v>
      </c>
      <c r="AD365" s="4" t="e">
        <f>VLOOKUP(A365,'SegEnds_NonXtal_Prot#'!A:AL,13,FALSE)-VLOOKUP(A365,'SegEnds_NonXtal_Prot#'!A:AL,10,FALSE)</f>
        <v>#VALUE!</v>
      </c>
      <c r="AE365" s="4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4">
        <f>VLOOKUP(A365,'SegEnds_NonXtal_Prot#'!A:AL,28,FALSE)-VLOOKUP(A365,'SegEnds_NonXtal_Prot#'!A:AL,25,FALSE)</f>
        <v>18</v>
      </c>
      <c r="AH365" s="1">
        <f>VLOOKUP(A365,'SegEnds_NonXtal_Prot#'!A:AL,28,FALSE)-VLOOKUP(A365,'SegEnds_NonXtal_Prot#'!A:AL,22,FALSE)</f>
        <v>50</v>
      </c>
      <c r="AI365" s="4">
        <f>VLOOKUP(A365,'SegEnds_NonXtal_Prot#'!A:AL,31,FALSE)-VLOOKUP(A365,'SegEnds_NonXtal_Prot#'!A:AL,28,FALSE)</f>
        <v>35</v>
      </c>
      <c r="AJ365" s="4">
        <f>VLOOKUP(A365,'SegEnds_NonXtal_Prot#'!A:AL,34,FALSE)-VLOOKUP(A365,'SegEnds_NonXtal_Prot#'!A:AL,31,FALSE)</f>
        <v>29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4" t="s">
        <v>111</v>
      </c>
      <c r="B366" s="4" t="str">
        <f>VLOOKUP(A366,Xtal_Templ!B:C,2,FALSE)</f>
        <v>grm1_human</v>
      </c>
      <c r="C366" s="5">
        <f>VLOOKUP($B366&amp;"__wt",'SegEnds_Xtal_BW#'!$A:$Z,3,FALSE)</f>
        <v>34</v>
      </c>
      <c r="D366" s="4">
        <f>VLOOKUP($B366&amp;"__wt",'SegEnds_Xtal_BW#'!$A:$Z,4,FALSE)</f>
        <v>60</v>
      </c>
      <c r="E366" s="4">
        <f>VLOOKUP($B366&amp;"__wt",'SegEnds_Xtal_BW#'!$A:$Z,5,FALSE)</f>
        <v>47</v>
      </c>
      <c r="F366" s="4">
        <f>VLOOKUP($B366&amp;"__wt",'SegEnds_Xtal_BW#'!$A:$Z,6,FALSE)</f>
        <v>53</v>
      </c>
      <c r="G366" s="4">
        <v>39</v>
      </c>
      <c r="H366" s="11">
        <f>VLOOKUP($B366&amp;"__wt",'SegEnds_Xtal_BW#'!$A:$Z,8,FALSE)</f>
        <v>61</v>
      </c>
      <c r="I366" s="4" t="str">
        <f>VLOOKUP($B366&amp;"__wt",'SegEnds_Xtal_BW#'!$A:$Z,9,FALSE)</f>
        <v>-</v>
      </c>
      <c r="J366" s="4" t="str">
        <f>VLOOKUP($B366&amp;"__wt",'SegEnds_Xtal_BW#'!$A:$Z,10,FALSE)</f>
        <v>-</v>
      </c>
      <c r="K366" s="11">
        <f>VLOOKUP($B366&amp;"__wt",'SegEnds_Xtal_BW#'!$A:$Z,11,FALSE)</f>
        <v>22</v>
      </c>
      <c r="L366" s="4">
        <f>VLOOKUP($B366&amp;"__wt",'SegEnds_Xtal_BW#'!$A:$Z,12,FALSE)</f>
        <v>54</v>
      </c>
      <c r="M366" s="4" t="str">
        <f>VLOOKUP($B366&amp;"__wt",'SegEnds_Xtal_BW#'!$A:$Z,13,FALSE)</f>
        <v>-</v>
      </c>
      <c r="N366" s="11" t="str">
        <f>VLOOKUP($B366&amp;"__wt",'SegEnds_Xtal_BW#'!$A:$Z,14,FALSE)</f>
        <v>-</v>
      </c>
      <c r="O366" s="88">
        <f>VLOOKUP($B366&amp;"__wt",'SegEnds_Xtal_BW#'!$A:$Z,15,FALSE)</f>
        <v>38</v>
      </c>
      <c r="P366" s="4">
        <f>VLOOKUP($B366&amp;"__wt",'SegEnds_Xtal_BW#'!$A:$Z,16,FALSE)</f>
        <v>64</v>
      </c>
      <c r="Q366" s="4">
        <f>VLOOKUP($B366&amp;"__wt",'SegEnds_Xtal_BW#'!$A:$Z,17,FALSE)</f>
        <v>50</v>
      </c>
      <c r="R366" s="4">
        <f>VLOOKUP($B366&amp;"__wt",'SegEnds_Xtal_BW#'!$A:$Z,18,FALSE)</f>
        <v>52</v>
      </c>
      <c r="S366" s="4">
        <f>VLOOKUP($B366&amp;"__wt",'SegEnds_Xtal_BW#'!$A:$Z,19,FALSE)</f>
        <v>36</v>
      </c>
      <c r="T366" s="4">
        <f>VLOOKUP($B366&amp;"__wt",'SegEnds_Xtal_BW#'!$A:$Z,20,FALSE)</f>
        <v>61</v>
      </c>
      <c r="U366" s="4">
        <f>VLOOKUP($B366&amp;"__wt",'SegEnds_Xtal_BW#'!$A:$Z,21,FALSE)</f>
        <v>33</v>
      </c>
      <c r="V366" s="4">
        <f>VLOOKUP($B366&amp;"__wt",'SegEnds_Xtal_BW#'!$A:$Z,22,FALSE)</f>
        <v>57</v>
      </c>
      <c r="W366" s="4">
        <f>VLOOKUP($B366&amp;"__wt",'SegEnds_Xtal_BW#'!$A:$Z,23,FALSE)</f>
        <v>33</v>
      </c>
      <c r="X366" s="4">
        <f>VLOOKUP($B366&amp;"__wt",'SegEnds_Xtal_BW#'!$A:$Z,24,FALSE)</f>
        <v>64</v>
      </c>
      <c r="Y366" s="4">
        <f>VLOOKUP($B366&amp;"__wt",'SegEnds_Xtal_BW#'!$A:$Z,25,FALSE)</f>
        <v>46</v>
      </c>
      <c r="Z366" s="4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33</v>
      </c>
      <c r="AC366" s="4">
        <f>VLOOKUP(A366,'SegEnds_NonXtal_Prot#'!A:AL,10,FALSE)-VLOOKUP(A366,'SegEnds_NonXtal_Prot#'!A:AL,7,FALSE)</f>
        <v>19</v>
      </c>
      <c r="AD366" s="4" t="e">
        <f>VLOOKUP(A366,'SegEnds_NonXtal_Prot#'!A:AL,13,FALSE)-VLOOKUP(A366,'SegEnds_NonXtal_Prot#'!A:AL,10,FALSE)</f>
        <v>#VALUE!</v>
      </c>
      <c r="AE366" s="4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4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40</v>
      </c>
      <c r="AI366" s="4">
        <f>VLOOKUP(A366,'SegEnds_NonXtal_Prot#'!A:AL,31,FALSE)-VLOOKUP(A366,'SegEnds_NonXtal_Prot#'!A:AL,28,FALSE)</f>
        <v>39</v>
      </c>
      <c r="AJ366" s="4">
        <f>VLOOKUP(A366,'SegEnds_NonXtal_Prot#'!A:AL,34,FALSE)-VLOOKUP(A366,'SegEnds_NonXtal_Prot#'!A:AL,31,FALSE)</f>
        <v>35</v>
      </c>
      <c r="AK366" s="1">
        <f>VLOOKUP(A366,'SegEnds_NonXtal_Prot#'!A:AL,37,FALSE)-VLOOKUP(A366,'SegEnds_NonXtal_Prot#'!A:AL,34,FALSE)</f>
        <v>20</v>
      </c>
      <c r="AL366" s="1" t="str">
        <f>IF(ISERROR(MATCH(A366,'SegEnds_Xtal_Prot#'!B:B, 0)), "NoXtal", "Xtal")</f>
        <v>NoXtal</v>
      </c>
    </row>
    <row r="367" spans="1:38" x14ac:dyDescent="0.2">
      <c r="A367" s="1" t="s">
        <v>112</v>
      </c>
      <c r="B367" s="1" t="str">
        <f>VLOOKUP(A367,Xtal_Templ!B:C,2,FALSE)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20</v>
      </c>
      <c r="AL367" s="1" t="str">
        <f>IF(ISERROR(MATCH(A367,'SegEnds_Xtal_Prot#'!B:B, 0)), "NoXtal", "Xtal")</f>
        <v>NoXtal</v>
      </c>
    </row>
    <row r="368" spans="1:38" x14ac:dyDescent="0.2">
      <c r="A368" s="4" t="s">
        <v>113</v>
      </c>
      <c r="B368" s="4" t="str">
        <f>VLOOKUP(A368,Xtal_Templ!B:C,2,FALSE)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16</v>
      </c>
      <c r="AH368" s="1">
        <f>VLOOKUP(A368,'SegEnds_NonXtal_Prot#'!A:AL,28,FALSE)-VLOOKUP(A368,'SegEnds_NonXtal_Prot#'!A:AL,22,FALSE)</f>
        <v>43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121</v>
      </c>
      <c r="B369" s="1" t="str">
        <f>VLOOKUP(A369,Xtal_Templ!B:C,2,FALSE)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1">
        <f>VLOOKUP(A369,'SegEnds_NonXtal_Prot#'!A:AL,10,FALSE)-VLOOKUP(A369,'SegEnds_NonXtal_Prot#'!A:AL,7,FALSE)</f>
        <v>19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 t="e">
        <f>VLOOKUP(A369,'SegEnds_NonXtal_Prot#'!A:AL,28,FALSE)-VLOOKUP(A369,'SegEnds_NonXtal_Prot#'!A:AL,25,FALSE)</f>
        <v>#VALUE!</v>
      </c>
      <c r="AH369" s="1">
        <f>VLOOKUP(A369,'SegEnds_NonXtal_Prot#'!A:AL,28,FALSE)-VLOOKUP(A369,'SegEnds_NonXtal_Prot#'!A:AL,22,FALSE)</f>
        <v>45</v>
      </c>
      <c r="AI369" s="1">
        <f>VLOOKUP(A369,'SegEnds_NonXtal_Prot#'!A:AL,31,FALSE)-VLOOKUP(A369,'SegEnds_NonXtal_Prot#'!A:AL,28,FALSE)</f>
        <v>39</v>
      </c>
      <c r="AJ369" s="1">
        <f>VLOOKUP(A369,'SegEnds_NonXtal_Prot#'!A:AL,34,FALSE)-VLOOKUP(A369,'SegEnds_NonXtal_Prot#'!A:AL,31,FALSE)</f>
        <v>31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446</v>
      </c>
      <c r="B370" s="1" t="str">
        <f>VLOOKUP(A370,Xtal_Templ!B:C,2,FALSE)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62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447</v>
      </c>
      <c r="B371" s="1" t="str">
        <f>VLOOKUP(A371,Xtal_Templ!B:C,2,FALSE)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66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56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448</v>
      </c>
      <c r="B372" s="1" t="str">
        <f>VLOOKUP(A372,Xtal_Templ!B:C,2,FALSE)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67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55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449</v>
      </c>
      <c r="B373" s="1" t="str">
        <f>VLOOKUP(A373,Xtal_Templ!B:C,2,FALSE)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68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450</v>
      </c>
      <c r="B374" s="1" t="str">
        <f>VLOOKUP(A374,Xtal_Templ!B:C,2,FALSE)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v>66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36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451</v>
      </c>
      <c r="B375" s="1" t="str">
        <f>VLOOKUP(A375,Xtal_Templ!B:C,2,FALSE)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VLOOKUP(A376,Xtal_Templ!B:C,2,FALSE)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VLOOKUP(A377,Xtal_Templ!B:C,2,FALSE)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454</v>
      </c>
      <c r="B378" s="1" t="str">
        <f>VLOOKUP(A378,Xtal_Templ!B:C,2,FALSE)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103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57</v>
      </c>
      <c r="AJ378" s="1">
        <f>VLOOKUP(A378,'SegEnds_NonXtal_Prot#'!A:AL,34,FALSE)-VLOOKUP(A378,'SegEnds_NonXtal_Prot#'!A:AL,31,FALSE)</f>
        <v>49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VLOOKUP(A379,Xtal_Templ!B:C,2,FALSE)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VLOOKUP(A380,Xtal_Templ!B:C,2,FALSE)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VLOOKUP(A381,Xtal_Templ!B:C,2,FALSE)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VLOOKUP(A382,Xtal_Templ!B:C,2,FALSE)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486</v>
      </c>
      <c r="B383" s="1" t="str">
        <f>VLOOKUP(A383,Xtal_Templ!B:C,2,FALSE)</f>
        <v>5ht2c_human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">
        <v>64</v>
      </c>
      <c r="Q383" s="1" t="s">
        <v>23</v>
      </c>
      <c r="R383" s="1" t="s">
        <v>23</v>
      </c>
      <c r="S383" s="1">
        <v>39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28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47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29</v>
      </c>
      <c r="AI383" s="1">
        <f>VLOOKUP(A383,'SegEnds_NonXtal_Prot#'!A:AL,31,FALSE)-VLOOKUP(A383,'SegEnds_NonXtal_Prot#'!A:AL,28,FALSE)</f>
        <v>67</v>
      </c>
      <c r="AJ383" s="1">
        <f>VLOOKUP(A383,'SegEnds_NonXtal_Prot#'!A:AL,34,FALSE)-VLOOKUP(A383,'SegEnds_NonXtal_Prot#'!A:AL,31,FALSE)</f>
        <v>45</v>
      </c>
      <c r="AK383" s="1">
        <f>VLOOKUP(A383,'SegEnds_NonXtal_Prot#'!A:AL,37,FALSE)-VLOOKUP(A383,'SegEnds_NonXtal_Prot#'!A:AL,34,FALSE)</f>
        <v>18</v>
      </c>
      <c r="AL383" s="1" t="str">
        <f>IF(ISERROR(MATCH(A383,'SegEnds_Xtal_Prot#'!B:B, 0)), "NoXtal", "Xtal")</f>
        <v>NoXtal</v>
      </c>
    </row>
    <row r="384" spans="1:38" x14ac:dyDescent="0.2">
      <c r="A384" s="1" t="s">
        <v>484</v>
      </c>
      <c r="B384" s="1" t="str">
        <f>VLOOKUP(A384,Xtal_Templ!B:C,2,FALSE)</f>
        <v>oprk_human</v>
      </c>
      <c r="C384" s="5">
        <f>VLOOKUP($B384&amp;"__wt",'SegEnds_Xtal_BW#'!$A:$Z,3,FALSE)</f>
        <v>30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08">
        <v>61</v>
      </c>
      <c r="Q384" s="1" t="s">
        <v>23</v>
      </c>
      <c r="R384" s="1" t="s">
        <v>23</v>
      </c>
      <c r="S384" s="108">
        <v>40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32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45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25</v>
      </c>
      <c r="AI384" s="1">
        <f>VLOOKUP(A384,'SegEnds_NonXtal_Prot#'!A:AL,31,FALSE)-VLOOKUP(A384,'SegEnds_NonXtal_Prot#'!A:AL,28,FALSE)</f>
        <v>76</v>
      </c>
      <c r="AJ384" s="1">
        <f>VLOOKUP(A384,'SegEnds_NonXtal_Prot#'!A:AL,34,FALSE)-VLOOKUP(A384,'SegEnds_NonXtal_Prot#'!A:AL,31,FALSE)</f>
        <v>36</v>
      </c>
      <c r="AK384" s="1">
        <f>VLOOKUP(A384,'SegEnds_NonXtal_Prot#'!A:AL,37,FALSE)-VLOOKUP(A384,'SegEnds_NonXtal_Prot#'!A:AL,34,FALSE)</f>
        <v>24</v>
      </c>
      <c r="AL384" s="1" t="str">
        <f>IF(ISERROR(MATCH(A384,'SegEnds_Xtal_Prot#'!B:B, 0)), "NoXtal", "Xtal")</f>
        <v>NoXtal</v>
      </c>
    </row>
    <row r="385" spans="1:38" x14ac:dyDescent="0.2">
      <c r="A385" s="4" t="s">
        <v>485</v>
      </c>
      <c r="B385" s="4" t="str">
        <f>VLOOKUP(A385,Xtal_Templ!B:C,2,FALSE)</f>
        <v>aa2ar_human</v>
      </c>
      <c r="C385" s="5">
        <f>VLOOKUP($B385&amp;"__wt",'SegEnds_Xtal_BW#'!$A:$Z,3,FALSE)</f>
        <v>27</v>
      </c>
      <c r="D385" s="4">
        <v>60</v>
      </c>
      <c r="E385" s="4" t="s">
        <v>23</v>
      </c>
      <c r="F385" s="4" t="s">
        <v>23</v>
      </c>
      <c r="G385" s="4">
        <v>39</v>
      </c>
      <c r="H385" s="11">
        <v>63</v>
      </c>
      <c r="I385" s="4" t="s">
        <v>23</v>
      </c>
      <c r="J385" s="4" t="s">
        <v>23</v>
      </c>
      <c r="K385" s="11">
        <v>23</v>
      </c>
      <c r="L385" s="4">
        <v>56</v>
      </c>
      <c r="M385" s="4" t="s">
        <v>23</v>
      </c>
      <c r="N385" s="11" t="s">
        <v>23</v>
      </c>
      <c r="O385" s="88">
        <v>40</v>
      </c>
      <c r="P385" s="4">
        <v>64</v>
      </c>
      <c r="Q385" s="4" t="s">
        <v>23</v>
      </c>
      <c r="R385" s="4" t="s">
        <v>23</v>
      </c>
      <c r="S385" s="4">
        <v>39</v>
      </c>
      <c r="T385" s="4">
        <v>61</v>
      </c>
      <c r="U385" s="4">
        <v>29</v>
      </c>
      <c r="V385" s="4">
        <v>53</v>
      </c>
      <c r="W385" s="4">
        <v>35</v>
      </c>
      <c r="X385" s="4">
        <v>56</v>
      </c>
      <c r="Y385" s="4">
        <v>47</v>
      </c>
      <c r="Z385" s="4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36</v>
      </c>
      <c r="AC385" s="4" t="e">
        <f>VLOOKUP(A385,'SegEnds_NonXtal_Prot#'!A:AL,10,FALSE)-VLOOKUP(A385,'SegEnds_NonXtal_Prot#'!A:AL,7,FALSE)</f>
        <v>#VALUE!</v>
      </c>
      <c r="AD385" s="4" t="e">
        <f>VLOOKUP(A385,'SegEnds_NonXtal_Prot#'!A:AL,13,FALSE)-VLOOKUP(A385,'SegEnds_NonXtal_Prot#'!A:AL,10,FALSE)</f>
        <v>#VALUE!</v>
      </c>
      <c r="AE385" s="4">
        <f>VLOOKUP(A385,'SegEnds_NonXtal_Prot#'!A:AL,16,FALSE)-VLOOKUP(A385,'SegEnds_NonXtal_Prot#'!A:AL,10,FALSE)</f>
        <v>63</v>
      </c>
      <c r="AF385" s="1" t="e">
        <f>VLOOKUP(A385,'SegEnds_NonXtal_Prot#'!A:AL,22,FALSE)-VLOOKUP(A385,'SegEnds_NonXtal_Prot#'!A:AL,19,FALSE)</f>
        <v>#VALUE!</v>
      </c>
      <c r="AG385" s="4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39</v>
      </c>
      <c r="AI385" s="4">
        <f>VLOOKUP(A385,'SegEnds_NonXtal_Prot#'!A:AL,31,FALSE)-VLOOKUP(A385,'SegEnds_NonXtal_Prot#'!A:AL,28,FALSE)</f>
        <v>58</v>
      </c>
      <c r="AJ385" s="4">
        <f>VLOOKUP(A385,'SegEnds_NonXtal_Prot#'!A:AL,34,FALSE)-VLOOKUP(A385,'SegEnds_NonXtal_Prot#'!A:AL,31,FALSE)</f>
        <v>49</v>
      </c>
      <c r="AK385" s="1">
        <f>VLOOKUP(A385,'SegEnds_NonXtal_Prot#'!A:AL,37,FALSE)-VLOOKUP(A385,'SegEnds_NonXtal_Prot#'!A:AL,34,FALSE)</f>
        <v>10</v>
      </c>
      <c r="AL385" s="1" t="str">
        <f>IF(ISERROR(MATCH(A385,'SegEnds_Xtal_Prot#'!B:B, 0)), "NoXtal", "Xtal")</f>
        <v>NoXtal</v>
      </c>
    </row>
    <row r="386" spans="1:38" x14ac:dyDescent="0.2">
      <c r="A386" s="1" t="s">
        <v>482</v>
      </c>
      <c r="B386" s="1" t="str">
        <f>VLOOKUP(A386,Xtal_Templ!B:C,2,FALSE)</f>
        <v>ccr9_human</v>
      </c>
      <c r="C386" s="5">
        <f>VLOOKUP($B386&amp;"__wt",'SegEnds_Xtal_BW#'!$A:$Z,3,FALSE)</f>
        <v>27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49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74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81</v>
      </c>
      <c r="AI386" s="1">
        <f>VLOOKUP(A386,'SegEnds_NonXtal_Prot#'!A:AL,31,FALSE)-VLOOKUP(A386,'SegEnds_NonXtal_Prot#'!A:AL,28,FALSE)</f>
        <v>37</v>
      </c>
      <c r="AJ386" s="1">
        <f>VLOOKUP(A386,'SegEnds_NonXtal_Prot#'!A:AL,34,FALSE)-VLOOKUP(A386,'SegEnds_NonXtal_Prot#'!A:AL,31,FALSE)</f>
        <v>44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456</v>
      </c>
      <c r="B387" s="1" t="str">
        <f>VLOOKUP(A387,Xtal_Templ!B:C,2,FALSE)</f>
        <v>drd2_human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67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f>VLOOKUP($B387&amp;"__wt",'SegEnds_Xtal_BW#'!$A:$Z,14,FALSE)</f>
        <v>58</v>
      </c>
      <c r="O387" s="88">
        <v>38</v>
      </c>
      <c r="P387" s="1">
        <f>VLOOKUP($B387&amp;"__wt",'SegEnds_Xtal_BW#'!$A:$Z,16,FALSE)</f>
        <v>62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30</v>
      </c>
      <c r="AC387" s="1">
        <f>VLOOKUP(A387,'SegEnds_NonXtal_Prot#'!A:AL,10,FALSE)-VLOOKUP(A387,'SegEnds_NonXtal_Prot#'!A:AL,7,FALSE)</f>
        <v>15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52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50</v>
      </c>
      <c r="AI387" s="1">
        <f>VLOOKUP(A387,'SegEnds_NonXtal_Prot#'!A:AL,31,FALSE)-VLOOKUP(A387,'SegEnds_NonXtal_Prot#'!A:AL,28,FALSE)</f>
        <v>53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VLOOKUP(A388,Xtal_Templ!B:C,2,FALSE)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VLOOKUP(A389,Xtal_Templ!B:C,2,FALSE)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VLOOKUP(A390,Xtal_Templ!B:C,2,FALSE)</f>
        <v>cxcr4_human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460</v>
      </c>
      <c r="B391" s="1" t="str">
        <f>VLOOKUP(A391,Xtal_Templ!B:C,2,FALSE)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51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52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36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461</v>
      </c>
      <c r="B392" s="1" t="str">
        <f>VLOOKUP(A392,Xtal_Templ!B:C,2,FALSE)</f>
        <v>5ht2c_human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51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52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36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462</v>
      </c>
      <c r="B393" s="1" t="str">
        <f>VLOOKUP(A393,Xtal_Templ!B:C,2,FALSE)</f>
        <v>5ht2c_human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67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51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52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36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463</v>
      </c>
      <c r="B394" s="1" t="str">
        <f>VLOOKUP(A394,Xtal_Templ!B:C,2,FALSE)</f>
        <v>agtr1_human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51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52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464</v>
      </c>
      <c r="B395" s="1" t="str">
        <f>VLOOKUP(A395,Xtal_Templ!B:C,2,FALSE)</f>
        <v>agtr1_human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18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7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53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59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465</v>
      </c>
      <c r="B396" s="1" t="str">
        <f>VLOOKUP(A396,Xtal_Templ!B:C,2,FALSE)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56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466</v>
      </c>
      <c r="B397" s="1" t="str">
        <f>VLOOKUP(A397,Xtal_Templ!B:C,2,FALSE)</f>
        <v>cxcr4_human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18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52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57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467</v>
      </c>
      <c r="B398" s="1" t="str">
        <f>VLOOKUP(A398,Xtal_Templ!B:C,2,FALSE)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56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35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468</v>
      </c>
      <c r="B399" s="1" t="str">
        <f>VLOOKUP(A399,Xtal_Templ!B:C,2,FALSE)</f>
        <v>hrh1_human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67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52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56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469</v>
      </c>
      <c r="B400" s="1" t="str">
        <f>VLOOKUP(A400,Xtal_Templ!B:C,2,FALSE)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930</v>
      </c>
      <c r="B401" s="1" t="str">
        <f>VLOOKUP(A401,Xtal_Templ!B:C,2,FALSE)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470</v>
      </c>
      <c r="B402" s="1" t="str">
        <f>VLOOKUP(A402,Xtal_Templ!B:C,2,FALSE)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471</v>
      </c>
      <c r="B403" s="1" t="str">
        <f>VLOOKUP(A403,Xtal_Templ!B:C,2,FALSE)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VLOOKUP(A404,Xtal_Templ!B:C,2,FALSE)</f>
        <v>oprk_human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18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8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58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35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4" t="s">
        <v>474</v>
      </c>
      <c r="B405" s="4" t="str">
        <f>VLOOKUP(A405,Xtal_Templ!B:C,2,FALSE)</f>
        <v>cxcr4_human</v>
      </c>
      <c r="C405" s="5">
        <v>32</v>
      </c>
      <c r="D405" s="4">
        <v>62</v>
      </c>
      <c r="E405" s="4">
        <f>VLOOKUP($B405&amp;"__wt",'SegEnds_Xtal_BW#'!$A:$Z,5,FALSE)</f>
        <v>48</v>
      </c>
      <c r="F405" s="4">
        <f>VLOOKUP($B405&amp;"__wt",'SegEnds_Xtal_BW#'!$A:$Z,6,FALSE)</f>
        <v>51</v>
      </c>
      <c r="G405" s="4">
        <v>39</v>
      </c>
      <c r="H405" s="11">
        <v>66</v>
      </c>
      <c r="I405" s="4" t="s">
        <v>23</v>
      </c>
      <c r="J405" s="4" t="s">
        <v>23</v>
      </c>
      <c r="K405" s="11">
        <v>24</v>
      </c>
      <c r="L405" s="4">
        <f>VLOOKUP($B405&amp;"__wt",'SegEnds_Xtal_BW#'!$A:$Z,12,FALSE)</f>
        <v>56</v>
      </c>
      <c r="M405" s="4">
        <f>VLOOKUP($B405&amp;"__wt",'SegEnds_Xtal_BW#'!$A:$Z,13,FALSE)</f>
        <v>50</v>
      </c>
      <c r="N405" s="11">
        <v>57</v>
      </c>
      <c r="O405" s="88">
        <v>38</v>
      </c>
      <c r="P405" s="4">
        <f>VLOOKUP($B405&amp;"__wt",'SegEnds_Xtal_BW#'!$A:$Z,16,FALSE)</f>
        <v>64</v>
      </c>
      <c r="Q405" s="4">
        <f>VLOOKUP($B405&amp;"__wt",'SegEnds_Xtal_BW#'!$A:$Z,17,FALSE)</f>
        <v>50</v>
      </c>
      <c r="R405" s="4">
        <f>VLOOKUP($B405&amp;"__wt",'SegEnds_Xtal_BW#'!$A:$Z,18,FALSE)</f>
        <v>52</v>
      </c>
      <c r="S405" s="4">
        <v>32</v>
      </c>
      <c r="T405" s="4">
        <v>72</v>
      </c>
      <c r="U405" s="4">
        <v>29</v>
      </c>
      <c r="V405" s="4">
        <v>61</v>
      </c>
      <c r="W405" s="4">
        <v>31</v>
      </c>
      <c r="X405" s="4">
        <f>VLOOKUP($B405&amp;"__wt",'SegEnds_Xtal_BW#'!$A:$Z,24,FALSE)</f>
        <v>56</v>
      </c>
      <c r="Y405" s="4">
        <f>VLOOKUP($B405&amp;"__wt",'SegEnds_Xtal_BW#'!$A:$Z,25,FALSE)</f>
        <v>47</v>
      </c>
      <c r="Z405" s="4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4">
        <f>VLOOKUP(A405,'SegEnds_NonXtal_Prot#'!A:AL,10,FALSE)-VLOOKUP(A405,'SegEnds_NonXtal_Prot#'!A:AL,7,FALSE)</f>
        <v>16</v>
      </c>
      <c r="AD405" s="4" t="e">
        <f>VLOOKUP(A405,'SegEnds_NonXtal_Prot#'!A:AL,13,FALSE)-VLOOKUP(A405,'SegEnds_NonXtal_Prot#'!A:AL,10,FALSE)</f>
        <v>#VALUE!</v>
      </c>
      <c r="AE405" s="4">
        <f>VLOOKUP(A405,'SegEnds_NonXtal_Prot#'!A:AL,16,FALSE)-VLOOKUP(A405,'SegEnds_NonXtal_Prot#'!A:AL,10,FALSE)</f>
        <v>48</v>
      </c>
      <c r="AF405" s="1">
        <f>VLOOKUP(A405,'SegEnds_NonXtal_Prot#'!A:AL,22,FALSE)-VLOOKUP(A405,'SegEnds_NonXtal_Prot#'!A:AL,19,FALSE)</f>
        <v>20</v>
      </c>
      <c r="AG405" s="4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4">
        <f>VLOOKUP(A405,'SegEnds_NonXtal_Prot#'!A:AL,31,FALSE)-VLOOKUP(A405,'SegEnds_NonXtal_Prot#'!A:AL,28,FALSE)</f>
        <v>53</v>
      </c>
      <c r="AJ405" s="4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VLOOKUP(A406,Xtal_Templ!B:C,2,FALSE)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VLOOKUP(A407,Xtal_Templ!B:C,2,FALSE)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VLOOKUP(A408,Xtal_Templ!B:C,2,FALSE)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VLOOKUP(A409,Xtal_Templ!B:C,2,FALSE)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VLOOKUP(A410,Xtal_Templ!B:C,2,FALSE)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VLOOKUP(A411,Xtal_Templ!B:C,2,FALSE)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B2:AB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tabSelected="1" zoomScale="120" zoomScaleNormal="120" zoomScalePageLayoutView="120" workbookViewId="0">
      <pane ySplit="1" topLeftCell="A375" activePane="bottomLeft" state="frozenSplit"/>
      <selection pane="bottomLeft" activeCell="A270" sqref="A1:A104857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LOWER(VLOOKUP(A2,Xtal_Templ!B:C,2,FALSE))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LOWER(VLOOKUP(A3,Xtal_Templ!B:C,2,FALSE))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LOWER(VLOOKUP(A4,Xtal_Templ!B:C,2,FALSE))</f>
        <v>5ht2c_human</v>
      </c>
      <c r="C4" s="3">
        <f>VLOOKUP($A4,'SegEnds_NonXtal_BW#'!$A:$Z,3,FALSE)+D4-50</f>
        <v>42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106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384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49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LOWER(VLOOKUP(A5,Xtal_Templ!B:C,2,FALSE))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LOWER(VLOOKUP(A6,Xtal_Templ!B:C,2,FALSE))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LOWER(VLOOKUP(A7,Xtal_Templ!B:C,2,FALSE))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LOWER(VLOOKUP(A8,Xtal_Templ!B:C,2,FALSE))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LOWER(VLOOKUP(A9,Xtal_Templ!B:C,2,FALSE))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LOWER(VLOOKUP(A10,Xtal_Templ!B:C,2,FALSE))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LOWER(VLOOKUP(A11,Xtal_Templ!B:C,2,FALSE))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LOWER(VLOOKUP(A12,Xtal_Templ!B:C,2,FALSE))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LOWER(VLOOKUP(A13,Xtal_Templ!B:C,2,FALSE))</f>
        <v>5ht2c_human</v>
      </c>
      <c r="C13" s="3">
        <f>VLOOKUP($A13,'SegEnds_NonXtal_BW#'!$A:$Z,3,FALSE)+D13-50</f>
        <v>157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LOWER(VLOOKUP(A14,Xtal_Templ!B:C,2,FALSE))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LOWER(VLOOKUP(A15,Xtal_Templ!B:C,2,FALSE))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LOWER(VLOOKUP(A16,Xtal_Templ!B:C,2,FALSE))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LOWER(VLOOKUP(A17,Xtal_Templ!B:C,2,FALSE))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LOWER(VLOOKUP(A18,Xtal_Templ!B:C,2,FALSE))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LOWER(VLOOKUP(A19,Xtal_Templ!B:C,2,FALSE))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LOWER(VLOOKUP(A20,Xtal_Templ!B:C,2,FALSE))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LOWER(VLOOKUP(A22,Xtal_Templ!B:C,2,FALSE))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LOWER(VLOOKUP(A23,Xtal_Templ!B:C,2,FALSE))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LOWER(VLOOKUP(A24,Xtal_Templ!B:C,2,FALSE))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LOWER(VLOOKUP(A25,Xtal_Templ!B:C,2,FALSE))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LOWER(VLOOKUP(A26,Xtal_Templ!B:C,2,FALSE))</f>
        <v>opsd_bovin</v>
      </c>
      <c r="C26" s="3">
        <f>VLOOKUP($A26,'SegEnds_NonXtal_BW#'!$A:$Z,3,FALSE)+D26-50</f>
        <v>49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LOWER(VLOOKUP(A27,Xtal_Templ!B:C,2,FALSE))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LOWER(VLOOKUP(A28,Xtal_Templ!B:C,2,FALSE))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LOWER(VLOOKUP(A29,Xtal_Templ!B:C,2,FALSE))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LOWER(VLOOKUP(A30,Xtal_Templ!B:C,2,FALSE))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LOWER(VLOOKUP(A31,Xtal_Templ!B:C,2,FALSE))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LOWER(VLOOKUP(A32,Xtal_Templ!B:C,2,FALSE))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LOWER(VLOOKUP(A33,Xtal_Templ!B:C,2,FALSE))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LOWER(VLOOKUP(A34,Xtal_Templ!B:C,2,FALSE))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LOWER(VLOOKUP(A35,Xtal_Templ!B:C,2,FALSE))</f>
        <v>ccr5_human</v>
      </c>
      <c r="C35" s="3">
        <f>VLOOKUP($A35,'SegEnds_NonXtal_BW#'!$A:$Z,3,FALSE)+D35-50</f>
        <v>43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203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2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LOWER(VLOOKUP(A36,Xtal_Templ!B:C,2,FALSE))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LOWER(VLOOKUP(A37,Xtal_Templ!B:C,2,FALSE))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LOWER(VLOOKUP(A38,Xtal_Templ!B:C,2,FALSE))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LOWER(VLOOKUP(A39,Xtal_Templ!B:C,2,FALSE))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LOWER(VLOOKUP(A40,Xtal_Templ!B:C,2,FALSE))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LOWER(VLOOKUP(A41,Xtal_Templ!B:C,2,FALSE))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LOWER(VLOOKUP(A42,Xtal_Templ!B:C,2,FALSE))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LOWER(VLOOKUP(A43,Xtal_Templ!B:C,2,FALSE))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LOWER(VLOOKUP(A44,Xtal_Templ!B:C,2,FALSE))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LOWER(VLOOKUP(A45,Xtal_Templ!B:C,2,FALSE))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LOWER(VLOOKUP(A46,Xtal_Templ!B:C,2,FALSE))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2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24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LOWER(VLOOKUP(A47,Xtal_Templ!B:C,2,FALSE))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LOWER(VLOOKUP(A48,Xtal_Templ!B:C,2,FALSE))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LOWER(VLOOKUP(A49,Xtal_Templ!B:C,2,FALSE))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LOWER(VLOOKUP(A50,Xtal_Templ!B:C,2,FALSE))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LOWER(VLOOKUP(A51,Xtal_Templ!B:C,2,FALSE))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LOWER(VLOOKUP(A52,Xtal_Templ!B:C,2,FALSE))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LOWER(VLOOKUP(A53,Xtal_Templ!B:C,2,FALSE))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LOWER(VLOOKUP(A54,Xtal_Templ!B:C,2,FALSE))</f>
        <v>ccr2_human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327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6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57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LOWER(VLOOKUP(A55,Xtal_Templ!B:C,2,FALSE))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2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LOWER(VLOOKUP(A56,Xtal_Templ!B:C,2,FALSE))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2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LOWER(VLOOKUP(A57,Xtal_Templ!B:C,2,FALSE))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LOWER(VLOOKUP(A58,Xtal_Templ!B:C,2,FALSE))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LOWER(VLOOKUP(A59,Xtal_Templ!B:C,2,FALSE))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LOWER(VLOOKUP(A60,Xtal_Templ!B:C,2,FALSE))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LOWER(VLOOKUP(A61,Xtal_Templ!B:C,2,FALSE))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LOWER(VLOOKUP(A62,Xtal_Templ!B:C,2,FALSE))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2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11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LOWER(VLOOKUP(A63,Xtal_Templ!B:C,2,FALSE))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LOWER(VLOOKUP(A64,Xtal_Templ!B:C,2,FALSE))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2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11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LOWER(VLOOKUP(A65,Xtal_Templ!B:C,2,FALSE))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LOWER(VLOOKUP(A66,Xtal_Templ!B:C,2,FALSE))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LOWER(VLOOKUP(A67,Xtal_Templ!B:C,2,FALSE))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LOWER(VLOOKUP(A68,Xtal_Templ!B:C,2,FALSE))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LOWER(VLOOKUP(A69,Xtal_Templ!B:C,2,FALSE))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LOWER(VLOOKUP(A70,Xtal_Templ!B:C,2,FALSE))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LOWER(VLOOKUP(A71,Xtal_Templ!B:C,2,FALSE))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LOWER(VLOOKUP(A72,Xtal_Templ!B:C,2,FALSE))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LOWER(VLOOKUP(A73,Xtal_Templ!B:C,2,FALSE))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LOWER(VLOOKUP(A74,Xtal_Templ!B:C,2,FALSE))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LOWER(VLOOKUP(A75,Xtal_Templ!B:C,2,FALSE))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LOWER(VLOOKUP(A76,Xtal_Templ!B:C,2,FALSE))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LOWER(VLOOKUP(A77,Xtal_Templ!B:C,2,FALSE))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LOWER(VLOOKUP(A78,Xtal_Templ!B:C,2,FALSE))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LOWER(VLOOKUP(A79,Xtal_Templ!B:C,2,FALSE))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LOWER(VLOOKUP(A80,Xtal_Templ!B:C,2,FALSE))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LOWER(VLOOKUP(A81,Xtal_Templ!B:C,2,FALSE))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LOWER(VLOOKUP(A82,Xtal_Templ!B:C,2,FALSE))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LOWER(VLOOKUP(A83,Xtal_Templ!B:C,2,FALSE))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LOWER(VLOOKUP(A84,Xtal_Templ!B:C,2,FALSE))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LOWER(VLOOKUP(A85,Xtal_Templ!B:C,2,FALSE))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LOWER(VLOOKUP(A86,Xtal_Templ!B:C,2,FALSE))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LOWER(VLOOKUP(A87,Xtal_Templ!B:C,2,FALSE))</f>
        <v>ptafr_human</v>
      </c>
      <c r="C87" s="3">
        <f>VLOOKUP($A87,'SegEnds_NonXtal_BW#'!$A:$Z,3,FALSE)+D87-50</f>
        <v>18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52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184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301</v>
      </c>
      <c r="AJ87" s="3">
        <f>IF(ISERROR(VLOOKUP($A87,'SegEnds_NonXtal_BW#'!$A:$Z,25,FALSE)+VLOOKUP($A87,A:AL,37,FALSE)-50),"-",(VLOOKUP($A87,'SegEnds_NonXtal_BW#'!$A:$Z,25,FALSE)+VLOOKUP($A87,A:AL,37,FALSE)-50))</f>
        <v>302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315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9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22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LOWER(VLOOKUP(A88,Xtal_Templ!B:C,2,FALSE))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LOWER(VLOOKUP(A89,Xtal_Templ!B:C,2,FALSE))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LOWER(VLOOKUP(A90,Xtal_Templ!B:C,2,FALSE))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LOWER(VLOOKUP(A91,Xtal_Templ!B:C,2,FALSE))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LOWER(VLOOKUP(A92,Xtal_Templ!B:C,2,FALSE))</f>
        <v>ccr2_human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308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7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47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LOWER(VLOOKUP(A93,Xtal_Templ!B:C,2,FALSE))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LOWER(VLOOKUP(A94,Xtal_Templ!B:C,2,FALSE))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LOWER(VLOOKUP(A95,Xtal_Templ!B:C,2,FALSE))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LOWER(VLOOKUP(A96,Xtal_Templ!B:C,2,FALSE))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LOWER(VLOOKUP(A97,Xtal_Templ!B:C,2,FALSE))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LOWER(VLOOKUP(A98,Xtal_Templ!B:C,2,FALSE))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LOWER(VLOOKUP(A99,Xtal_Templ!B:C,2,FALSE))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LOWER(VLOOKUP(A100,Xtal_Templ!B:C,2,FALSE))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LOWER(VLOOKUP(A101,Xtal_Templ!B:C,2,FALSE))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LOWER(VLOOKUP(A102,Xtal_Templ!B:C,2,FALSE))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LOWER(VLOOKUP(A103,Xtal_Templ!B:C,2,FALSE))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LOWER(VLOOKUP(A104,Xtal_Templ!B:C,2,FALSE))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LOWER(VLOOKUP(A105,Xtal_Templ!B:C,2,FALSE))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LOWER(VLOOKUP(A106,Xtal_Templ!B:C,2,FALSE))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3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19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31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LOWER(VLOOKUP(A107,Xtal_Templ!B:C,2,FALSE))</f>
        <v>c5ar1_human</v>
      </c>
      <c r="C107" s="3">
        <f>VLOOKUP($A107,'SegEnds_NonXtal_BW#'!$A:$Z,3,FALSE)+D107-50</f>
        <v>23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194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315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16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36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LOWER(VLOOKUP(A108,Xtal_Templ!B:C,2,FALSE))</f>
        <v>c5ar1_human</v>
      </c>
      <c r="C108" s="3">
        <f>VLOOKUP($A108,'SegEnds_NonXtal_BW#'!$A:$Z,3,FALSE)+D108-50</f>
        <v>23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194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315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16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38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LOWER(VLOOKUP(A109,Xtal_Templ!B:C,2,FALSE))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LOWER(VLOOKUP(A110,Xtal_Templ!B:C,2,FALSE))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LOWER(VLOOKUP(A111,Xtal_Templ!B:C,2,FALSE))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LOWER(VLOOKUP(A112,Xtal_Templ!B:C,2,FALSE))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LOWER(VLOOKUP(A113,Xtal_Templ!B:C,2,FALSE))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LOWER(VLOOKUP(A114,Xtal_Templ!B:C,2,FALSE))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LOWER(VLOOKUP(A115,Xtal_Templ!B:C,2,FALSE))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3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12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38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LOWER(VLOOKUP(A116,Xtal_Templ!B:C,2,FALSE))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LOWER(VLOOKUP(A117,Xtal_Templ!B:C,2,FALSE))</f>
        <v>par1_human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153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178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13</v>
      </c>
      <c r="AW117" s="3">
        <f t="shared" si="46"/>
        <v>10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LOWER(VLOOKUP(A118,Xtal_Templ!B:C,2,FALSE))</f>
        <v>5ht1b_human</v>
      </c>
      <c r="C118" s="3">
        <f>VLOOKUP($A118,'SegEnds_NonXtal_BW#'!$A:$Z,3,FALSE)+D118-50</f>
        <v>45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19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LOWER(VLOOKUP(A119,Xtal_Templ!B:C,2,FALSE))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160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LOWER(VLOOKUP(A120,Xtal_Templ!B:C,2,FALSE))</f>
        <v>drd4_human</v>
      </c>
      <c r="C120" s="3">
        <f>VLOOKUP($A120,'SegEnds_NonXtal_BW#'!$A:$Z,3,FALSE)+D120-50</f>
        <v>4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69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312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6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297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LOWER(VLOOKUP(A121,Xtal_Templ!B:C,2,FALSE))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LOWER(VLOOKUP(A122,Xtal_Templ!B:C,2,FALSE))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LOWER(VLOOKUP(A123,Xtal_Templ!B:C,2,FALSE))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LOWER(VLOOKUP(A124,Xtal_Templ!B:C,2,FALSE))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LOWER(VLOOKUP(A125,Xtal_Templ!B:C,2,FALSE))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LOWER(VLOOKUP(A126,Xtal_Templ!B:C,2,FALSE))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94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LOWER(VLOOKUP(A127,Xtal_Templ!B:C,2,FALSE))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LOWER(VLOOKUP(A128,Xtal_Templ!B:C,2,FALSE))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LOWER(VLOOKUP(A129,Xtal_Templ!B:C,2,FALSE))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LOWER(VLOOKUP(A130,Xtal_Templ!B:C,2,FALSE))</f>
        <v>apj_human</v>
      </c>
      <c r="C130" s="3">
        <f>VLOOKUP($A130,'SegEnds_NonXtal_BW#'!$A:$Z,3,FALSE)+D130-50</f>
        <v>34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96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187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2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LOWER(VLOOKUP(A131,Xtal_Templ!B:C,2,FALSE))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LOWER(VLOOKUP(A132,Xtal_Templ!B:C,2,FALSE))</f>
        <v>apj_human</v>
      </c>
      <c r="C132" s="3">
        <f>VLOOKUP($A132,'SegEnds_NonXtal_BW#'!$A:$Z,3,FALSE)+D132-50</f>
        <v>23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304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27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LOWER(VLOOKUP(A133,Xtal_Templ!B:C,2,FALSE))</f>
        <v>par2_human</v>
      </c>
      <c r="C133" s="3">
        <f>VLOOKUP($A133,'SegEnds_NonXtal_BW#'!$A:$Z,3,FALSE)+D133-50</f>
        <v>49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187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315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43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LOWER(VLOOKUP(A134,Xtal_Templ!B:C,2,FALSE))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13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30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LOWER(VLOOKUP(A135,Xtal_Templ!B:C,2,FALSE))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LOWER(VLOOKUP(A136,Xtal_Templ!B:C,2,FALSE))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LOWER(VLOOKUP(A137,Xtal_Templ!B:C,2,FALSE))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LOWER(VLOOKUP(A138,Xtal_Templ!B:C,2,FALSE))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LOWER(VLOOKUP(A139,Xtal_Templ!B:C,2,FALSE))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208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15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24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LOWER(VLOOKUP(A140,Xtal_Templ!B:C,2,FALSE))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LOWER(VLOOKUP(A141,Xtal_Templ!B:C,2,FALSE))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LOWER(VLOOKUP(A142,Xtal_Templ!B:C,2,FALSE))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LOWER(VLOOKUP(A143,Xtal_Templ!B:C,2,FALSE))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LOWER(VLOOKUP(A144,Xtal_Templ!B:C,2,FALSE))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LOWER(VLOOKUP(A145,Xtal_Templ!B:C,2,FALSE))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LOWER(VLOOKUP(A146,Xtal_Templ!B:C,2,FALSE))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LOWER(VLOOKUP(A147,Xtal_Templ!B:C,2,FALSE))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LOWER(VLOOKUP(A148,Xtal_Templ!B:C,2,FALSE))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LOWER(VLOOKUP(A149,Xtal_Templ!B:C,2,FALSE))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LOWER(VLOOKUP(A150,Xtal_Templ!B:C,2,FALSE))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LOWER(VLOOKUP(A151,Xtal_Templ!B:C,2,FALSE))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LOWER(VLOOKUP(A152,Xtal_Templ!B:C,2,FALSE))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10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LOWER(VLOOKUP(A153,Xtal_Templ!B:C,2,FALSE))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213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9</v>
      </c>
      <c r="AW153" s="3">
        <f t="shared" si="88"/>
        <v>43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LOWER(VLOOKUP(A154,Xtal_Templ!B:C,2,FALSE))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LOWER(VLOOKUP(A155,Xtal_Templ!B:C,2,FALSE))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LOWER(VLOOKUP(A156,Xtal_Templ!B:C,2,FALSE))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LOWER(VLOOKUP(A157,Xtal_Templ!B:C,2,FALSE))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LOWER(VLOOKUP(A158,Xtal_Templ!B:C,2,FALSE))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LOWER(VLOOKUP(A159,Xtal_Templ!B:C,2,FALSE))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LOWER(VLOOKUP(A160,Xtal_Templ!B:C,2,FALSE))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LOWER(VLOOKUP(A161,Xtal_Templ!B:C,2,FALSE))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LOWER(VLOOKUP(A162,Xtal_Templ!B:C,2,FALSE))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LOWER(VLOOKUP(A163,Xtal_Templ!B:C,2,FALSE))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LOWER(VLOOKUP(A164,Xtal_Templ!B:C,2,FALSE))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LOWER(VLOOKUP(A165,Xtal_Templ!B:C,2,FALSE))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LOWER(VLOOKUP(A166,Xtal_Templ!B:C,2,FALSE))</f>
        <v>5ht2c_human</v>
      </c>
      <c r="C166" s="3">
        <f>VLOOKUP($A166,'SegEnds_NonXtal_BW#'!$A:$Z,3,FALSE)+D166-50</f>
        <v>562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626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711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844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6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123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LOWER(VLOOKUP(A167,Xtal_Templ!B:C,2,FALSE))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LOWER(VLOOKUP(A168,Xtal_Templ!B:C,2,FALSE))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LOWER(VLOOKUP(A169,Xtal_Templ!B:C,2,FALSE))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LOWER(VLOOKUP(A170,Xtal_Templ!B:C,2,FALSE))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LOWER(VLOOKUP(A171,Xtal_Templ!B:C,2,FALSE))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98"/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7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49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LOWER(VLOOKUP(A172,Xtal_Templ!B:C,2,FALSE))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52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LOWER(VLOOKUP(A173,Xtal_Templ!B:C,2,FALSE))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LOWER(VLOOKUP(A174,Xtal_Templ!B:C,2,FALSE))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LOWER(VLOOKUP(A175,Xtal_Templ!B:C,2,FALSE))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LOWER(VLOOKUP(A176,Xtal_Templ!B:C,2,FALSE))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LOWER(VLOOKUP(A177,Xtal_Templ!B:C,2,FALSE))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LOWER(VLOOKUP(A178,Xtal_Templ!B:C,2,FALSE))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LOWER(VLOOKUP(A179,Xtal_Templ!B:C,2,FALSE))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LOWER(VLOOKUP(A180,Xtal_Templ!B:C,2,FALSE))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LOWER(VLOOKUP(A181,Xtal_Templ!B:C,2,FALSE))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LOWER(VLOOKUP(A182,Xtal_Templ!B:C,2,FALSE))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LOWER(VLOOKUP(A183,Xtal_Templ!B:C,2,FALSE))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21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LOWER(VLOOKUP(A184,Xtal_Templ!B:C,2,FALSE))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LOWER(VLOOKUP(A185,Xtal_Templ!B:C,2,FALSE))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33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LOWER(VLOOKUP(A186,Xtal_Templ!B:C,2,FALSE))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32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LOWER(VLOOKUP(A187,Xtal_Templ!B:C,2,FALSE))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32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LOWER(VLOOKUP(A188,Xtal_Templ!B:C,2,FALSE))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LOWER(VLOOKUP(A189,Xtal_Templ!B:C,2,FALSE))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LOWER(VLOOKUP(A190,Xtal_Templ!B:C,2,FALSE))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LOWER(VLOOKUP(A191,Xtal_Templ!B:C,2,FALSE))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LOWER(VLOOKUP(A192,Xtal_Templ!B:C,2,FALSE))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LOWER(VLOOKUP(A193,Xtal_Templ!B:C,2,FALSE))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LOWER(VLOOKUP(A194,Xtal_Templ!B:C,2,FALSE))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LOWER(VLOOKUP(A195,Xtal_Templ!B:C,2,FALSE))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LOWER(VLOOKUP(A196,Xtal_Templ!B:C,2,FALSE))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LOWER(VLOOKUP(A197,Xtal_Templ!B:C,2,FALSE))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LOWER(VLOOKUP(A198,Xtal_Templ!B:C,2,FALSE))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LOWER(VLOOKUP(A199,Xtal_Templ!B:C,2,FALSE))</f>
        <v>ptafr_human</v>
      </c>
      <c r="C199" s="3">
        <f>VLOOKUP($A199,'SegEnds_NonXtal_BW#'!$A:$Z,3,FALSE)+D199-50</f>
        <v>16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84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159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180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292</v>
      </c>
      <c r="AJ199" s="3">
        <f>IF(ISERROR(VLOOKUP($A199,'SegEnds_NonXtal_BW#'!$A:$Z,25,FALSE)+VLOOKUP($A199,A:AL,37,FALSE)-50),"-",(VLOOKUP($A199,'SegEnds_NonXtal_BW#'!$A:$Z,25,FALSE)+VLOOKUP($A199,A:AL,37,FALSE)-50))</f>
        <v>293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306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2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13</v>
      </c>
      <c r="AW199" s="3">
        <f t="shared" si="125"/>
        <v>6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59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LOWER(VLOOKUP(A201,Xtal_Templ!B:C,2,FALSE))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LOWER(VLOOKUP(A202,Xtal_Templ!B:C,2,FALSE))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LOWER(VLOOKUP(A203,Xtal_Templ!B:C,2,FALSE))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LOWER(VLOOKUP(A204,Xtal_Templ!B:C,2,FALSE))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LOWER(VLOOKUP(A205,Xtal_Templ!B:C,2,FALSE))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LOWER(VLOOKUP(A206,Xtal_Templ!B:C,2,FALSE))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LOWER(VLOOKUP(A207,Xtal_Templ!B:C,2,FALSE))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LOWER(VLOOKUP(A208,Xtal_Templ!B:C,2,FALSE))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244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5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52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LOWER(VLOOKUP(A209,Xtal_Templ!B:C,2,FALSE))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LOWER(VLOOKUP(A210,Xtal_Templ!B:C,2,FALSE))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LOWER(VLOOKUP(A211,Xtal_Templ!B:C,2,FALSE))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LOWER(VLOOKUP(A212,Xtal_Templ!B:C,2,FALSE))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LOWER(VLOOKUP(A213,Xtal_Templ!B:C,2,FALSE))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LOWER(VLOOKUP(A214,Xtal_Templ!B:C,2,FALSE))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LOWER(VLOOKUP(A215,Xtal_Templ!B:C,2,FALSE))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LOWER(VLOOKUP(A216,Xtal_Templ!B:C,2,FALSE))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LOWER(VLOOKUP(A217,Xtal_Templ!B:C,2,FALSE))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LOWER(VLOOKUP(A218,Xtal_Templ!B:C,2,FALSE))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LOWER(VLOOKUP(A219,Xtal_Templ!B:C,2,FALSE))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LOWER(VLOOKUP(A220,Xtal_Templ!B:C,2,FALSE))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LOWER(VLOOKUP(A221,Xtal_Templ!B:C,2,FALSE))</f>
        <v>aa2ar_human</v>
      </c>
      <c r="C221" s="3">
        <f>VLOOKUP($A221,'SegEnds_NonXtal_BW#'!$A:$Z,3,FALSE)+D221-50</f>
        <v>11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196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349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11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10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LOWER(VLOOKUP(A222,Xtal_Templ!B:C,2,FALSE))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NoXtal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3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14</v>
      </c>
      <c r="AX222" s="3">
        <f t="shared" si="126"/>
        <v>5</v>
      </c>
      <c r="AY222" s="3">
        <f t="shared" si="127"/>
        <v>7</v>
      </c>
      <c r="AZ222" s="3">
        <f t="shared" si="128"/>
        <v>1</v>
      </c>
      <c r="BA222" s="3">
        <f>IF(ISERROR(LEN(VLOOKUP(A222,Seqs!A:E,2,FALSE))-AL222),"-",LEN(VLOOKUP(A222,Seqs!A:E,2,FALSE))-AL222)</f>
        <v>73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LOWER(VLOOKUP(A223,Xtal_Templ!B:C,2,FALSE))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2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12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35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LOWER(VLOOKUP(A224,Xtal_Templ!B:C,2,FALSE))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7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12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28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LOWER(VLOOKUP(A225,Xtal_Templ!B:C,2,FALSE))</f>
        <v>aa2ar_human</v>
      </c>
      <c r="C225" s="3">
        <f>VLOOKUP($A225,'SegEnds_NonXtal_BW#'!$A:$Z,3,FALSE)+D225-50</f>
        <v>43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116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227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372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NoXtal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3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17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18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LOWER(VLOOKUP(A226,Xtal_Templ!B:C,2,FALSE))</f>
        <v>5ht2c_human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83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161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182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NoXtal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9</v>
      </c>
      <c r="AW226" s="3">
        <f t="shared" si="125"/>
        <v>10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LOWER(VLOOKUP(A227,Xtal_Templ!B:C,2,FALSE))</f>
        <v>c5ar1_human</v>
      </c>
      <c r="C227" s="3">
        <f>VLOOKUP($A227,'SegEnds_NonXtal_BW#'!$A:$Z,3,FALSE)+D227-50</f>
        <v>23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174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317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2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12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42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LOWER(VLOOKUP(A228,Xtal_Templ!B:C,2,FALSE))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12</v>
      </c>
      <c r="AW228" s="3">
        <f t="shared" si="125"/>
        <v>5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76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LOWER(VLOOKUP(A229,Xtal_Templ!B:C,2,FALSE))</f>
        <v>ptafr_human</v>
      </c>
      <c r="C229" s="3">
        <f>VLOOKUP($A229,'SegEnds_NonXtal_BW#'!$A:$Z,3,FALSE)+D229-50</f>
        <v>9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43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152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178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296</v>
      </c>
      <c r="AJ229" s="3">
        <f>IF(ISERROR(VLOOKUP($A229,'SegEnds_NonXtal_BW#'!$A:$Z,25,FALSE)+VLOOKUP($A229,A:AL,37,FALSE)-50),"-",(VLOOKUP($A229,'SegEnds_NonXtal_BW#'!$A:$Z,25,FALSE)+VLOOKUP($A229,A:AL,37,FALSE)-50))</f>
        <v>297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310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2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18</v>
      </c>
      <c r="AW229" s="3">
        <f t="shared" si="125"/>
        <v>6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27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LOWER(VLOOKUP(A230,Xtal_Templ!B:C,2,FALSE))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LOWER(VLOOKUP(A231,Xtal_Templ!B:C,2,FALSE))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LOWER(VLOOKUP(A232,Xtal_Templ!B:C,2,FALSE))</f>
        <v>oprd_human</v>
      </c>
      <c r="C232" s="3">
        <f>VLOOKUP($A232,'SegEnds_NonXtal_BW#'!$A:$Z,3,FALSE)+D232-50</f>
        <v>29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197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326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4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48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LOWER(VLOOKUP(A233,Xtal_Templ!B:C,2,FALSE))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LOWER(VLOOKUP(A234,Xtal_Templ!B:C,2,FALSE))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LOWER(VLOOKUP(A235,Xtal_Templ!B:C,2,FALSE))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LOWER(VLOOKUP(A236,Xtal_Templ!B:C,2,FALSE))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LOWER(VLOOKUP(A237,Xtal_Templ!B:C,2,FALSE))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203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3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61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LOWER(VLOOKUP(A238,Xtal_Templ!B:C,2,FALSE))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LOWER(VLOOKUP(A239,Xtal_Templ!B:C,2,FALSE))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LOWER(VLOOKUP(A240,Xtal_Templ!B:C,2,FALSE))</f>
        <v>5ht2c_human</v>
      </c>
      <c r="C240" s="3">
        <f>VLOOKUP($A240,'SegEnds_NonXtal_BW#'!$A:$Z,3,FALSE)+D240-50</f>
        <v>25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174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203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279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325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NoXtal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9</v>
      </c>
      <c r="AW240" s="3">
        <f t="shared" si="125"/>
        <v>18</v>
      </c>
      <c r="AX240" s="3">
        <f t="shared" si="126"/>
        <v>4</v>
      </c>
      <c r="AY240" s="3">
        <f t="shared" si="127"/>
        <v>5</v>
      </c>
      <c r="AZ240" s="3">
        <f t="shared" si="128"/>
        <v>1</v>
      </c>
      <c r="BA240" s="3">
        <f>IF(ISERROR(LEN(VLOOKUP(A240,Seqs!A:E,2,FALSE))-AL240),"-",LEN(VLOOKUP(A240,Seqs!A:E,2,FALSE))-AL240)</f>
        <v>18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LOWER(VLOOKUP(A241,Xtal_Templ!B:C,2,FALSE))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LOWER(VLOOKUP(A242,Xtal_Templ!B:C,2,FALSE))</f>
        <v>adrb2_human</v>
      </c>
      <c r="C242" s="3">
        <f>VLOOKUP($A242,'SegEnds_NonXtal_BW#'!$A:$Z,3,FALSE)+D242-50</f>
        <v>36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106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182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2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19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LOWER(VLOOKUP(A243,Xtal_Templ!B:C,2,FALSE))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LOWER(VLOOKUP(A244,Xtal_Templ!B:C,2,FALSE))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LOWER(VLOOKUP(A245,Xtal_Templ!B:C,2,FALSE))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LOWER(VLOOKUP(A246,Xtal_Templ!B:C,2,FALSE))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LOWER(VLOOKUP(A247,Xtal_Templ!B:C,2,FALSE))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LOWER(VLOOKUP(A248,Xtal_Templ!B:C,2,FALSE))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LOWER(VLOOKUP(A249,Xtal_Templ!B:C,2,FALSE))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LOWER(VLOOKUP(A250,Xtal_Templ!B:C,2,FALSE))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LOWER(VLOOKUP(A251,Xtal_Templ!B:C,2,FALSE))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LOWER(VLOOKUP(A252,Xtal_Templ!B:C,2,FALSE))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104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LOWER(VLOOKUP(A253,Xtal_Templ!B:C,2,FALSE))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LOWER(VLOOKUP(A254,Xtal_Templ!B:C,2,FALSE))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LOWER(VLOOKUP(A255,Xtal_Templ!B:C,2,FALSE))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LOWER(VLOOKUP(A256,Xtal_Templ!B:C,2,FALSE))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LOWER(VLOOKUP(A257,Xtal_Templ!B:C,2,FALSE))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LOWER(VLOOKUP(A258,Xtal_Templ!B:C,2,FALSE))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LOWER(VLOOKUP(A259,Xtal_Templ!B:C,2,FALSE))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LOWER(VLOOKUP(A260,Xtal_Templ!B:C,2,FALSE))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LOWER(VLOOKUP(A261,Xtal_Templ!B:C,2,FALSE))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LOWER(VLOOKUP(A262,Xtal_Templ!B:C,2,FALSE))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LOWER(VLOOKUP(A263,Xtal_Templ!B:C,2,FALSE))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LOWER(VLOOKUP(A264,Xtal_Templ!B:C,2,FALSE))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LOWER(VLOOKUP(A265,Xtal_Templ!B:C,2,FALSE))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LOWER(VLOOKUP(A266,Xtal_Templ!B:C,2,FALSE))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LOWER(VLOOKUP(A267,Xtal_Templ!B:C,2,FALSE))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LOWER(VLOOKUP(A268,Xtal_Templ!B:C,2,FALSE))</f>
        <v>ox2r_human</v>
      </c>
      <c r="C268" s="3">
        <f>VLOOKUP($A268,'SegEnds_NonXtal_BW#'!$A:$Z,3,FALSE)+D268-50</f>
        <v>102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167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272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8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LOWER(VLOOKUP(A269,Xtal_Templ!B:C,2,FALSE))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LOWER(VLOOKUP(A270,Xtal_Templ!B:C,2,FALSE))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LOWER(VLOOKUP(A271,Xtal_Templ!B:C,2,FALSE))</f>
        <v>cxcr4_human</v>
      </c>
      <c r="C271" s="3">
        <f>VLOOKUP($A271,'SegEnds_NonXtal_BW#'!$A:$Z,3,FALSE)+D271-50</f>
        <v>34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109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226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368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7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66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LOWER(VLOOKUP(A272,Xtal_Templ!B:C,2,FALSE))</f>
        <v>p2y12_human</v>
      </c>
      <c r="C272" s="3">
        <f>VLOOKUP($A272,'SegEnds_NonXtal_BW#'!$A:$Z,3,FALSE)+D272-50</f>
        <v>17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306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32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LOWER(VLOOKUP(A273,Xtal_Templ!B:C,2,FALSE))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LOWER(VLOOKUP(A274,Xtal_Templ!B:C,2,FALSE))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LOWER(VLOOKUP(A275,Xtal_Templ!B:C,2,FALSE))</f>
        <v>5ht1b_human</v>
      </c>
      <c r="C275" s="3">
        <f>VLOOKUP($A275,'SegEnds_NonXtal_BW#'!$A:$Z,3,FALSE)+D275-50</f>
        <v>30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169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339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13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33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LOWER(VLOOKUP(A276,Xtal_Templ!B:C,2,FALSE))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LOWER(VLOOKUP(A277,Xtal_Templ!B:C,2,FALSE))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LOWER(VLOOKUP(A278,Xtal_Templ!B:C,2,FALSE))</f>
        <v>acm3_rat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188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391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1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149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LOWER(VLOOKUP(A279,Xtal_Templ!B:C,2,FALSE))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LOWER(VLOOKUP(A280,Xtal_Templ!B:C,2,FALSE))</f>
        <v>ox2r_human</v>
      </c>
      <c r="C280" s="3">
        <f>VLOOKUP($A280,'SegEnds_NonXtal_BW#'!$A:$Z,3,FALSE)+D280-50</f>
        <v>31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191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NoXtal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9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LOWER(VLOOKUP(A281,Xtal_Templ!B:C,2,FALSE))</f>
        <v>ox1r_human</v>
      </c>
      <c r="C281" s="3">
        <f>VLOOKUP($A281,'SegEnds_NonXtal_BW#'!$A:$Z,3,FALSE)+D281-50</f>
        <v>33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191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8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LOWER(VLOOKUP(A282,Xtal_Templ!B:C,2,FALSE))</f>
        <v>ox2r_human</v>
      </c>
      <c r="C282" s="3">
        <f>VLOOKUP($A282,'SegEnds_NonXtal_BW#'!$A:$Z,3,FALSE)+D282-50</f>
        <v>84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242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7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LOWER(VLOOKUP(A283,Xtal_Templ!B:C,2,FALSE))</f>
        <v>oprd_human</v>
      </c>
      <c r="C283" s="3">
        <f>VLOOKUP($A283,'SegEnds_NonXtal_BW#'!$A:$Z,3,FALSE)+D283-50</f>
        <v>27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LOWER(VLOOKUP(A284,Xtal_Templ!B:C,2,FALSE))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LOWER(VLOOKUP(A285,Xtal_Templ!B:C,2,FALSE))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LOWER(VLOOKUP(A286,Xtal_Templ!B:C,2,FALSE))</f>
        <v>ox2r_human</v>
      </c>
      <c r="C286" s="3">
        <f>VLOOKUP($A286,'SegEnds_NonXtal_BW#'!$A:$Z,3,FALSE)+D286-50</f>
        <v>146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211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316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1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6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LOWER(VLOOKUP(A287,Xtal_Templ!B:C,2,FALSE))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LOWER(VLOOKUP(A288,Xtal_Templ!B:C,2,FALSE))</f>
        <v>ox1r_human</v>
      </c>
      <c r="C288" s="3">
        <f>VLOOKUP($A288,'SegEnds_NonXtal_BW#'!$A:$Z,3,FALSE)+D288-50</f>
        <v>50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113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213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2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8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LOWER(VLOOKUP(A289,Xtal_Templ!B:C,2,FALSE))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LOWER(VLOOKUP(A290,Xtal_Templ!B:C,2,FALSE))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LOWER(VLOOKUP(A291,Xtal_Templ!B:C,2,FALSE))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LOWER(VLOOKUP(A292,Xtal_Templ!B:C,2,FALSE))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LOWER(VLOOKUP(A293,Xtal_Templ!B:C,2,FALSE))</f>
        <v>ox1r_human</v>
      </c>
      <c r="C293" s="3">
        <f>VLOOKUP($A293,'SegEnds_NonXtal_BW#'!$A:$Z,3,FALSE)+D293-50</f>
        <v>39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194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5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LOWER(VLOOKUP(A294,Xtal_Templ!B:C,2,FALSE))</f>
        <v>npy1r_human</v>
      </c>
      <c r="C294" s="3">
        <f>VLOOKUP($A294,'SegEnds_NonXtal_BW#'!$A:$Z,3,FALSE)+D294-50</f>
        <v>58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126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225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3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6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LOWER(VLOOKUP(A295,Xtal_Templ!B:C,2,FALSE))</f>
        <v>npy1r_human</v>
      </c>
      <c r="C295" s="3">
        <f>VLOOKUP($A295,'SegEnds_NonXtal_BW#'!$A:$Z,3,FALSE)+D295-50</f>
        <v>49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216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6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LOWER(VLOOKUP(A296,Xtal_Templ!B:C,2,FALSE))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LOWER(VLOOKUP(A297,Xtal_Templ!B:C,2,FALSE))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LOWER(VLOOKUP(A298,Xtal_Templ!B:C,2,FALSE))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 t="shared" ref="H298" si="178">G298+1</f>
        <v>65</v>
      </c>
      <c r="I298" s="3">
        <f t="shared" ref="I298" si="179"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ref="Z298" si="180"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ref="AN298" si="181"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 t="shared" ref="AP298" si="182">IF(ISERROR(F298-E298),"-",F298-E298)</f>
        <v>1</v>
      </c>
      <c r="AQ298" s="3">
        <f t="shared" ref="AQ298" si="183">IF(ISERROR(I298-H298),"-",I298-H298)</f>
        <v>1</v>
      </c>
      <c r="AR298" s="3" t="str">
        <f t="shared" ref="AR298" si="184">IF(ISERROR(L298-K298),"-",L298-K298)</f>
        <v>-</v>
      </c>
      <c r="AS298" s="3" t="str">
        <f t="shared" ref="AS298" si="185">IF(ISERROR(O298-N298),"-",O298-N298)</f>
        <v>-</v>
      </c>
      <c r="AT298" s="3" t="str">
        <f t="shared" ref="AT298" si="186">IF(ISERROR(R298-Q298),"-",R298-Q298)</f>
        <v>-</v>
      </c>
      <c r="AU298" s="3" t="str">
        <f t="shared" ref="AU298" si="187">IF(ISERROR(U298-T298),"-",U298-T298)</f>
        <v>-</v>
      </c>
      <c r="AV298" s="3">
        <f t="shared" ref="AV298" si="188">IF(ISERROR(X298-W298),"-",X298-W298)</f>
        <v>9</v>
      </c>
      <c r="AW298" s="3">
        <f t="shared" ref="AW298" si="189">IF(ISERROR(AA298-Z298),"-",AA298-Z298)</f>
        <v>8</v>
      </c>
      <c r="AX298" s="3">
        <f t="shared" ref="AX298" si="190">IF(ISERROR(AD298-AC298),"-",AD298-AC298)</f>
        <v>4</v>
      </c>
      <c r="AY298" s="3">
        <f t="shared" ref="AY298" si="191">IF(ISERROR(AG298-AF298),"-",AG298-AF298)</f>
        <v>5</v>
      </c>
      <c r="AZ298" s="3">
        <f t="shared" ref="AZ298" si="192"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 t="shared" ref="BB298" si="193">J298-D298</f>
        <v>28</v>
      </c>
      <c r="BC298" s="9" t="str">
        <f t="shared" ref="BC298" si="194">IF(ISERROR(V298-S298),"-",V298-S298)</f>
        <v>-</v>
      </c>
      <c r="BD298" s="3">
        <f t="shared" ref="BD298" si="195">J298-D298</f>
        <v>28</v>
      </c>
      <c r="BE298" s="3">
        <f t="shared" ref="BE298" si="196">AE298-AB298</f>
        <v>43</v>
      </c>
    </row>
    <row r="299" spans="1:59" s="3" customFormat="1" x14ac:dyDescent="0.2">
      <c r="A299" s="3" t="s">
        <v>401</v>
      </c>
      <c r="B299" s="3" t="str">
        <f>LOWER(VLOOKUP(A299,Xtal_Templ!B:C,2,FALSE))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215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LOWER(VLOOKUP(A300,Xtal_Templ!B:C,2,FALSE))</f>
        <v>calcr_human</v>
      </c>
      <c r="C300" s="3">
        <f>VLOOKUP($A300,'SegEnds_NonXtal_BW#'!$A:$Z,3,FALSE)+D300-50</f>
        <v>125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208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278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NoXtal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4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LOWER(VLOOKUP(A301,Xtal_Templ!B:C,2,FALSE))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LOWER(VLOOKUP(A302,Xtal_Templ!B:C,2,FALSE))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LOWER(VLOOKUP(A303,Xtal_Templ!B:C,2,FALSE))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LOWER(VLOOKUP(A304,Xtal_Templ!B:C,2,FALSE))</f>
        <v>glr_human</v>
      </c>
      <c r="C304" s="3">
        <f>VLOOKUP($A304,'SegEnds_NonXtal_BW#'!$A:$Z,3,FALSE)+D304-50</f>
        <v>119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198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240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347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7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LOWER(VLOOKUP(A305,Xtal_Templ!B:C,2,FALSE))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LOWER(VLOOKUP(A306,Xtal_Templ!B:C,2,FALSE))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LOWER(VLOOKUP(A307,Xtal_Templ!B:C,2,FALSE))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LOWER(VLOOKUP(A308,Xtal_Templ!B:C,2,FALSE))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LOWER(VLOOKUP(A309,Xtal_Templ!B:C,2,FALSE))</f>
        <v>glr_human</v>
      </c>
      <c r="C309" s="3">
        <f>VLOOKUP($A309,'SegEnds_NonXtal_BW#'!$A:$Z,3,FALSE)+D309-50</f>
        <v>143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222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264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371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7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LOWER(VLOOKUP(A310,Xtal_Templ!B:C,2,FALSE))</f>
        <v>glp1r_human</v>
      </c>
      <c r="C310" s="3">
        <f>VLOOKUP($A310,'SegEnds_NonXtal_BW#'!$A:$Z,3,FALSE)+D310-50</f>
        <v>181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317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426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NoXtal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8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LOWER(VLOOKUP(A311,Xtal_Templ!B:C,2,FALSE))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272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381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7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LOWER(VLOOKUP(A312,Xtal_Templ!B:C,2,FALSE))</f>
        <v>glp1r_human</v>
      </c>
      <c r="C312" s="3">
        <f>VLOOKUP($A312,'SegEnds_NonXtal_BW#'!$A:$Z,3,FALSE)+D312-50</f>
        <v>136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211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251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360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6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LOWER(VLOOKUP(A313,Xtal_Templ!B:C,2,FALSE))</f>
        <v>glp1r_human</v>
      </c>
      <c r="C313" s="3">
        <f>VLOOKUP($A313,'SegEnds_NonXtal_BW#'!$A:$Z,3,FALSE)+D313-50</f>
        <v>136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211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251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359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7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LOWER(VLOOKUP(A314,Xtal_Templ!B:C,2,FALSE))</f>
        <v>glr_human</v>
      </c>
      <c r="C314" s="3">
        <f>VLOOKUP($A314,'SegEnds_NonXtal_BW#'!$A:$Z,3,FALSE)+D314-50</f>
        <v>116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239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346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7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LOWER(VLOOKUP(A315,Xtal_Templ!B:C,2,FALSE))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LOWER(VLOOKUP(A316,Xtal_Templ!B:C,2,FALSE))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LOWER(VLOOKUP(A317,Xtal_Templ!B:C,2,FALSE))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LOWER(VLOOKUP(A318,Xtal_Templ!B:C,2,FALSE))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LOWER(VLOOKUP(A319,Xtal_Templ!B:C,2,FALSE))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LOWER(VLOOKUP(A320,Xtal_Templ!B:C,2,FALSE))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LOWER(VLOOKUP(A321,Xtal_Templ!B:C,2,FALSE))</f>
        <v>glp1r_human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757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LOWER(VLOOKUP(A322,Xtal_Templ!B:C,2,FALSE))</f>
        <v>calcr_human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709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816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6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LOWER(VLOOKUP(A323,Xtal_Templ!B:C,2,FALSE))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97">G323+1</f>
        <v>565</v>
      </c>
      <c r="I323" s="3">
        <f t="shared" si="197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LOWER(VLOOKUP(A324,Xtal_Templ!B:C,2,FALSE))</f>
        <v>crfr1_human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97"/>
        <v>385</v>
      </c>
      <c r="I324" s="3">
        <f t="shared" si="197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462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570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6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LOWER(VLOOKUP(A325,Xtal_Templ!B:C,2,FALSE))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97"/>
        <v>219</v>
      </c>
      <c r="I325" s="3">
        <f t="shared" si="197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98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99">IF(ISERROR(F325-E325),"-",F325-E325)</f>
        <v>1</v>
      </c>
      <c r="AQ325" s="3">
        <f t="shared" ref="AQ325:AQ389" si="200">IF(ISERROR(I325-H325),"-",I325-H325)</f>
        <v>1</v>
      </c>
      <c r="AR325" s="3" t="str">
        <f t="shared" ref="AR325:AR389" si="201">IF(ISERROR(L325-K325),"-",L325-K325)</f>
        <v>-</v>
      </c>
      <c r="AS325" s="3" t="str">
        <f t="shared" ref="AS325:AS389" si="202">IF(ISERROR(O325-N325),"-",O325-N325)</f>
        <v>-</v>
      </c>
      <c r="AT325" s="3" t="str">
        <f t="shared" ref="AT325:AT389" si="203">IF(ISERROR(R325-Q325),"-",R325-Q325)</f>
        <v>-</v>
      </c>
      <c r="AU325" s="3" t="str">
        <f t="shared" ref="AU325:AU389" si="204">IF(ISERROR(U325-T325),"-",U325-T325)</f>
        <v>-</v>
      </c>
      <c r="AV325" s="3">
        <f t="shared" ref="AV325:AV389" si="205">IF(ISERROR(X325-W325),"-",X325-W325)</f>
        <v>5</v>
      </c>
      <c r="AW325" s="3">
        <f t="shared" ref="AW325:AW389" si="206">IF(ISERROR(AA325-Z325),"-",AA325-Z325)</f>
        <v>3</v>
      </c>
      <c r="AX325" s="3">
        <f t="shared" ref="AX325:AX389" si="207">IF(ISERROR(AD325-AC325),"-",AD325-AC325)</f>
        <v>12</v>
      </c>
      <c r="AY325" s="3">
        <f t="shared" ref="AY325:AY389" si="208">IF(ISERROR(AG325-AF325),"-",AG325-AF325)</f>
        <v>7</v>
      </c>
      <c r="AZ325" s="3">
        <f t="shared" ref="AZ325:AZ389" si="209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210">J325-D325</f>
        <v>28</v>
      </c>
      <c r="BC325" s="9" t="str">
        <f t="shared" ref="BC325:BC389" si="211">IF(ISERROR(V325-S325),"-",V325-S325)</f>
        <v>-</v>
      </c>
      <c r="BD325" s="3">
        <f t="shared" ref="BD325:BD389" si="212">J325-D325</f>
        <v>28</v>
      </c>
      <c r="BE325" s="3">
        <f t="shared" ref="BE325:BE389" si="213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LOWER(VLOOKUP(A326,Xtal_Templ!B:C,2,FALSE))</f>
        <v>crfr1_human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697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98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809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214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99"/>
        <v>-</v>
      </c>
      <c r="AQ326" s="3" t="str">
        <f t="shared" si="200"/>
        <v>-</v>
      </c>
      <c r="AR326" s="3" t="str">
        <f t="shared" si="201"/>
        <v>-</v>
      </c>
      <c r="AS326" s="3" t="str">
        <f t="shared" si="202"/>
        <v>-</v>
      </c>
      <c r="AT326" s="3" t="str">
        <f t="shared" si="203"/>
        <v>-</v>
      </c>
      <c r="AU326" s="3" t="str">
        <f t="shared" si="204"/>
        <v>-</v>
      </c>
      <c r="AV326" s="3">
        <f t="shared" si="205"/>
        <v>8</v>
      </c>
      <c r="AW326" s="3">
        <f t="shared" si="206"/>
        <v>5</v>
      </c>
      <c r="AX326" s="3">
        <f t="shared" si="207"/>
        <v>12</v>
      </c>
      <c r="AY326" s="3">
        <f t="shared" si="208"/>
        <v>7</v>
      </c>
      <c r="AZ326" s="3">
        <f t="shared" si="209"/>
        <v>1</v>
      </c>
      <c r="BA326" s="3">
        <f>IF(ISERROR(LEN(VLOOKUP(A326,Seqs!A:E,2,FALSE))-AL326),"-",LEN(VLOOKUP(A326,Seqs!A:E,2,FALSE))-AL326)</f>
        <v>52</v>
      </c>
      <c r="BB326" s="16">
        <f t="shared" si="210"/>
        <v>31</v>
      </c>
      <c r="BC326" s="9" t="str">
        <f t="shared" si="211"/>
        <v>-</v>
      </c>
      <c r="BD326" s="3">
        <f t="shared" si="212"/>
        <v>31</v>
      </c>
      <c r="BE326" s="3">
        <f t="shared" si="213"/>
        <v>52</v>
      </c>
    </row>
    <row r="327" spans="1:59" s="3" customFormat="1" x14ac:dyDescent="0.2">
      <c r="A327" s="3" t="s">
        <v>1189</v>
      </c>
      <c r="B327" s="3" t="str">
        <f>LOWER(VLOOKUP(A327,Xtal_Templ!B:C,2,FALSE))</f>
        <v>calcr_human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586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98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214"/>
        <v>1</v>
      </c>
      <c r="AO327" s="3" t="str">
        <f>IF(ISERROR(MATCH(A327,'SegEnds_Xtal_Prot#'!B:B, 0)), "NoXtal", "Xtal")</f>
        <v>NoXtal</v>
      </c>
      <c r="AP327" s="3" t="str">
        <f t="shared" si="199"/>
        <v>-</v>
      </c>
      <c r="AQ327" s="3" t="str">
        <f t="shared" si="200"/>
        <v>-</v>
      </c>
      <c r="AR327" s="3" t="str">
        <f t="shared" si="201"/>
        <v>-</v>
      </c>
      <c r="AS327" s="3" t="str">
        <f t="shared" si="202"/>
        <v>-</v>
      </c>
      <c r="AT327" s="3" t="str">
        <f t="shared" si="203"/>
        <v>-</v>
      </c>
      <c r="AU327" s="3" t="str">
        <f t="shared" si="204"/>
        <v>-</v>
      </c>
      <c r="AV327" s="3">
        <f t="shared" si="205"/>
        <v>8</v>
      </c>
      <c r="AW327" s="3">
        <f t="shared" si="206"/>
        <v>4</v>
      </c>
      <c r="AX327" s="3">
        <f t="shared" si="207"/>
        <v>17</v>
      </c>
      <c r="AY327" s="3">
        <f t="shared" si="208"/>
        <v>4</v>
      </c>
      <c r="AZ327" s="3" t="str">
        <f t="shared" si="209"/>
        <v>-</v>
      </c>
      <c r="BA327" s="3" t="str">
        <f>IF(ISERROR(LEN(VLOOKUP(A327,Seqs!A:E,2,FALSE))-AL327),"-",LEN(VLOOKUP(A327,Seqs!A:E,2,FALSE))-AL327)</f>
        <v>-</v>
      </c>
      <c r="BB327" s="16">
        <f t="shared" si="210"/>
        <v>31</v>
      </c>
      <c r="BC327" s="9" t="str">
        <f t="shared" si="211"/>
        <v>-</v>
      </c>
      <c r="BD327" s="3">
        <f t="shared" si="212"/>
        <v>31</v>
      </c>
      <c r="BE327" s="3">
        <f t="shared" si="213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LOWER(VLOOKUP(A328,Xtal_Templ!B:C,2,FALSE))</f>
        <v>crfr1_human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881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909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98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214"/>
        <v>1</v>
      </c>
      <c r="AO328" s="3" t="str">
        <f>IF(ISERROR(MATCH(A328,'SegEnds_Xtal_Prot#'!B:B, 0)), "NoXtal", "Xtal")</f>
        <v>NoXtal</v>
      </c>
      <c r="AP328" s="3" t="str">
        <f t="shared" si="199"/>
        <v>-</v>
      </c>
      <c r="AQ328" s="3" t="str">
        <f t="shared" si="200"/>
        <v>-</v>
      </c>
      <c r="AR328" s="3" t="str">
        <f t="shared" si="201"/>
        <v>-</v>
      </c>
      <c r="AS328" s="3" t="str">
        <f t="shared" si="202"/>
        <v>-</v>
      </c>
      <c r="AT328" s="3" t="str">
        <f t="shared" si="203"/>
        <v>-</v>
      </c>
      <c r="AU328" s="3" t="str">
        <f t="shared" si="204"/>
        <v>-</v>
      </c>
      <c r="AV328" s="3">
        <f t="shared" si="205"/>
        <v>8</v>
      </c>
      <c r="AW328" s="3">
        <f t="shared" si="206"/>
        <v>3</v>
      </c>
      <c r="AX328" s="3">
        <f t="shared" si="207"/>
        <v>12</v>
      </c>
      <c r="AY328" s="3">
        <f t="shared" si="208"/>
        <v>7</v>
      </c>
      <c r="AZ328" s="3">
        <f t="shared" si="209"/>
        <v>1</v>
      </c>
      <c r="BA328" s="3">
        <f>IF(ISERROR(LEN(VLOOKUP(A328,Seqs!A:E,2,FALSE))-AL328),"-",LEN(VLOOKUP(A328,Seqs!A:E,2,FALSE))-AL328)</f>
        <v>39</v>
      </c>
      <c r="BB328" s="16">
        <f t="shared" si="210"/>
        <v>31</v>
      </c>
      <c r="BC328" s="9" t="str">
        <f t="shared" si="211"/>
        <v>-</v>
      </c>
      <c r="BD328" s="3">
        <f t="shared" si="212"/>
        <v>31</v>
      </c>
      <c r="BE328" s="3">
        <f t="shared" si="213"/>
        <v>52</v>
      </c>
    </row>
    <row r="329" spans="1:59" s="3" customFormat="1" x14ac:dyDescent="0.2">
      <c r="A329" s="3" t="s">
        <v>1191</v>
      </c>
      <c r="B329" s="3" t="str">
        <f>LOWER(VLOOKUP(A329,Xtal_Templ!B:C,2,FALSE))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98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214"/>
        <v>1</v>
      </c>
      <c r="AO329" s="3" t="str">
        <f>IF(ISERROR(MATCH(A329,'SegEnds_Xtal_Prot#'!B:B, 0)), "NoXtal", "Xtal")</f>
        <v>NoXtal</v>
      </c>
      <c r="AP329" s="3" t="str">
        <f t="shared" si="199"/>
        <v>-</v>
      </c>
      <c r="AQ329" s="3" t="str">
        <f t="shared" si="200"/>
        <v>-</v>
      </c>
      <c r="AR329" s="3" t="str">
        <f t="shared" si="201"/>
        <v>-</v>
      </c>
      <c r="AS329" s="3" t="str">
        <f t="shared" si="202"/>
        <v>-</v>
      </c>
      <c r="AT329" s="3" t="str">
        <f t="shared" si="203"/>
        <v>-</v>
      </c>
      <c r="AU329" s="3" t="str">
        <f t="shared" si="204"/>
        <v>-</v>
      </c>
      <c r="AV329" s="3">
        <f t="shared" si="205"/>
        <v>8</v>
      </c>
      <c r="AW329" s="3">
        <f t="shared" si="206"/>
        <v>4</v>
      </c>
      <c r="AX329" s="3">
        <f t="shared" si="207"/>
        <v>11</v>
      </c>
      <c r="AY329" s="3">
        <f t="shared" si="208"/>
        <v>7</v>
      </c>
      <c r="AZ329" s="3">
        <f t="shared" si="209"/>
        <v>1</v>
      </c>
      <c r="BA329" s="3">
        <f>IF(ISERROR(LEN(VLOOKUP(A329,Seqs!A:E,2,FALSE))-AL329),"-",LEN(VLOOKUP(A329,Seqs!A:E,2,FALSE))-AL329)</f>
        <v>23</v>
      </c>
      <c r="BB329" s="16">
        <f t="shared" si="210"/>
        <v>31</v>
      </c>
      <c r="BC329" s="9" t="str">
        <f t="shared" si="211"/>
        <v>-</v>
      </c>
      <c r="BD329" s="3">
        <f t="shared" si="212"/>
        <v>31</v>
      </c>
      <c r="BE329" s="3">
        <f t="shared" si="213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LOWER(VLOOKUP(A330,Xtal_Templ!B:C,2,FALSE))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98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214"/>
        <v>1</v>
      </c>
      <c r="AO330" s="3" t="str">
        <f>IF(ISERROR(MATCH(A330,'SegEnds_Xtal_Prot#'!B:B, 0)), "NoXtal", "Xtal")</f>
        <v>NoXtal</v>
      </c>
      <c r="AP330" s="3">
        <f t="shared" si="199"/>
        <v>2</v>
      </c>
      <c r="AQ330" s="3">
        <f t="shared" si="200"/>
        <v>1</v>
      </c>
      <c r="AR330" s="3" t="str">
        <f t="shared" si="201"/>
        <v>-</v>
      </c>
      <c r="AS330" s="3" t="str">
        <f t="shared" si="202"/>
        <v>-</v>
      </c>
      <c r="AT330" s="3" t="str">
        <f t="shared" si="203"/>
        <v>-</v>
      </c>
      <c r="AU330" s="3" t="str">
        <f t="shared" si="204"/>
        <v>-</v>
      </c>
      <c r="AV330" s="3">
        <f t="shared" si="205"/>
        <v>8</v>
      </c>
      <c r="AW330" s="3">
        <f t="shared" si="206"/>
        <v>4</v>
      </c>
      <c r="AX330" s="3">
        <f t="shared" si="207"/>
        <v>12</v>
      </c>
      <c r="AY330" s="3">
        <f t="shared" si="208"/>
        <v>7</v>
      </c>
      <c r="AZ330" s="3">
        <f t="shared" si="209"/>
        <v>1</v>
      </c>
      <c r="BA330" s="3">
        <f>IF(ISERROR(LEN(VLOOKUP(A330,Seqs!A:E,2,FALSE))-AL330),"-",LEN(VLOOKUP(A330,Seqs!A:E,2,FALSE))-AL330)</f>
        <v>60</v>
      </c>
      <c r="BB330" s="16">
        <f t="shared" si="210"/>
        <v>31</v>
      </c>
      <c r="BC330" s="9" t="str">
        <f t="shared" si="211"/>
        <v>-</v>
      </c>
      <c r="BD330" s="3">
        <f t="shared" si="212"/>
        <v>31</v>
      </c>
      <c r="BE330" s="3">
        <f t="shared" si="213"/>
        <v>52</v>
      </c>
    </row>
    <row r="331" spans="1:59" s="3" customFormat="1" x14ac:dyDescent="0.2">
      <c r="A331" s="3" t="s">
        <v>1193</v>
      </c>
      <c r="B331" s="3" t="str">
        <f>LOWER(VLOOKUP(A331,Xtal_Templ!B:C,2,FALSE))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98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214"/>
        <v>1</v>
      </c>
      <c r="AO331" s="3" t="str">
        <f>IF(ISERROR(MATCH(A331,'SegEnds_Xtal_Prot#'!B:B, 0)), "NoXtal", "Xtal")</f>
        <v>NoXtal</v>
      </c>
      <c r="AP331" s="3">
        <f t="shared" si="199"/>
        <v>2</v>
      </c>
      <c r="AQ331" s="3">
        <f t="shared" si="200"/>
        <v>1</v>
      </c>
      <c r="AR331" s="3" t="str">
        <f t="shared" si="201"/>
        <v>-</v>
      </c>
      <c r="AS331" s="3" t="str">
        <f t="shared" si="202"/>
        <v>-</v>
      </c>
      <c r="AT331" s="3" t="str">
        <f t="shared" si="203"/>
        <v>-</v>
      </c>
      <c r="AU331" s="3" t="str">
        <f t="shared" si="204"/>
        <v>-</v>
      </c>
      <c r="AV331" s="3">
        <f t="shared" si="205"/>
        <v>20</v>
      </c>
      <c r="AW331" s="3">
        <f t="shared" si="206"/>
        <v>3</v>
      </c>
      <c r="AX331" s="3">
        <f t="shared" si="207"/>
        <v>4</v>
      </c>
      <c r="AY331" s="3">
        <f t="shared" si="208"/>
        <v>5</v>
      </c>
      <c r="AZ331" s="3">
        <f t="shared" si="209"/>
        <v>1</v>
      </c>
      <c r="BA331" s="3">
        <f>IF(ISERROR(LEN(VLOOKUP(A331,Seqs!A:E,2,FALSE))-AL331),"-",LEN(VLOOKUP(A331,Seqs!A:E,2,FALSE))-AL331)</f>
        <v>15</v>
      </c>
      <c r="BB331" s="16">
        <f t="shared" si="210"/>
        <v>35</v>
      </c>
      <c r="BC331" s="9" t="str">
        <f t="shared" si="211"/>
        <v>-</v>
      </c>
      <c r="BD331" s="3">
        <f t="shared" si="212"/>
        <v>35</v>
      </c>
      <c r="BE331" s="3">
        <f t="shared" si="213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LOWER(VLOOKUP(A332,Xtal_Templ!B:C,2,FALSE))</f>
        <v>crfr1_human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733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98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851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214"/>
        <v>1</v>
      </c>
      <c r="AO332" s="3" t="str">
        <f>IF(ISERROR(MATCH(A332,'SegEnds_Xtal_Prot#'!B:B, 0)), "NoXtal", "Xtal")</f>
        <v>NoXtal</v>
      </c>
      <c r="AP332" s="3" t="str">
        <f t="shared" si="199"/>
        <v>-</v>
      </c>
      <c r="AQ332" s="3" t="str">
        <f t="shared" si="200"/>
        <v>-</v>
      </c>
      <c r="AR332" s="3" t="str">
        <f t="shared" si="201"/>
        <v>-</v>
      </c>
      <c r="AS332" s="3" t="str">
        <f t="shared" si="202"/>
        <v>-</v>
      </c>
      <c r="AT332" s="3" t="str">
        <f t="shared" si="203"/>
        <v>-</v>
      </c>
      <c r="AU332" s="3" t="str">
        <f t="shared" si="204"/>
        <v>-</v>
      </c>
      <c r="AV332" s="3">
        <f t="shared" si="205"/>
        <v>17</v>
      </c>
      <c r="AW332" s="3">
        <f t="shared" si="206"/>
        <v>3</v>
      </c>
      <c r="AX332" s="3">
        <f t="shared" si="207"/>
        <v>11</v>
      </c>
      <c r="AY332" s="3">
        <f t="shared" si="208"/>
        <v>6</v>
      </c>
      <c r="AZ332" s="3">
        <f t="shared" si="209"/>
        <v>1</v>
      </c>
      <c r="BA332" s="3">
        <f>IF(ISERROR(LEN(VLOOKUP(A332,Seqs!A:E,2,FALSE))-AL332),"-",LEN(VLOOKUP(A332,Seqs!A:E,2,FALSE))-AL332)</f>
        <v>118</v>
      </c>
      <c r="BB332" s="16">
        <f t="shared" si="210"/>
        <v>29</v>
      </c>
      <c r="BC332" s="9" t="str">
        <f t="shared" si="211"/>
        <v>-</v>
      </c>
      <c r="BD332" s="3">
        <f t="shared" si="212"/>
        <v>29</v>
      </c>
      <c r="BE332" s="3">
        <f t="shared" si="213"/>
        <v>51</v>
      </c>
    </row>
    <row r="333" spans="1:59" s="3" customFormat="1" x14ac:dyDescent="0.2">
      <c r="A333" s="3" t="s">
        <v>1195</v>
      </c>
      <c r="B333" s="3" t="str">
        <f>LOWER(VLOOKUP(A333,Xtal_Templ!B:C,2,FALSE))</f>
        <v>crfr1_human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377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98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214"/>
        <v>1</v>
      </c>
      <c r="AO333" s="3" t="str">
        <f>IF(ISERROR(MATCH(A333,'SegEnds_Xtal_Prot#'!B:B, 0)), "NoXtal", "Xtal")</f>
        <v>NoXtal</v>
      </c>
      <c r="AP333" s="3" t="str">
        <f t="shared" si="199"/>
        <v>-</v>
      </c>
      <c r="AQ333" s="3" t="str">
        <f t="shared" si="200"/>
        <v>-</v>
      </c>
      <c r="AR333" s="3" t="str">
        <f t="shared" si="201"/>
        <v>-</v>
      </c>
      <c r="AS333" s="3" t="str">
        <f t="shared" si="202"/>
        <v>-</v>
      </c>
      <c r="AT333" s="3" t="str">
        <f t="shared" si="203"/>
        <v>-</v>
      </c>
      <c r="AU333" s="3" t="str">
        <f t="shared" si="204"/>
        <v>-</v>
      </c>
      <c r="AV333" s="3">
        <f t="shared" si="205"/>
        <v>15</v>
      </c>
      <c r="AW333" s="3">
        <f t="shared" si="206"/>
        <v>2</v>
      </c>
      <c r="AX333" s="3">
        <f t="shared" si="207"/>
        <v>14</v>
      </c>
      <c r="AY333" s="3">
        <f t="shared" si="208"/>
        <v>7</v>
      </c>
      <c r="AZ333" s="3">
        <f t="shared" si="209"/>
        <v>1</v>
      </c>
      <c r="BA333" s="3">
        <f>IF(ISERROR(LEN(VLOOKUP(A333,Seqs!A:E,2,FALSE))-AL333),"-",LEN(VLOOKUP(A333,Seqs!A:E,2,FALSE))-AL333)</f>
        <v>8</v>
      </c>
      <c r="BB333" s="16">
        <f t="shared" si="210"/>
        <v>33</v>
      </c>
      <c r="BC333" s="9" t="str">
        <f t="shared" si="211"/>
        <v>-</v>
      </c>
      <c r="BD333" s="3">
        <f t="shared" si="212"/>
        <v>33</v>
      </c>
      <c r="BE333" s="3">
        <f t="shared" si="213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LOWER(VLOOKUP(A334,Xtal_Templ!B:C,2,FALSE))</f>
        <v>crfr1_human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2848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98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2958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214"/>
        <v>1</v>
      </c>
      <c r="AO334" s="3" t="str">
        <f>IF(ISERROR(MATCH(A334,'SegEnds_Xtal_Prot#'!B:B, 0)), "NoXtal", "Xtal")</f>
        <v>NoXtal</v>
      </c>
      <c r="AP334" s="3" t="str">
        <f t="shared" si="199"/>
        <v>-</v>
      </c>
      <c r="AQ334" s="3" t="str">
        <f t="shared" si="200"/>
        <v>-</v>
      </c>
      <c r="AR334" s="3" t="str">
        <f t="shared" si="201"/>
        <v>-</v>
      </c>
      <c r="AS334" s="3" t="str">
        <f t="shared" si="202"/>
        <v>-</v>
      </c>
      <c r="AT334" s="3" t="str">
        <f t="shared" si="203"/>
        <v>-</v>
      </c>
      <c r="AU334" s="3" t="str">
        <f t="shared" si="204"/>
        <v>-</v>
      </c>
      <c r="AV334" s="3">
        <f t="shared" si="205"/>
        <v>10</v>
      </c>
      <c r="AW334" s="3">
        <f t="shared" si="206"/>
        <v>3</v>
      </c>
      <c r="AX334" s="3">
        <f t="shared" si="207"/>
        <v>10</v>
      </c>
      <c r="AY334" s="3">
        <f t="shared" si="208"/>
        <v>6</v>
      </c>
      <c r="AZ334" s="3">
        <f t="shared" si="209"/>
        <v>1</v>
      </c>
      <c r="BA334" s="3">
        <f>IF(ISERROR(LEN(VLOOKUP(A334,Seqs!A:E,2,FALSE))-AL334),"-",LEN(VLOOKUP(A334,Seqs!A:E,2,FALSE))-AL334)</f>
        <v>74</v>
      </c>
      <c r="BB334" s="16">
        <f t="shared" si="210"/>
        <v>29</v>
      </c>
      <c r="BC334" s="9" t="str">
        <f t="shared" si="211"/>
        <v>-</v>
      </c>
      <c r="BD334" s="3">
        <f t="shared" si="212"/>
        <v>29</v>
      </c>
      <c r="BE334" s="3">
        <f t="shared" si="213"/>
        <v>50</v>
      </c>
    </row>
    <row r="335" spans="1:59" s="3" customFormat="1" x14ac:dyDescent="0.2">
      <c r="A335" s="3" t="s">
        <v>1197</v>
      </c>
      <c r="B335" s="3" t="str">
        <f>LOWER(VLOOKUP(A335,Xtal_Templ!B:C,2,FALSE))</f>
        <v>glr_human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353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98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475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214"/>
        <v>1</v>
      </c>
      <c r="AO335" s="3" t="str">
        <f>IF(ISERROR(MATCH(A335,'SegEnds_Xtal_Prot#'!B:B, 0)), "NoXtal", "Xtal")</f>
        <v>NoXtal</v>
      </c>
      <c r="AP335" s="3" t="str">
        <f t="shared" si="199"/>
        <v>-</v>
      </c>
      <c r="AQ335" s="3" t="str">
        <f t="shared" si="200"/>
        <v>-</v>
      </c>
      <c r="AR335" s="3" t="str">
        <f t="shared" si="201"/>
        <v>-</v>
      </c>
      <c r="AS335" s="3" t="str">
        <f t="shared" si="202"/>
        <v>-</v>
      </c>
      <c r="AT335" s="3" t="str">
        <f t="shared" si="203"/>
        <v>-</v>
      </c>
      <c r="AU335" s="3" t="str">
        <f t="shared" si="204"/>
        <v>-</v>
      </c>
      <c r="AV335" s="3">
        <f t="shared" si="205"/>
        <v>23</v>
      </c>
      <c r="AW335" s="3">
        <f t="shared" si="206"/>
        <v>3</v>
      </c>
      <c r="AX335" s="3">
        <f t="shared" si="207"/>
        <v>9</v>
      </c>
      <c r="AY335" s="3">
        <f t="shared" si="208"/>
        <v>6</v>
      </c>
      <c r="AZ335" s="3">
        <f t="shared" si="209"/>
        <v>1</v>
      </c>
      <c r="BA335" s="3">
        <f>IF(ISERROR(LEN(VLOOKUP(A335,Seqs!A:E,2,FALSE))-AL335),"-",LEN(VLOOKUP(A335,Seqs!A:E,2,FALSE))-AL335)</f>
        <v>5</v>
      </c>
      <c r="BB335" s="16">
        <f t="shared" si="210"/>
        <v>28</v>
      </c>
      <c r="BC335" s="9" t="str">
        <f t="shared" si="211"/>
        <v>-</v>
      </c>
      <c r="BD335" s="3">
        <f t="shared" si="212"/>
        <v>28</v>
      </c>
      <c r="BE335" s="3">
        <f t="shared" si="213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LOWER(VLOOKUP(A336,Xtal_Templ!B:C,2,FALSE))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98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214"/>
        <v>1</v>
      </c>
      <c r="AO336" s="3" t="str">
        <f>IF(ISERROR(MATCH(A336,'SegEnds_Xtal_Prot#'!B:B, 0)), "NoXtal", "Xtal")</f>
        <v>NoXtal</v>
      </c>
      <c r="AP336" s="3">
        <f t="shared" si="199"/>
        <v>1</v>
      </c>
      <c r="AQ336" s="3">
        <f t="shared" si="200"/>
        <v>1</v>
      </c>
      <c r="AR336" s="3" t="str">
        <f t="shared" si="201"/>
        <v>-</v>
      </c>
      <c r="AS336" s="3" t="str">
        <f t="shared" si="202"/>
        <v>-</v>
      </c>
      <c r="AT336" s="3" t="str">
        <f t="shared" si="203"/>
        <v>-</v>
      </c>
      <c r="AU336" s="3" t="str">
        <f t="shared" si="204"/>
        <v>-</v>
      </c>
      <c r="AV336" s="3">
        <f t="shared" si="205"/>
        <v>16</v>
      </c>
      <c r="AW336" s="3">
        <f t="shared" si="206"/>
        <v>3</v>
      </c>
      <c r="AX336" s="3">
        <f t="shared" si="207"/>
        <v>11</v>
      </c>
      <c r="AY336" s="3">
        <f t="shared" si="208"/>
        <v>6</v>
      </c>
      <c r="AZ336" s="3">
        <f t="shared" si="209"/>
        <v>1</v>
      </c>
      <c r="BA336" s="3">
        <f>IF(ISERROR(LEN(VLOOKUP(A336,Seqs!A:E,2,FALSE))-AL336),"-",LEN(VLOOKUP(A336,Seqs!A:E,2,FALSE))-AL336)</f>
        <v>87</v>
      </c>
      <c r="BB336" s="16">
        <f t="shared" si="210"/>
        <v>29</v>
      </c>
      <c r="BC336" s="9" t="str">
        <f t="shared" si="211"/>
        <v>-</v>
      </c>
      <c r="BD336" s="3">
        <f t="shared" si="212"/>
        <v>29</v>
      </c>
      <c r="BE336" s="3">
        <f t="shared" si="213"/>
        <v>51</v>
      </c>
    </row>
    <row r="337" spans="1:58" s="3" customFormat="1" x14ac:dyDescent="0.2">
      <c r="A337" s="3" t="s">
        <v>1198</v>
      </c>
      <c r="B337" s="3" t="str">
        <f>LOWER(VLOOKUP(A337,Xtal_Templ!B:C,2,FALSE))</f>
        <v>glp1r_human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563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98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689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214"/>
        <v>1</v>
      </c>
      <c r="AO337" s="3" t="str">
        <f>IF(ISERROR(MATCH(A337,'SegEnds_Xtal_Prot#'!B:B, 0)), "NoXtal", "Xtal")</f>
        <v>NoXtal</v>
      </c>
      <c r="AP337" s="3" t="str">
        <f t="shared" si="199"/>
        <v>-</v>
      </c>
      <c r="AQ337" s="3" t="str">
        <f t="shared" si="200"/>
        <v>-</v>
      </c>
      <c r="AR337" s="3" t="str">
        <f t="shared" si="201"/>
        <v>-</v>
      </c>
      <c r="AS337" s="3" t="str">
        <f t="shared" si="202"/>
        <v>-</v>
      </c>
      <c r="AT337" s="3" t="str">
        <f t="shared" si="203"/>
        <v>-</v>
      </c>
      <c r="AU337" s="3" t="str">
        <f t="shared" si="204"/>
        <v>-</v>
      </c>
      <c r="AV337" s="3">
        <f t="shared" si="205"/>
        <v>16</v>
      </c>
      <c r="AW337" s="3">
        <f t="shared" si="206"/>
        <v>10</v>
      </c>
      <c r="AX337" s="3">
        <f t="shared" si="207"/>
        <v>11</v>
      </c>
      <c r="AY337" s="3">
        <f t="shared" si="208"/>
        <v>7</v>
      </c>
      <c r="AZ337" s="3">
        <f t="shared" si="209"/>
        <v>1</v>
      </c>
      <c r="BA337" s="3">
        <f>IF(ISERROR(LEN(VLOOKUP(A337,Seqs!A:E,2,FALSE))-AL337),"-",LEN(VLOOKUP(A337,Seqs!A:E,2,FALSE))-AL337)</f>
        <v>57</v>
      </c>
      <c r="BB337" s="16">
        <f t="shared" si="210"/>
        <v>29</v>
      </c>
      <c r="BC337" s="9" t="str">
        <f t="shared" si="211"/>
        <v>-</v>
      </c>
      <c r="BD337" s="3">
        <f t="shared" si="212"/>
        <v>29</v>
      </c>
      <c r="BE337" s="3">
        <f t="shared" si="213"/>
        <v>51</v>
      </c>
    </row>
    <row r="338" spans="1:58" s="3" customFormat="1" x14ac:dyDescent="0.2">
      <c r="A338" s="3" t="s">
        <v>1199</v>
      </c>
      <c r="B338" s="3" t="str">
        <f>LOWER(VLOOKUP(A338,Xtal_Templ!B:C,2,FALSE))</f>
        <v>crfr1_human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961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98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214"/>
        <v>1</v>
      </c>
      <c r="AO338" s="3" t="str">
        <f>IF(ISERROR(MATCH(A338,'SegEnds_Xtal_Prot#'!B:B, 0)), "NoXtal", "Xtal")</f>
        <v>NoXtal</v>
      </c>
      <c r="AP338" s="3">
        <f t="shared" si="199"/>
        <v>1</v>
      </c>
      <c r="AQ338" s="3">
        <f t="shared" si="200"/>
        <v>1</v>
      </c>
      <c r="AR338" s="3" t="str">
        <f t="shared" si="201"/>
        <v>-</v>
      </c>
      <c r="AS338" s="3" t="str">
        <f t="shared" si="202"/>
        <v>-</v>
      </c>
      <c r="AT338" s="3" t="str">
        <f t="shared" si="203"/>
        <v>-</v>
      </c>
      <c r="AU338" s="3" t="str">
        <f t="shared" si="204"/>
        <v>-</v>
      </c>
      <c r="AV338" s="3">
        <f t="shared" si="205"/>
        <v>6</v>
      </c>
      <c r="AW338" s="3">
        <f t="shared" si="206"/>
        <v>3</v>
      </c>
      <c r="AX338" s="3">
        <f t="shared" si="207"/>
        <v>12</v>
      </c>
      <c r="AY338" s="3">
        <f t="shared" si="208"/>
        <v>6</v>
      </c>
      <c r="AZ338" s="3">
        <f t="shared" si="209"/>
        <v>1</v>
      </c>
      <c r="BA338" s="3">
        <f>IF(ISERROR(LEN(VLOOKUP(A338,Seqs!A:E,2,FALSE))-AL338),"-",LEN(VLOOKUP(A338,Seqs!A:E,2,FALSE))-AL338)</f>
        <v>357</v>
      </c>
      <c r="BB338" s="16">
        <f t="shared" si="210"/>
        <v>28</v>
      </c>
      <c r="BC338" s="9" t="str">
        <f t="shared" si="211"/>
        <v>-</v>
      </c>
      <c r="BD338" s="3">
        <f t="shared" si="212"/>
        <v>28</v>
      </c>
      <c r="BE338" s="3">
        <f t="shared" si="213"/>
        <v>52</v>
      </c>
    </row>
    <row r="339" spans="1:58" s="3" customFormat="1" x14ac:dyDescent="0.2">
      <c r="A339" s="3" t="s">
        <v>1200</v>
      </c>
      <c r="B339" s="3" t="str">
        <f>LOWER(VLOOKUP(A339,Xtal_Templ!B:C,2,FALSE))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98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214"/>
        <v>1</v>
      </c>
      <c r="AO339" s="3" t="str">
        <f>IF(ISERROR(MATCH(A339,'SegEnds_Xtal_Prot#'!B:B, 0)), "NoXtal", "Xtal")</f>
        <v>NoXtal</v>
      </c>
      <c r="AP339" s="3" t="str">
        <f t="shared" si="199"/>
        <v>-</v>
      </c>
      <c r="AQ339" s="3" t="str">
        <f t="shared" si="200"/>
        <v>-</v>
      </c>
      <c r="AR339" s="3" t="str">
        <f t="shared" si="201"/>
        <v>-</v>
      </c>
      <c r="AS339" s="3" t="str">
        <f t="shared" si="202"/>
        <v>-</v>
      </c>
      <c r="AT339" s="3" t="str">
        <f t="shared" si="203"/>
        <v>-</v>
      </c>
      <c r="AU339" s="3" t="str">
        <f t="shared" si="204"/>
        <v>-</v>
      </c>
      <c r="AV339" s="3">
        <f t="shared" si="205"/>
        <v>6</v>
      </c>
      <c r="AW339" s="3">
        <f t="shared" si="206"/>
        <v>3</v>
      </c>
      <c r="AX339" s="3">
        <f t="shared" si="207"/>
        <v>12</v>
      </c>
      <c r="AY339" s="3">
        <f t="shared" si="208"/>
        <v>6</v>
      </c>
      <c r="AZ339" s="3">
        <f t="shared" si="209"/>
        <v>1</v>
      </c>
      <c r="BA339" s="3">
        <f>IF(ISERROR(LEN(VLOOKUP(A339,Seqs!A:E,2,FALSE))-AL339),"-",LEN(VLOOKUP(A339,Seqs!A:E,2,FALSE))-AL339)</f>
        <v>355</v>
      </c>
      <c r="BB339" s="16">
        <f t="shared" si="210"/>
        <v>28</v>
      </c>
      <c r="BC339" s="9" t="str">
        <f t="shared" si="211"/>
        <v>-</v>
      </c>
      <c r="BD339" s="3">
        <f t="shared" si="212"/>
        <v>28</v>
      </c>
      <c r="BE339" s="3">
        <f t="shared" si="213"/>
        <v>52</v>
      </c>
    </row>
    <row r="340" spans="1:58" s="3" customFormat="1" x14ac:dyDescent="0.2">
      <c r="A340" s="3" t="s">
        <v>1201</v>
      </c>
      <c r="B340" s="3" t="str">
        <f>LOWER(VLOOKUP(A340,Xtal_Templ!B:C,2,FALSE))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98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214"/>
        <v>1</v>
      </c>
      <c r="AO340" s="3" t="str">
        <f>IF(ISERROR(MATCH(A340,'SegEnds_Xtal_Prot#'!B:B, 0)), "NoXtal", "Xtal")</f>
        <v>NoXtal</v>
      </c>
      <c r="AP340" s="3">
        <f t="shared" si="199"/>
        <v>1</v>
      </c>
      <c r="AQ340" s="3">
        <f t="shared" si="200"/>
        <v>1</v>
      </c>
      <c r="AR340" s="3" t="str">
        <f t="shared" si="201"/>
        <v>-</v>
      </c>
      <c r="AS340" s="3" t="str">
        <f t="shared" si="202"/>
        <v>-</v>
      </c>
      <c r="AT340" s="3" t="str">
        <f t="shared" si="203"/>
        <v>-</v>
      </c>
      <c r="AU340" s="3" t="str">
        <f t="shared" si="204"/>
        <v>-</v>
      </c>
      <c r="AV340" s="3">
        <f t="shared" si="205"/>
        <v>6</v>
      </c>
      <c r="AW340" s="3">
        <f t="shared" si="206"/>
        <v>3</v>
      </c>
      <c r="AX340" s="3">
        <f t="shared" si="207"/>
        <v>12</v>
      </c>
      <c r="AY340" s="3">
        <f t="shared" si="208"/>
        <v>6</v>
      </c>
      <c r="AZ340" s="3">
        <f t="shared" si="209"/>
        <v>1</v>
      </c>
      <c r="BA340" s="3">
        <f>IF(ISERROR(LEN(VLOOKUP(A340,Seqs!A:E,2,FALSE))-AL340),"-",LEN(VLOOKUP(A340,Seqs!A:E,2,FALSE))-AL340)</f>
        <v>326</v>
      </c>
      <c r="BB340" s="16">
        <f t="shared" si="210"/>
        <v>28</v>
      </c>
      <c r="BC340" s="9" t="str">
        <f t="shared" si="211"/>
        <v>-</v>
      </c>
      <c r="BD340" s="3">
        <f t="shared" si="212"/>
        <v>28</v>
      </c>
      <c r="BE340" s="3">
        <f t="shared" si="213"/>
        <v>52</v>
      </c>
    </row>
    <row r="341" spans="1:58" s="3" customFormat="1" x14ac:dyDescent="0.2">
      <c r="A341" s="3" t="s">
        <v>1202</v>
      </c>
      <c r="B341" s="3" t="str">
        <f>LOWER(VLOOKUP(A341,Xtal_Templ!B:C,2,FALSE))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98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214"/>
        <v>1</v>
      </c>
      <c r="AO341" s="3" t="str">
        <f>IF(ISERROR(MATCH(A341,'SegEnds_Xtal_Prot#'!B:B, 0)), "NoXtal", "Xtal")</f>
        <v>NoXtal</v>
      </c>
      <c r="AP341" s="3" t="str">
        <f t="shared" si="199"/>
        <v>-</v>
      </c>
      <c r="AQ341" s="3" t="str">
        <f t="shared" si="200"/>
        <v>-</v>
      </c>
      <c r="AR341" s="3" t="str">
        <f t="shared" si="201"/>
        <v>-</v>
      </c>
      <c r="AS341" s="3" t="str">
        <f t="shared" si="202"/>
        <v>-</v>
      </c>
      <c r="AT341" s="3" t="str">
        <f t="shared" si="203"/>
        <v>-</v>
      </c>
      <c r="AU341" s="3" t="str">
        <f t="shared" si="204"/>
        <v>-</v>
      </c>
      <c r="AV341" s="3">
        <f t="shared" si="205"/>
        <v>6</v>
      </c>
      <c r="AW341" s="3">
        <f t="shared" si="206"/>
        <v>3</v>
      </c>
      <c r="AX341" s="3">
        <f t="shared" si="207"/>
        <v>12</v>
      </c>
      <c r="AY341" s="3">
        <f t="shared" si="208"/>
        <v>6</v>
      </c>
      <c r="AZ341" s="3">
        <f t="shared" si="209"/>
        <v>1</v>
      </c>
      <c r="BA341" s="3">
        <f>IF(ISERROR(LEN(VLOOKUP(A341,Seqs!A:E,2,FALSE))-AL341),"-",LEN(VLOOKUP(A341,Seqs!A:E,2,FALSE))-AL341)</f>
        <v>6</v>
      </c>
      <c r="BB341" s="16">
        <f t="shared" si="210"/>
        <v>28</v>
      </c>
      <c r="BC341" s="9" t="str">
        <f t="shared" si="211"/>
        <v>-</v>
      </c>
      <c r="BD341" s="3">
        <f t="shared" si="212"/>
        <v>28</v>
      </c>
      <c r="BE341" s="3">
        <f t="shared" si="213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LOWER(VLOOKUP(A342,Xtal_Templ!B:C,2,FALSE))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98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214"/>
        <v>1</v>
      </c>
      <c r="AO342" s="3" t="str">
        <f>IF(ISERROR(MATCH(A342,'SegEnds_Xtal_Prot#'!B:B, 0)), "NoXtal", "Xtal")</f>
        <v>NoXtal</v>
      </c>
      <c r="AP342" s="3" t="str">
        <f t="shared" si="199"/>
        <v>-</v>
      </c>
      <c r="AQ342" s="3" t="str">
        <f t="shared" si="200"/>
        <v>-</v>
      </c>
      <c r="AR342" s="3" t="str">
        <f t="shared" si="201"/>
        <v>-</v>
      </c>
      <c r="AS342" s="3" t="str">
        <f t="shared" si="202"/>
        <v>-</v>
      </c>
      <c r="AT342" s="3" t="str">
        <f t="shared" si="203"/>
        <v>-</v>
      </c>
      <c r="AU342" s="3" t="str">
        <f t="shared" si="204"/>
        <v>-</v>
      </c>
      <c r="AV342" s="3">
        <f t="shared" si="205"/>
        <v>7</v>
      </c>
      <c r="AW342" s="3">
        <f t="shared" si="206"/>
        <v>3</v>
      </c>
      <c r="AX342" s="3">
        <f t="shared" si="207"/>
        <v>10</v>
      </c>
      <c r="AY342" s="3">
        <f t="shared" si="208"/>
        <v>7</v>
      </c>
      <c r="AZ342" s="3">
        <f t="shared" si="209"/>
        <v>1</v>
      </c>
      <c r="BA342" s="3">
        <f>IF(ISERROR(LEN(VLOOKUP(A342,Seqs!A:E,2,FALSE))-AL342),"-",LEN(VLOOKUP(A342,Seqs!A:E,2,FALSE))-AL342)</f>
        <v>380</v>
      </c>
      <c r="BB342" s="16">
        <f t="shared" si="210"/>
        <v>29</v>
      </c>
      <c r="BC342" s="9" t="str">
        <f t="shared" si="211"/>
        <v>-</v>
      </c>
      <c r="BD342" s="3">
        <f t="shared" si="212"/>
        <v>29</v>
      </c>
      <c r="BE342" s="3">
        <f t="shared" si="213"/>
        <v>50</v>
      </c>
    </row>
    <row r="343" spans="1:58" s="3" customFormat="1" x14ac:dyDescent="0.2">
      <c r="A343" s="3" t="s">
        <v>417</v>
      </c>
      <c r="B343" s="3" t="str">
        <f>LOWER(VLOOKUP(A343,Xtal_Templ!B:C,2,FALSE))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98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214"/>
        <v>1</v>
      </c>
      <c r="AO343" s="3" t="str">
        <f>IF(ISERROR(MATCH(A343,'SegEnds_Xtal_Prot#'!B:B, 0)), "NoXtal", "Xtal")</f>
        <v>NoXtal</v>
      </c>
      <c r="AP343" s="3" t="str">
        <f t="shared" si="199"/>
        <v>-</v>
      </c>
      <c r="AQ343" s="3" t="str">
        <f t="shared" si="200"/>
        <v>-</v>
      </c>
      <c r="AR343" s="3" t="str">
        <f t="shared" si="201"/>
        <v>-</v>
      </c>
      <c r="AS343" s="3" t="str">
        <f t="shared" si="202"/>
        <v>-</v>
      </c>
      <c r="AT343" s="3" t="str">
        <f t="shared" si="203"/>
        <v>-</v>
      </c>
      <c r="AU343" s="3" t="str">
        <f t="shared" si="204"/>
        <v>-</v>
      </c>
      <c r="AV343" s="3">
        <f t="shared" si="205"/>
        <v>6</v>
      </c>
      <c r="AW343" s="3">
        <f t="shared" si="206"/>
        <v>3</v>
      </c>
      <c r="AX343" s="3">
        <f t="shared" si="207"/>
        <v>12</v>
      </c>
      <c r="AY343" s="3">
        <f t="shared" si="208"/>
        <v>6</v>
      </c>
      <c r="AZ343" s="3">
        <f t="shared" si="209"/>
        <v>1</v>
      </c>
      <c r="BA343" s="3">
        <f>IF(ISERROR(LEN(VLOOKUP(A343,Seqs!A:E,2,FALSE))-AL343),"-",LEN(VLOOKUP(A343,Seqs!A:E,2,FALSE))-AL343)</f>
        <v>29</v>
      </c>
      <c r="BB343" s="16">
        <f t="shared" si="210"/>
        <v>28</v>
      </c>
      <c r="BC343" s="9" t="str">
        <f t="shared" si="211"/>
        <v>-</v>
      </c>
      <c r="BD343" s="3">
        <f t="shared" si="212"/>
        <v>28</v>
      </c>
      <c r="BE343" s="3">
        <f t="shared" si="213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LOWER(VLOOKUP(A344,Xtal_Templ!B:C,2,FALSE))</f>
        <v>calcr_human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215">G344+1</f>
        <v>2497</v>
      </c>
      <c r="I344" s="3">
        <f t="shared" si="215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2570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98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2673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214"/>
        <v>1</v>
      </c>
      <c r="AO344" s="3" t="str">
        <f>IF(ISERROR(MATCH(A344,'SegEnds_Xtal_Prot#'!B:B, 0)), "NoXtal", "Xtal")</f>
        <v>NoXtal</v>
      </c>
      <c r="AP344" s="3">
        <f t="shared" si="199"/>
        <v>1</v>
      </c>
      <c r="AQ344" s="3">
        <f t="shared" si="200"/>
        <v>1</v>
      </c>
      <c r="AR344" s="3" t="str">
        <f t="shared" si="201"/>
        <v>-</v>
      </c>
      <c r="AS344" s="3" t="str">
        <f t="shared" si="202"/>
        <v>-</v>
      </c>
      <c r="AT344" s="3" t="str">
        <f t="shared" si="203"/>
        <v>-</v>
      </c>
      <c r="AU344" s="3" t="str">
        <f t="shared" si="204"/>
        <v>-</v>
      </c>
      <c r="AV344" s="3">
        <f t="shared" si="205"/>
        <v>6</v>
      </c>
      <c r="AW344" s="3">
        <f t="shared" si="206"/>
        <v>3</v>
      </c>
      <c r="AX344" s="3">
        <f t="shared" si="207"/>
        <v>8</v>
      </c>
      <c r="AY344" s="3">
        <f t="shared" si="208"/>
        <v>6</v>
      </c>
      <c r="AZ344" s="3">
        <f t="shared" si="209"/>
        <v>1</v>
      </c>
      <c r="BA344" s="3">
        <f>IF(ISERROR(LEN(VLOOKUP(A344,Seqs!A:E,2,FALSE))-AL344),"-",LEN(VLOOKUP(A344,Seqs!A:E,2,FALSE))-AL344)</f>
        <v>293</v>
      </c>
      <c r="BB344" s="16">
        <f t="shared" si="210"/>
        <v>28</v>
      </c>
      <c r="BC344" s="9" t="str">
        <f t="shared" si="211"/>
        <v>-</v>
      </c>
      <c r="BD344" s="3">
        <f t="shared" si="212"/>
        <v>28</v>
      </c>
      <c r="BE344" s="3">
        <f t="shared" si="213"/>
        <v>48</v>
      </c>
    </row>
    <row r="345" spans="1:58" s="3" customFormat="1" x14ac:dyDescent="0.2">
      <c r="A345" s="3" t="s">
        <v>419</v>
      </c>
      <c r="B345" s="3" t="str">
        <f>LOWER(VLOOKUP(A345,Xtal_Templ!B:C,2,FALSE))</f>
        <v>calcr_human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215"/>
        <v>2405</v>
      </c>
      <c r="I345" s="3">
        <f t="shared" si="215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2505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98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214"/>
        <v>1</v>
      </c>
      <c r="AO345" s="3" t="str">
        <f>IF(ISERROR(MATCH(A345,'SegEnds_Xtal_Prot#'!B:B, 0)), "NoXtal", "Xtal")</f>
        <v>NoXtal</v>
      </c>
      <c r="AP345" s="3">
        <f t="shared" si="199"/>
        <v>1</v>
      </c>
      <c r="AQ345" s="3">
        <f t="shared" si="200"/>
        <v>1</v>
      </c>
      <c r="AR345" s="3" t="str">
        <f t="shared" si="201"/>
        <v>-</v>
      </c>
      <c r="AS345" s="3" t="str">
        <f t="shared" si="202"/>
        <v>-</v>
      </c>
      <c r="AT345" s="3" t="str">
        <f t="shared" si="203"/>
        <v>-</v>
      </c>
      <c r="AU345" s="3" t="str">
        <f t="shared" si="204"/>
        <v>-</v>
      </c>
      <c r="AV345" s="3">
        <f t="shared" si="205"/>
        <v>6</v>
      </c>
      <c r="AW345" s="3">
        <f t="shared" si="206"/>
        <v>3</v>
      </c>
      <c r="AX345" s="3">
        <f t="shared" si="207"/>
        <v>8</v>
      </c>
      <c r="AY345" s="3">
        <f t="shared" si="208"/>
        <v>6</v>
      </c>
      <c r="AZ345" s="3">
        <f t="shared" si="209"/>
        <v>1</v>
      </c>
      <c r="BA345" s="3">
        <f>IF(ISERROR(LEN(VLOOKUP(A345,Seqs!A:E,2,FALSE))-AL345),"-",LEN(VLOOKUP(A345,Seqs!A:E,2,FALSE))-AL345)</f>
        <v>294</v>
      </c>
      <c r="BB345" s="16">
        <f t="shared" si="210"/>
        <v>28</v>
      </c>
      <c r="BC345" s="9" t="str">
        <f t="shared" si="211"/>
        <v>-</v>
      </c>
      <c r="BD345" s="3">
        <f t="shared" si="212"/>
        <v>28</v>
      </c>
      <c r="BE345" s="3">
        <f t="shared" si="213"/>
        <v>48</v>
      </c>
    </row>
    <row r="346" spans="1:58" s="3" customFormat="1" x14ac:dyDescent="0.2">
      <c r="A346" s="3" t="s">
        <v>420</v>
      </c>
      <c r="B346" s="3" t="str">
        <f>LOWER(VLOOKUP(A346,Xtal_Templ!B:C,2,FALSE))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215"/>
        <v>2568</v>
      </c>
      <c r="I346" s="3">
        <f t="shared" si="215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98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214"/>
        <v>1</v>
      </c>
      <c r="AO346" s="3" t="str">
        <f>IF(ISERROR(MATCH(A346,'SegEnds_Xtal_Prot#'!B:B, 0)), "NoXtal", "Xtal")</f>
        <v>NoXtal</v>
      </c>
      <c r="AP346" s="3">
        <f t="shared" si="199"/>
        <v>1</v>
      </c>
      <c r="AQ346" s="3">
        <f t="shared" si="200"/>
        <v>1</v>
      </c>
      <c r="AR346" s="3" t="str">
        <f t="shared" si="201"/>
        <v>-</v>
      </c>
      <c r="AS346" s="3" t="str">
        <f t="shared" si="202"/>
        <v>-</v>
      </c>
      <c r="AT346" s="3" t="str">
        <f t="shared" si="203"/>
        <v>-</v>
      </c>
      <c r="AU346" s="3" t="str">
        <f t="shared" si="204"/>
        <v>-</v>
      </c>
      <c r="AV346" s="3">
        <f t="shared" si="205"/>
        <v>6</v>
      </c>
      <c r="AW346" s="3">
        <f t="shared" si="206"/>
        <v>3</v>
      </c>
      <c r="AX346" s="3">
        <f t="shared" si="207"/>
        <v>7</v>
      </c>
      <c r="AY346" s="3">
        <f t="shared" si="208"/>
        <v>6</v>
      </c>
      <c r="AZ346" s="3">
        <f t="shared" si="209"/>
        <v>1</v>
      </c>
      <c r="BA346" s="3">
        <f>IF(ISERROR(LEN(VLOOKUP(A346,Seqs!A:E,2,FALSE))-AL346),"-",LEN(VLOOKUP(A346,Seqs!A:E,2,FALSE))-AL346)</f>
        <v>521</v>
      </c>
      <c r="BB346" s="16">
        <f t="shared" si="210"/>
        <v>28</v>
      </c>
      <c r="BC346" s="9" t="str">
        <f t="shared" si="211"/>
        <v>-</v>
      </c>
      <c r="BD346" s="3">
        <f t="shared" si="212"/>
        <v>28</v>
      </c>
      <c r="BE346" s="3">
        <f t="shared" si="213"/>
        <v>47</v>
      </c>
    </row>
    <row r="347" spans="1:58" s="3" customFormat="1" x14ac:dyDescent="0.2">
      <c r="A347" s="3" t="s">
        <v>442</v>
      </c>
      <c r="B347" s="3" t="str">
        <f>LOWER(VLOOKUP(A347,Xtal_Templ!B:C,2,FALSE))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98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214"/>
        <v>1</v>
      </c>
      <c r="AO347" s="3" t="str">
        <f>IF(ISERROR(MATCH(A347,'SegEnds_Xtal_Prot#'!B:B, 0)), "NoXtal", "Xtal")</f>
        <v>NoXtal</v>
      </c>
      <c r="AP347" s="3" t="str">
        <f t="shared" si="199"/>
        <v>-</v>
      </c>
      <c r="AQ347" s="3" t="str">
        <f t="shared" si="200"/>
        <v>-</v>
      </c>
      <c r="AR347" s="3" t="str">
        <f t="shared" si="201"/>
        <v>-</v>
      </c>
      <c r="AS347" s="3" t="str">
        <f t="shared" si="202"/>
        <v>-</v>
      </c>
      <c r="AT347" s="3" t="str">
        <f t="shared" si="203"/>
        <v>-</v>
      </c>
      <c r="AU347" s="3" t="str">
        <f t="shared" si="204"/>
        <v>-</v>
      </c>
      <c r="AV347" s="3">
        <f t="shared" si="205"/>
        <v>16</v>
      </c>
      <c r="AW347" s="3">
        <f t="shared" si="206"/>
        <v>4</v>
      </c>
      <c r="AX347" s="3">
        <f t="shared" si="207"/>
        <v>9</v>
      </c>
      <c r="AY347" s="3">
        <f t="shared" si="208"/>
        <v>6</v>
      </c>
      <c r="AZ347" s="3">
        <f t="shared" si="209"/>
        <v>1</v>
      </c>
      <c r="BA347" s="3">
        <f>IF(ISERROR(LEN(VLOOKUP(A347,Seqs!A:E,2,FALSE))-AL347),"-",LEN(VLOOKUP(A347,Seqs!A:E,2,FALSE))-AL347)</f>
        <v>134</v>
      </c>
      <c r="BB347" s="16">
        <f t="shared" si="210"/>
        <v>26</v>
      </c>
      <c r="BC347" s="9" t="str">
        <f t="shared" si="211"/>
        <v>-</v>
      </c>
      <c r="BD347" s="3">
        <f t="shared" si="212"/>
        <v>26</v>
      </c>
      <c r="BE347" s="3">
        <f t="shared" si="213"/>
        <v>49</v>
      </c>
    </row>
    <row r="348" spans="1:58" s="3" customFormat="1" x14ac:dyDescent="0.2">
      <c r="A348" s="3" t="s">
        <v>105</v>
      </c>
      <c r="B348" s="3" t="str">
        <f>LOWER(VLOOKUP(A348,Xtal_Templ!B:C,2,FALSE))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216">G348-3</f>
        <v>640</v>
      </c>
      <c r="G348" s="3">
        <v>643</v>
      </c>
      <c r="H348" s="3">
        <f t="shared" ref="H348:H369" si="217">G348+3</f>
        <v>646</v>
      </c>
      <c r="I348" s="3">
        <f t="shared" ref="I348:I380" si="218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98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214"/>
        <v>1</v>
      </c>
      <c r="AO348" s="3" t="str">
        <f>IF(ISERROR(MATCH(A348,'SegEnds_Xtal_Prot#'!B:B, 0)), "NoXtal", "Xtal")</f>
        <v>NoXtal</v>
      </c>
      <c r="AP348" s="3">
        <f t="shared" si="199"/>
        <v>3</v>
      </c>
      <c r="AQ348" s="3">
        <f t="shared" si="200"/>
        <v>1</v>
      </c>
      <c r="AR348" s="3" t="str">
        <f t="shared" si="201"/>
        <v>-</v>
      </c>
      <c r="AS348" s="3" t="str">
        <f t="shared" si="202"/>
        <v>-</v>
      </c>
      <c r="AT348" s="3" t="str">
        <f t="shared" si="203"/>
        <v>-</v>
      </c>
      <c r="AU348" s="3" t="str">
        <f t="shared" si="204"/>
        <v>-</v>
      </c>
      <c r="AV348" s="3">
        <f t="shared" si="205"/>
        <v>19</v>
      </c>
      <c r="AW348" s="3">
        <f t="shared" si="206"/>
        <v>2</v>
      </c>
      <c r="AX348" s="3">
        <f t="shared" si="207"/>
        <v>9</v>
      </c>
      <c r="AY348" s="3">
        <f t="shared" si="208"/>
        <v>5</v>
      </c>
      <c r="AZ348" s="3">
        <f t="shared" si="209"/>
        <v>1</v>
      </c>
      <c r="BA348" s="3">
        <f>IF(ISERROR(LEN(VLOOKUP(A348,Seqs!A:E,2,FALSE))-AL348),"-",LEN(VLOOKUP(A348,Seqs!A:E,2,FALSE))-AL348)</f>
        <v>203</v>
      </c>
      <c r="BB348" s="16">
        <f t="shared" si="210"/>
        <v>31</v>
      </c>
      <c r="BC348" s="9" t="str">
        <f t="shared" si="211"/>
        <v>-</v>
      </c>
      <c r="BD348" s="3">
        <f t="shared" si="212"/>
        <v>31</v>
      </c>
      <c r="BE348" s="3">
        <f t="shared" si="213"/>
        <v>37</v>
      </c>
    </row>
    <row r="349" spans="1:58" s="3" customFormat="1" x14ac:dyDescent="0.2">
      <c r="A349" s="3" t="s">
        <v>106</v>
      </c>
      <c r="B349" s="3" t="str">
        <f>LOWER(VLOOKUP(A349,Xtal_Templ!B:C,2,FALSE))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216"/>
        <v>619</v>
      </c>
      <c r="G349" s="3">
        <v>622</v>
      </c>
      <c r="H349" s="3">
        <f t="shared" si="217"/>
        <v>625</v>
      </c>
      <c r="I349" s="3">
        <f t="shared" si="218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98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214"/>
        <v>1</v>
      </c>
      <c r="AO349" s="3" t="str">
        <f>IF(ISERROR(MATCH(A349,'SegEnds_Xtal_Prot#'!B:B, 0)), "NoXtal", "Xtal")</f>
        <v>NoXtal</v>
      </c>
      <c r="AP349" s="3">
        <f t="shared" si="199"/>
        <v>3</v>
      </c>
      <c r="AQ349" s="3">
        <f t="shared" si="200"/>
        <v>1</v>
      </c>
      <c r="AR349" s="3" t="str">
        <f t="shared" si="201"/>
        <v>-</v>
      </c>
      <c r="AS349" s="3" t="str">
        <f t="shared" si="202"/>
        <v>-</v>
      </c>
      <c r="AT349" s="3" t="str">
        <f t="shared" si="203"/>
        <v>-</v>
      </c>
      <c r="AU349" s="3" t="str">
        <f t="shared" si="204"/>
        <v>-</v>
      </c>
      <c r="AV349" s="3">
        <f t="shared" si="205"/>
        <v>29</v>
      </c>
      <c r="AW349" s="3">
        <f t="shared" si="206"/>
        <v>3</v>
      </c>
      <c r="AX349" s="3">
        <f t="shared" si="207"/>
        <v>10</v>
      </c>
      <c r="AY349" s="3">
        <f t="shared" si="208"/>
        <v>7</v>
      </c>
      <c r="AZ349" s="3">
        <f t="shared" si="209"/>
        <v>1</v>
      </c>
      <c r="BA349" s="3">
        <f>IF(ISERROR(LEN(VLOOKUP(A349,Seqs!A:E,2,FALSE))-AL349),"-",LEN(VLOOKUP(A349,Seqs!A:E,2,FALSE))-AL349)</f>
        <v>86</v>
      </c>
      <c r="BB349" s="16">
        <f t="shared" si="210"/>
        <v>31</v>
      </c>
      <c r="BC349" s="9" t="str">
        <f t="shared" si="211"/>
        <v>-</v>
      </c>
      <c r="BD349" s="3">
        <f t="shared" si="212"/>
        <v>31</v>
      </c>
      <c r="BE349" s="3">
        <f t="shared" si="213"/>
        <v>38</v>
      </c>
    </row>
    <row r="350" spans="1:58" s="3" customFormat="1" x14ac:dyDescent="0.2">
      <c r="A350" s="3" t="s">
        <v>107</v>
      </c>
      <c r="B350" s="3" t="str">
        <f>LOWER(VLOOKUP(A350,Xtal_Templ!B:C,2,FALSE))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216"/>
        <v>509</v>
      </c>
      <c r="G350" s="3">
        <v>512</v>
      </c>
      <c r="H350" s="3">
        <f t="shared" si="217"/>
        <v>515</v>
      </c>
      <c r="I350" s="3">
        <f t="shared" si="218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98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214"/>
        <v>1</v>
      </c>
      <c r="AO350" s="3" t="str">
        <f>IF(ISERROR(MATCH(A350,'SegEnds_Xtal_Prot#'!B:B, 0)), "NoXtal", "Xtal")</f>
        <v>NoXtal</v>
      </c>
      <c r="AP350" s="3">
        <f t="shared" si="199"/>
        <v>3</v>
      </c>
      <c r="AQ350" s="3">
        <f t="shared" si="200"/>
        <v>1</v>
      </c>
      <c r="AR350" s="3" t="str">
        <f t="shared" si="201"/>
        <v>-</v>
      </c>
      <c r="AS350" s="3" t="str">
        <f t="shared" si="202"/>
        <v>-</v>
      </c>
      <c r="AT350" s="3" t="str">
        <f t="shared" si="203"/>
        <v>-</v>
      </c>
      <c r="AU350" s="3" t="str">
        <f t="shared" si="204"/>
        <v>-</v>
      </c>
      <c r="AV350" s="3">
        <f t="shared" si="205"/>
        <v>29</v>
      </c>
      <c r="AW350" s="3">
        <f t="shared" si="206"/>
        <v>3</v>
      </c>
      <c r="AX350" s="3">
        <f t="shared" si="207"/>
        <v>10</v>
      </c>
      <c r="AY350" s="3">
        <f t="shared" si="208"/>
        <v>7</v>
      </c>
      <c r="AZ350" s="3">
        <f t="shared" si="209"/>
        <v>1</v>
      </c>
      <c r="BA350" s="3">
        <f>IF(ISERROR(LEN(VLOOKUP(A350,Seqs!A:E,2,FALSE))-AL350),"-",LEN(VLOOKUP(A350,Seqs!A:E,2,FALSE))-AL350)</f>
        <v>179</v>
      </c>
      <c r="BB350" s="16">
        <f t="shared" si="210"/>
        <v>31</v>
      </c>
      <c r="BC350" s="9" t="str">
        <f t="shared" si="211"/>
        <v>-</v>
      </c>
      <c r="BD350" s="3">
        <f t="shared" si="212"/>
        <v>31</v>
      </c>
      <c r="BE350" s="3">
        <f t="shared" si="213"/>
        <v>38</v>
      </c>
    </row>
    <row r="351" spans="1:58" s="3" customFormat="1" x14ac:dyDescent="0.2">
      <c r="A351" s="3" t="s">
        <v>108</v>
      </c>
      <c r="B351" s="3" t="str">
        <f>LOWER(VLOOKUP(A351,Xtal_Templ!B:C,2,FALSE))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216"/>
        <v>77</v>
      </c>
      <c r="G351" s="3">
        <v>80</v>
      </c>
      <c r="H351" s="3">
        <f t="shared" si="217"/>
        <v>83</v>
      </c>
      <c r="I351" s="3">
        <f t="shared" si="218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214"/>
        <v>1</v>
      </c>
      <c r="AO351" s="3" t="str">
        <f>IF(ISERROR(MATCH(A351,'SegEnds_Xtal_Prot#'!B:B, 0)), "NoXtal", "Xtal")</f>
        <v>NoXtal</v>
      </c>
      <c r="AP351" s="3">
        <f t="shared" si="199"/>
        <v>3</v>
      </c>
      <c r="AQ351" s="3">
        <f t="shared" si="200"/>
        <v>1</v>
      </c>
      <c r="AR351" s="3" t="str">
        <f t="shared" si="201"/>
        <v>-</v>
      </c>
      <c r="AS351" s="3" t="str">
        <f t="shared" si="202"/>
        <v>-</v>
      </c>
      <c r="AT351" s="3" t="str">
        <f t="shared" si="203"/>
        <v>-</v>
      </c>
      <c r="AU351" s="3" t="str">
        <f t="shared" si="204"/>
        <v>-</v>
      </c>
      <c r="AV351" s="3">
        <f t="shared" si="205"/>
        <v>29</v>
      </c>
      <c r="AW351" s="3">
        <f t="shared" si="206"/>
        <v>3</v>
      </c>
      <c r="AX351" s="3">
        <f t="shared" si="207"/>
        <v>11</v>
      </c>
      <c r="AY351" s="3">
        <f t="shared" si="208"/>
        <v>6</v>
      </c>
      <c r="AZ351" s="3">
        <f t="shared" si="209"/>
        <v>1</v>
      </c>
      <c r="BA351" s="3">
        <f>IF(ISERROR(LEN(VLOOKUP(A351,Seqs!A:E,2,FALSE))-AL351),"-",LEN(VLOOKUP(A351,Seqs!A:E,2,FALSE))-AL351)</f>
        <v>484</v>
      </c>
      <c r="BB351" s="16">
        <f t="shared" si="210"/>
        <v>31</v>
      </c>
      <c r="BC351" s="9" t="str">
        <f t="shared" si="211"/>
        <v>-</v>
      </c>
      <c r="BD351" s="3">
        <f t="shared" si="212"/>
        <v>31</v>
      </c>
      <c r="BE351" s="3">
        <f t="shared" si="213"/>
        <v>39</v>
      </c>
    </row>
    <row r="352" spans="1:58" s="3" customFormat="1" x14ac:dyDescent="0.2">
      <c r="A352" s="3" t="s">
        <v>109</v>
      </c>
      <c r="B352" s="3" t="str">
        <f>LOWER(VLOOKUP(A352,Xtal_Templ!B:C,2,FALSE))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216"/>
        <v>444</v>
      </c>
      <c r="G352" s="3">
        <v>447</v>
      </c>
      <c r="H352" s="3">
        <f t="shared" si="217"/>
        <v>450</v>
      </c>
      <c r="I352" s="3">
        <f t="shared" si="218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214"/>
        <v>1</v>
      </c>
      <c r="AO352" s="3" t="str">
        <f>IF(ISERROR(MATCH(A352,'SegEnds_Xtal_Prot#'!B:B, 0)), "NoXtal", "Xtal")</f>
        <v>NoXtal</v>
      </c>
      <c r="AP352" s="3">
        <f t="shared" si="199"/>
        <v>3</v>
      </c>
      <c r="AQ352" s="3">
        <f t="shared" si="200"/>
        <v>1</v>
      </c>
      <c r="AR352" s="3" t="str">
        <f t="shared" si="201"/>
        <v>-</v>
      </c>
      <c r="AS352" s="3" t="str">
        <f t="shared" si="202"/>
        <v>-</v>
      </c>
      <c r="AT352" s="3" t="str">
        <f t="shared" si="203"/>
        <v>-</v>
      </c>
      <c r="AU352" s="3" t="str">
        <f t="shared" si="204"/>
        <v>-</v>
      </c>
      <c r="AV352" s="3">
        <f t="shared" si="205"/>
        <v>35</v>
      </c>
      <c r="AW352" s="3">
        <f t="shared" si="206"/>
        <v>1</v>
      </c>
      <c r="AX352" s="3">
        <f t="shared" si="207"/>
        <v>9</v>
      </c>
      <c r="AY352" s="3">
        <f t="shared" si="208"/>
        <v>9</v>
      </c>
      <c r="AZ352" s="3">
        <f t="shared" si="209"/>
        <v>1</v>
      </c>
      <c r="BA352" s="3">
        <f>IF(ISERROR(LEN(VLOOKUP(A352,Seqs!A:E,2,FALSE))-AL352),"-",LEN(VLOOKUP(A352,Seqs!A:E,2,FALSE))-AL352)</f>
        <v>530</v>
      </c>
      <c r="BB352" s="16">
        <f t="shared" si="210"/>
        <v>31</v>
      </c>
      <c r="BC352" s="9" t="str">
        <f t="shared" si="211"/>
        <v>-</v>
      </c>
      <c r="BD352" s="3">
        <f t="shared" si="212"/>
        <v>31</v>
      </c>
      <c r="BE352" s="3">
        <f t="shared" si="213"/>
        <v>37</v>
      </c>
    </row>
    <row r="353" spans="1:58" s="3" customFormat="1" x14ac:dyDescent="0.2">
      <c r="A353" s="3" t="s">
        <v>110</v>
      </c>
      <c r="B353" s="3" t="str">
        <f>LOWER(VLOOKUP(A353,Xtal_Templ!B:C,2,FALSE))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216"/>
        <v>408</v>
      </c>
      <c r="G353" s="3">
        <v>411</v>
      </c>
      <c r="H353" s="3">
        <f t="shared" si="217"/>
        <v>414</v>
      </c>
      <c r="I353" s="3">
        <f t="shared" si="218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214"/>
        <v>1</v>
      </c>
      <c r="AO353" s="3" t="str">
        <f>IF(ISERROR(MATCH(A353,'SegEnds_Xtal_Prot#'!B:B, 0)), "NoXtal", "Xtal")</f>
        <v>NoXtal</v>
      </c>
      <c r="AP353" s="3">
        <f t="shared" si="199"/>
        <v>3</v>
      </c>
      <c r="AQ353" s="3">
        <f t="shared" si="200"/>
        <v>1</v>
      </c>
      <c r="AR353" s="3" t="str">
        <f t="shared" si="201"/>
        <v>-</v>
      </c>
      <c r="AS353" s="3" t="str">
        <f t="shared" si="202"/>
        <v>-</v>
      </c>
      <c r="AT353" s="3" t="str">
        <f t="shared" si="203"/>
        <v>-</v>
      </c>
      <c r="AU353" s="3" t="str">
        <f t="shared" si="204"/>
        <v>-</v>
      </c>
      <c r="AV353" s="3">
        <f t="shared" si="205"/>
        <v>35</v>
      </c>
      <c r="AW353" s="3">
        <f t="shared" si="206"/>
        <v>1</v>
      </c>
      <c r="AX353" s="3">
        <f t="shared" si="207"/>
        <v>9</v>
      </c>
      <c r="AY353" s="3">
        <f t="shared" si="208"/>
        <v>9</v>
      </c>
      <c r="AZ353" s="3">
        <f t="shared" si="209"/>
        <v>1</v>
      </c>
      <c r="BA353" s="3">
        <f>IF(ISERROR(LEN(VLOOKUP(A353,Seqs!A:E,2,FALSE))-AL353),"-",LEN(VLOOKUP(A353,Seqs!A:E,2,FALSE))-AL353)</f>
        <v>1718</v>
      </c>
      <c r="BB353" s="16">
        <f t="shared" si="210"/>
        <v>31</v>
      </c>
      <c r="BC353" s="9" t="str">
        <f t="shared" si="211"/>
        <v>-</v>
      </c>
      <c r="BD353" s="3">
        <f t="shared" si="212"/>
        <v>31</v>
      </c>
      <c r="BE353" s="3">
        <f t="shared" si="213"/>
        <v>37</v>
      </c>
    </row>
    <row r="354" spans="1:58" s="3" customFormat="1" x14ac:dyDescent="0.2">
      <c r="A354" s="3" t="s">
        <v>111</v>
      </c>
      <c r="B354" s="3" t="str">
        <f>LOWER(VLOOKUP(A354,Xtal_Templ!B:C,2,FALSE))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216"/>
        <v>81</v>
      </c>
      <c r="G354" s="3">
        <v>84</v>
      </c>
      <c r="H354" s="3">
        <f t="shared" si="217"/>
        <v>87</v>
      </c>
      <c r="I354" s="3">
        <f t="shared" si="218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214"/>
        <v>1</v>
      </c>
      <c r="AO354" s="3" t="str">
        <f>IF(ISERROR(MATCH(A354,'SegEnds_Xtal_Prot#'!B:B, 0)), "NoXtal", "Xtal")</f>
        <v>NoXtal</v>
      </c>
      <c r="AP354" s="3">
        <f t="shared" si="199"/>
        <v>1</v>
      </c>
      <c r="AQ354" s="3">
        <f t="shared" si="200"/>
        <v>1</v>
      </c>
      <c r="AR354" s="3" t="str">
        <f t="shared" si="201"/>
        <v>-</v>
      </c>
      <c r="AS354" s="3" t="str">
        <f t="shared" si="202"/>
        <v>-</v>
      </c>
      <c r="AT354" s="3" t="str">
        <f t="shared" si="203"/>
        <v>-</v>
      </c>
      <c r="AU354" s="3" t="str">
        <f t="shared" si="204"/>
        <v>-</v>
      </c>
      <c r="AV354" s="3">
        <f t="shared" si="205"/>
        <v>9</v>
      </c>
      <c r="AW354" s="3">
        <f t="shared" si="206"/>
        <v>1</v>
      </c>
      <c r="AX354" s="3">
        <f t="shared" si="207"/>
        <v>11</v>
      </c>
      <c r="AY354" s="3">
        <f t="shared" si="208"/>
        <v>11</v>
      </c>
      <c r="AZ354" s="3">
        <f t="shared" si="209"/>
        <v>2</v>
      </c>
      <c r="BA354" s="3">
        <f>IF(ISERROR(LEN(VLOOKUP(A354,Seqs!A:E,2,FALSE))-AL354),"-",LEN(VLOOKUP(A354,Seqs!A:E,2,FALSE))-AL354)</f>
        <v>92</v>
      </c>
      <c r="BB354" s="16">
        <f t="shared" si="210"/>
        <v>33</v>
      </c>
      <c r="BC354" s="9" t="str">
        <f t="shared" si="211"/>
        <v>-</v>
      </c>
      <c r="BD354" s="3">
        <f t="shared" si="212"/>
        <v>33</v>
      </c>
      <c r="BE354" s="3">
        <f t="shared" si="213"/>
        <v>39</v>
      </c>
    </row>
    <row r="355" spans="1:58" s="3" customFormat="1" x14ac:dyDescent="0.2">
      <c r="A355" s="3" t="s">
        <v>112</v>
      </c>
      <c r="B355" s="3" t="str">
        <f>LOWER(VLOOKUP(A355,Xtal_Templ!B:C,2,FALSE))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16"/>
        <v>75</v>
      </c>
      <c r="G355" s="3">
        <v>78</v>
      </c>
      <c r="H355" s="3">
        <f t="shared" si="217"/>
        <v>81</v>
      </c>
      <c r="I355" s="3">
        <f t="shared" si="218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214"/>
        <v>1</v>
      </c>
      <c r="AO355" s="3" t="str">
        <f>IF(ISERROR(MATCH(A355,'SegEnds_Xtal_Prot#'!B:B, 0)), "NoXtal", "Xtal")</f>
        <v>NoXtal</v>
      </c>
      <c r="AP355" s="3">
        <f t="shared" si="199"/>
        <v>1</v>
      </c>
      <c r="AQ355" s="3">
        <f t="shared" si="200"/>
        <v>1</v>
      </c>
      <c r="AR355" s="3" t="str">
        <f t="shared" si="201"/>
        <v>-</v>
      </c>
      <c r="AS355" s="3" t="str">
        <f t="shared" si="202"/>
        <v>-</v>
      </c>
      <c r="AT355" s="3" t="str">
        <f t="shared" si="203"/>
        <v>-</v>
      </c>
      <c r="AU355" s="3" t="str">
        <f t="shared" si="204"/>
        <v>-</v>
      </c>
      <c r="AV355" s="3">
        <f t="shared" si="205"/>
        <v>24</v>
      </c>
      <c r="AW355" s="3">
        <f t="shared" si="206"/>
        <v>1</v>
      </c>
      <c r="AX355" s="3">
        <f t="shared" si="207"/>
        <v>11</v>
      </c>
      <c r="AY355" s="3">
        <f t="shared" si="208"/>
        <v>10</v>
      </c>
      <c r="AZ355" s="3">
        <f t="shared" si="209"/>
        <v>2</v>
      </c>
      <c r="BA355" s="3">
        <f>IF(ISERROR(LEN(VLOOKUP(A355,Seqs!A:E,2,FALSE))-AL355),"-",LEN(VLOOKUP(A355,Seqs!A:E,2,FALSE))-AL355)</f>
        <v>122</v>
      </c>
      <c r="BB355" s="16">
        <f t="shared" si="210"/>
        <v>33</v>
      </c>
      <c r="BC355" s="9" t="str">
        <f t="shared" si="211"/>
        <v>-</v>
      </c>
      <c r="BD355" s="3">
        <f t="shared" si="212"/>
        <v>33</v>
      </c>
      <c r="BE355" s="3">
        <f t="shared" si="213"/>
        <v>39</v>
      </c>
    </row>
    <row r="356" spans="1:58" s="3" customFormat="1" x14ac:dyDescent="0.2">
      <c r="A356" s="3" t="s">
        <v>113</v>
      </c>
      <c r="B356" s="3" t="str">
        <f>LOWER(VLOOKUP(A356,Xtal_Templ!B:C,2,FALSE))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216"/>
        <v>48</v>
      </c>
      <c r="G356" s="3">
        <v>51</v>
      </c>
      <c r="H356" s="3">
        <f t="shared" si="217"/>
        <v>54</v>
      </c>
      <c r="I356" s="3">
        <f t="shared" si="218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214"/>
        <v>1</v>
      </c>
      <c r="AO356" s="3" t="str">
        <f>IF(ISERROR(MATCH(A356,'SegEnds_Xtal_Prot#'!B:B, 0)), "NoXtal", "Xtal")</f>
        <v>NoXtal</v>
      </c>
      <c r="AP356" s="3">
        <f t="shared" si="199"/>
        <v>1</v>
      </c>
      <c r="AQ356" s="3">
        <f t="shared" si="200"/>
        <v>1</v>
      </c>
      <c r="AR356" s="3" t="str">
        <f t="shared" si="201"/>
        <v>-</v>
      </c>
      <c r="AS356" s="3" t="str">
        <f t="shared" si="202"/>
        <v>-</v>
      </c>
      <c r="AT356" s="3" t="str">
        <f t="shared" si="203"/>
        <v>-</v>
      </c>
      <c r="AU356" s="3" t="str">
        <f t="shared" si="204"/>
        <v>-</v>
      </c>
      <c r="AV356" s="3">
        <f t="shared" si="205"/>
        <v>13</v>
      </c>
      <c r="AW356" s="3">
        <f t="shared" si="206"/>
        <v>1</v>
      </c>
      <c r="AX356" s="3">
        <f t="shared" si="207"/>
        <v>11</v>
      </c>
      <c r="AY356" s="3">
        <f t="shared" si="208"/>
        <v>11</v>
      </c>
      <c r="AZ356" s="3">
        <f t="shared" si="209"/>
        <v>3</v>
      </c>
      <c r="BA356" s="3">
        <f>IF(ISERROR(LEN(VLOOKUP(A356,Seqs!A:E,2,FALSE))-AL356),"-",LEN(VLOOKUP(A356,Seqs!A:E,2,FALSE))-AL356)</f>
        <v>64</v>
      </c>
      <c r="BB356" s="16">
        <f t="shared" si="210"/>
        <v>33</v>
      </c>
      <c r="BC356" s="9" t="str">
        <f t="shared" si="211"/>
        <v>-</v>
      </c>
      <c r="BD356" s="3">
        <f t="shared" si="212"/>
        <v>33</v>
      </c>
      <c r="BE356" s="3">
        <f t="shared" si="213"/>
        <v>39</v>
      </c>
    </row>
    <row r="357" spans="1:58" s="3" customFormat="1" x14ac:dyDescent="0.2">
      <c r="A357" s="3" t="s">
        <v>114</v>
      </c>
      <c r="B357" s="3" t="str">
        <f>LOWER(VLOOKUP(A357,Xtal_Templ!B:C,2,FALSE))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216"/>
        <v>621</v>
      </c>
      <c r="G357" s="3">
        <v>624</v>
      </c>
      <c r="H357" s="3">
        <f t="shared" si="217"/>
        <v>627</v>
      </c>
      <c r="I357" s="3">
        <f t="shared" si="218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19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214"/>
        <v>1</v>
      </c>
      <c r="AO357" s="3" t="str">
        <f>IF(ISERROR(MATCH(A357,'SegEnds_Xtal_Prot#'!B:B, 0)), "NoXtal", "Xtal")</f>
        <v>NoXtal</v>
      </c>
      <c r="AP357" s="3">
        <f t="shared" si="199"/>
        <v>3</v>
      </c>
      <c r="AQ357" s="3">
        <f t="shared" si="200"/>
        <v>1</v>
      </c>
      <c r="AR357" s="3" t="str">
        <f t="shared" si="201"/>
        <v>-</v>
      </c>
      <c r="AS357" s="3" t="str">
        <f t="shared" si="202"/>
        <v>-</v>
      </c>
      <c r="AT357" s="3" t="str">
        <f t="shared" si="203"/>
        <v>-</v>
      </c>
      <c r="AU357" s="3" t="str">
        <f t="shared" si="204"/>
        <v>-</v>
      </c>
      <c r="AV357" s="3">
        <f t="shared" si="205"/>
        <v>18</v>
      </c>
      <c r="AW357" s="3">
        <f t="shared" si="206"/>
        <v>2</v>
      </c>
      <c r="AX357" s="3">
        <f t="shared" si="207"/>
        <v>7</v>
      </c>
      <c r="AY357" s="3">
        <f t="shared" si="208"/>
        <v>5</v>
      </c>
      <c r="AZ357" s="3">
        <f t="shared" si="209"/>
        <v>1</v>
      </c>
      <c r="BA357" s="3">
        <f>IF(ISERROR(LEN(VLOOKUP(A357,Seqs!A:E,2,FALSE))-AL357),"-",LEN(VLOOKUP(A357,Seqs!A:E,2,FALSE))-AL357)</f>
        <v>74</v>
      </c>
      <c r="BB357" s="16">
        <f t="shared" si="210"/>
        <v>32</v>
      </c>
      <c r="BC357" s="9" t="str">
        <f t="shared" si="211"/>
        <v>-</v>
      </c>
      <c r="BD357" s="3">
        <f t="shared" si="212"/>
        <v>32</v>
      </c>
      <c r="BE357" s="3">
        <f t="shared" si="213"/>
        <v>35</v>
      </c>
    </row>
    <row r="358" spans="1:58" s="3" customFormat="1" x14ac:dyDescent="0.2">
      <c r="A358" s="3" t="s">
        <v>40</v>
      </c>
      <c r="B358" s="3" t="str">
        <f>LOWER(VLOOKUP(A358,Xtal_Templ!B:C,2,FALSE))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216"/>
        <v>620</v>
      </c>
      <c r="G358" s="3">
        <v>623</v>
      </c>
      <c r="H358" s="3">
        <f t="shared" si="217"/>
        <v>626</v>
      </c>
      <c r="I358" s="3">
        <f t="shared" si="218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19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214"/>
        <v>1</v>
      </c>
      <c r="AO358" s="3" t="str">
        <f>IF(ISERROR(MATCH(A358,'SegEnds_Xtal_Prot#'!B:B, 0)), "NoXtal", "Xtal")</f>
        <v>Xtal</v>
      </c>
      <c r="AP358" s="3">
        <f t="shared" si="199"/>
        <v>3</v>
      </c>
      <c r="AQ358" s="3">
        <f t="shared" si="200"/>
        <v>1</v>
      </c>
      <c r="AR358" s="3" t="str">
        <f t="shared" si="201"/>
        <v>-</v>
      </c>
      <c r="AS358" s="3" t="str">
        <f t="shared" si="202"/>
        <v>-</v>
      </c>
      <c r="AT358" s="3" t="str">
        <f t="shared" si="203"/>
        <v>-</v>
      </c>
      <c r="AU358" s="3" t="str">
        <f t="shared" si="204"/>
        <v>-</v>
      </c>
      <c r="AV358" s="3">
        <f t="shared" si="205"/>
        <v>18</v>
      </c>
      <c r="AW358" s="3">
        <f t="shared" si="206"/>
        <v>1</v>
      </c>
      <c r="AX358" s="3">
        <f t="shared" si="207"/>
        <v>9</v>
      </c>
      <c r="AY358" s="3">
        <f t="shared" si="208"/>
        <v>3</v>
      </c>
      <c r="AZ358" s="3">
        <f t="shared" si="209"/>
        <v>1</v>
      </c>
      <c r="BA358" s="3">
        <f>IF(ISERROR(LEN(VLOOKUP(A358,Seqs!A:E,2,FALSE))-AL358),"-",LEN(VLOOKUP(A358,Seqs!A:E,2,FALSE))-AL358)</f>
        <v>341</v>
      </c>
      <c r="BB358" s="16">
        <f t="shared" si="210"/>
        <v>31</v>
      </c>
      <c r="BC358" s="9" t="str">
        <f t="shared" si="211"/>
        <v>-</v>
      </c>
      <c r="BD358" s="3">
        <f t="shared" si="212"/>
        <v>31</v>
      </c>
      <c r="BE358" s="3">
        <f t="shared" si="213"/>
        <v>37</v>
      </c>
    </row>
    <row r="359" spans="1:58" s="3" customFormat="1" x14ac:dyDescent="0.2">
      <c r="A359" s="3" t="s">
        <v>115</v>
      </c>
      <c r="B359" s="3" t="str">
        <f>LOWER(VLOOKUP(A359,Xtal_Templ!B:C,2,FALSE))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216"/>
        <v>595</v>
      </c>
      <c r="G359" s="3">
        <v>598</v>
      </c>
      <c r="H359" s="3">
        <f t="shared" si="217"/>
        <v>601</v>
      </c>
      <c r="I359" s="3">
        <f t="shared" si="218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19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214"/>
        <v>1</v>
      </c>
      <c r="AO359" s="3" t="str">
        <f>IF(ISERROR(MATCH(A359,'SegEnds_Xtal_Prot#'!B:B, 0)), "NoXtal", "Xtal")</f>
        <v>NoXtal</v>
      </c>
      <c r="AP359" s="3">
        <f t="shared" si="199"/>
        <v>3</v>
      </c>
      <c r="AQ359" s="3">
        <f t="shared" si="200"/>
        <v>1</v>
      </c>
      <c r="AR359" s="3" t="str">
        <f t="shared" si="201"/>
        <v>-</v>
      </c>
      <c r="AS359" s="3" t="str">
        <f t="shared" si="202"/>
        <v>-</v>
      </c>
      <c r="AT359" s="3" t="str">
        <f t="shared" si="203"/>
        <v>-</v>
      </c>
      <c r="AU359" s="3" t="str">
        <f t="shared" si="204"/>
        <v>-</v>
      </c>
      <c r="AV359" s="3">
        <f t="shared" si="205"/>
        <v>20</v>
      </c>
      <c r="AW359" s="3">
        <f t="shared" si="206"/>
        <v>1</v>
      </c>
      <c r="AX359" s="3">
        <f t="shared" si="207"/>
        <v>9</v>
      </c>
      <c r="AY359" s="3">
        <f t="shared" si="208"/>
        <v>7</v>
      </c>
      <c r="AZ359" s="3">
        <f t="shared" si="209"/>
        <v>1</v>
      </c>
      <c r="BA359" s="3">
        <f>IF(ISERROR(LEN(VLOOKUP(A359,Seqs!A:E,2,FALSE))-AL359),"-",LEN(VLOOKUP(A359,Seqs!A:E,2,FALSE))-AL359)</f>
        <v>40</v>
      </c>
      <c r="BB359" s="16">
        <f t="shared" si="210"/>
        <v>31</v>
      </c>
      <c r="BC359" s="9" t="str">
        <f t="shared" si="211"/>
        <v>-</v>
      </c>
      <c r="BD359" s="3">
        <f t="shared" si="212"/>
        <v>31</v>
      </c>
      <c r="BE359" s="3">
        <f t="shared" si="213"/>
        <v>37</v>
      </c>
    </row>
    <row r="360" spans="1:58" s="3" customFormat="1" x14ac:dyDescent="0.2">
      <c r="A360" s="3" t="s">
        <v>116</v>
      </c>
      <c r="B360" s="3" t="str">
        <f>LOWER(VLOOKUP(A360,Xtal_Templ!B:C,2,FALSE))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216"/>
        <v>604</v>
      </c>
      <c r="G360" s="3">
        <v>607</v>
      </c>
      <c r="H360" s="3">
        <f t="shared" si="217"/>
        <v>610</v>
      </c>
      <c r="I360" s="3">
        <f t="shared" si="218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19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214"/>
        <v>1</v>
      </c>
      <c r="AO360" s="3" t="str">
        <f>IF(ISERROR(MATCH(A360,'SegEnds_Xtal_Prot#'!B:B, 0)), "NoXtal", "Xtal")</f>
        <v>NoXtal</v>
      </c>
      <c r="AP360" s="3">
        <f t="shared" si="199"/>
        <v>3</v>
      </c>
      <c r="AQ360" s="3">
        <f t="shared" si="200"/>
        <v>1</v>
      </c>
      <c r="AR360" s="3" t="str">
        <f t="shared" si="201"/>
        <v>-</v>
      </c>
      <c r="AS360" s="3" t="str">
        <f t="shared" si="202"/>
        <v>-</v>
      </c>
      <c r="AT360" s="3" t="str">
        <f t="shared" si="203"/>
        <v>-</v>
      </c>
      <c r="AU360" s="3" t="str">
        <f t="shared" si="204"/>
        <v>-</v>
      </c>
      <c r="AV360" s="3">
        <f t="shared" si="205"/>
        <v>20</v>
      </c>
      <c r="AW360" s="3">
        <f t="shared" si="206"/>
        <v>1</v>
      </c>
      <c r="AX360" s="3">
        <f t="shared" si="207"/>
        <v>9</v>
      </c>
      <c r="AY360" s="3">
        <f t="shared" si="208"/>
        <v>7</v>
      </c>
      <c r="AZ360" s="3">
        <f t="shared" si="209"/>
        <v>1</v>
      </c>
      <c r="BA360" s="3">
        <f>IF(ISERROR(LEN(VLOOKUP(A360,Seqs!A:E,2,FALSE))-AL360),"-",LEN(VLOOKUP(A360,Seqs!A:E,2,FALSE))-AL360)</f>
        <v>38</v>
      </c>
      <c r="BB360" s="16">
        <f t="shared" si="210"/>
        <v>31</v>
      </c>
      <c r="BC360" s="9" t="str">
        <f t="shared" si="211"/>
        <v>-</v>
      </c>
      <c r="BD360" s="3">
        <f t="shared" si="212"/>
        <v>31</v>
      </c>
      <c r="BE360" s="3">
        <f t="shared" si="213"/>
        <v>37</v>
      </c>
    </row>
    <row r="361" spans="1:58" s="3" customFormat="1" x14ac:dyDescent="0.2">
      <c r="A361" s="3" t="s">
        <v>117</v>
      </c>
      <c r="B361" s="3" t="str">
        <f>LOWER(VLOOKUP(A361,Xtal_Templ!B:C,2,FALSE))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216"/>
        <v>615</v>
      </c>
      <c r="G361" s="3">
        <v>618</v>
      </c>
      <c r="H361" s="3">
        <f t="shared" si="217"/>
        <v>621</v>
      </c>
      <c r="I361" s="3">
        <f t="shared" si="218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19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214"/>
        <v>1</v>
      </c>
      <c r="AO361" s="3" t="str">
        <f>IF(ISERROR(MATCH(A361,'SegEnds_Xtal_Prot#'!B:B, 0)), "NoXtal", "Xtal")</f>
        <v>NoXtal</v>
      </c>
      <c r="AP361" s="3">
        <f t="shared" si="199"/>
        <v>3</v>
      </c>
      <c r="AQ361" s="3">
        <f t="shared" si="200"/>
        <v>1</v>
      </c>
      <c r="AR361" s="3" t="str">
        <f t="shared" si="201"/>
        <v>-</v>
      </c>
      <c r="AS361" s="3" t="str">
        <f t="shared" si="202"/>
        <v>-</v>
      </c>
      <c r="AT361" s="3" t="str">
        <f t="shared" si="203"/>
        <v>-</v>
      </c>
      <c r="AU361" s="3" t="str">
        <f t="shared" si="204"/>
        <v>-</v>
      </c>
      <c r="AV361" s="3">
        <f t="shared" si="205"/>
        <v>25</v>
      </c>
      <c r="AW361" s="3">
        <f t="shared" si="206"/>
        <v>1</v>
      </c>
      <c r="AX361" s="3">
        <f t="shared" si="207"/>
        <v>9</v>
      </c>
      <c r="AY361" s="3">
        <f t="shared" si="208"/>
        <v>10</v>
      </c>
      <c r="AZ361" s="3">
        <f t="shared" si="209"/>
        <v>1</v>
      </c>
      <c r="BA361" s="3">
        <f>IF(ISERROR(LEN(VLOOKUP(A361,Seqs!A:E,2,FALSE))-AL361),"-",LEN(VLOOKUP(A361,Seqs!A:E,2,FALSE))-AL361)</f>
        <v>52</v>
      </c>
      <c r="BB361" s="16">
        <f t="shared" si="210"/>
        <v>31</v>
      </c>
      <c r="BC361" s="9" t="str">
        <f t="shared" si="211"/>
        <v>-</v>
      </c>
      <c r="BD361" s="3">
        <f t="shared" si="212"/>
        <v>31</v>
      </c>
      <c r="BE361" s="3">
        <f t="shared" si="213"/>
        <v>37</v>
      </c>
    </row>
    <row r="362" spans="1:58" s="3" customFormat="1" x14ac:dyDescent="0.2">
      <c r="A362" s="3" t="s">
        <v>41</v>
      </c>
      <c r="B362" s="3" t="str">
        <f>LOWER(VLOOKUP(A362,Xtal_Templ!B:C,2,FALSE))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216"/>
        <v>607</v>
      </c>
      <c r="G362" s="3">
        <v>610</v>
      </c>
      <c r="H362" s="3">
        <f t="shared" si="217"/>
        <v>613</v>
      </c>
      <c r="I362" s="3">
        <f t="shared" si="218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19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214"/>
        <v>1</v>
      </c>
      <c r="AO362" s="3" t="str">
        <f>IF(ISERROR(MATCH(A362,'SegEnds_Xtal_Prot#'!B:B, 0)), "NoXtal", "Xtal")</f>
        <v>Xtal</v>
      </c>
      <c r="AP362" s="3">
        <f t="shared" si="199"/>
        <v>3</v>
      </c>
      <c r="AQ362" s="3">
        <f t="shared" si="200"/>
        <v>1</v>
      </c>
      <c r="AR362" s="3" t="str">
        <f t="shared" si="201"/>
        <v>-</v>
      </c>
      <c r="AS362" s="3" t="str">
        <f t="shared" si="202"/>
        <v>-</v>
      </c>
      <c r="AT362" s="3" t="str">
        <f t="shared" si="203"/>
        <v>-</v>
      </c>
      <c r="AU362" s="3" t="str">
        <f t="shared" si="204"/>
        <v>-</v>
      </c>
      <c r="AV362" s="3">
        <f t="shared" si="205"/>
        <v>18</v>
      </c>
      <c r="AW362" s="3">
        <f t="shared" si="206"/>
        <v>1</v>
      </c>
      <c r="AX362" s="3">
        <f t="shared" si="207"/>
        <v>9</v>
      </c>
      <c r="AY362" s="3">
        <f t="shared" si="208"/>
        <v>3</v>
      </c>
      <c r="AZ362" s="3">
        <f t="shared" si="209"/>
        <v>1</v>
      </c>
      <c r="BA362" s="3">
        <f>IF(ISERROR(LEN(VLOOKUP(A362,Seqs!A:E,2,FALSE))-AL362),"-",LEN(VLOOKUP(A362,Seqs!A:E,2,FALSE))-AL362)</f>
        <v>372</v>
      </c>
      <c r="BB362" s="16">
        <f t="shared" si="210"/>
        <v>31</v>
      </c>
      <c r="BC362" s="9" t="str">
        <f t="shared" si="211"/>
        <v>-</v>
      </c>
      <c r="BD362" s="3">
        <f t="shared" si="212"/>
        <v>31</v>
      </c>
      <c r="BE362" s="3">
        <f t="shared" si="213"/>
        <v>37</v>
      </c>
    </row>
    <row r="363" spans="1:58" s="3" customFormat="1" x14ac:dyDescent="0.2">
      <c r="A363" s="3" t="s">
        <v>118</v>
      </c>
      <c r="B363" s="3" t="str">
        <f>LOWER(VLOOKUP(A363,Xtal_Templ!B:C,2,FALSE))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216"/>
        <v>613</v>
      </c>
      <c r="G363" s="3">
        <v>616</v>
      </c>
      <c r="H363" s="3">
        <f t="shared" si="217"/>
        <v>619</v>
      </c>
      <c r="I363" s="3">
        <f t="shared" si="218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19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214"/>
        <v>1</v>
      </c>
      <c r="AO363" s="3" t="str">
        <f>IF(ISERROR(MATCH(A363,'SegEnds_Xtal_Prot#'!B:B, 0)), "NoXtal", "Xtal")</f>
        <v>NoXtal</v>
      </c>
      <c r="AP363" s="3">
        <f t="shared" si="199"/>
        <v>3</v>
      </c>
      <c r="AQ363" s="3">
        <f t="shared" si="200"/>
        <v>1</v>
      </c>
      <c r="AR363" s="3" t="str">
        <f t="shared" si="201"/>
        <v>-</v>
      </c>
      <c r="AS363" s="3" t="str">
        <f t="shared" si="202"/>
        <v>-</v>
      </c>
      <c r="AT363" s="3" t="str">
        <f t="shared" si="203"/>
        <v>-</v>
      </c>
      <c r="AU363" s="3" t="str">
        <f t="shared" si="204"/>
        <v>-</v>
      </c>
      <c r="AV363" s="3">
        <f t="shared" si="205"/>
        <v>25</v>
      </c>
      <c r="AW363" s="3">
        <f t="shared" si="206"/>
        <v>1</v>
      </c>
      <c r="AX363" s="3">
        <f t="shared" si="207"/>
        <v>9</v>
      </c>
      <c r="AY363" s="3">
        <f t="shared" si="208"/>
        <v>10</v>
      </c>
      <c r="AZ363" s="3">
        <f t="shared" si="209"/>
        <v>1</v>
      </c>
      <c r="BA363" s="3">
        <f>IF(ISERROR(LEN(VLOOKUP(A363,Seqs!A:E,2,FALSE))-AL363),"-",LEN(VLOOKUP(A363,Seqs!A:E,2,FALSE))-AL363)</f>
        <v>19</v>
      </c>
      <c r="BB363" s="16">
        <f t="shared" si="210"/>
        <v>31</v>
      </c>
      <c r="BC363" s="9" t="str">
        <f t="shared" si="211"/>
        <v>-</v>
      </c>
      <c r="BD363" s="3">
        <f t="shared" si="212"/>
        <v>31</v>
      </c>
      <c r="BE363" s="3">
        <f t="shared" si="213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LOWER(VLOOKUP(A364,Xtal_Templ!B:C,2,FALSE))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216"/>
        <v>618</v>
      </c>
      <c r="G364" s="3">
        <v>621</v>
      </c>
      <c r="H364" s="3">
        <f t="shared" si="217"/>
        <v>624</v>
      </c>
      <c r="I364" s="3">
        <f t="shared" si="218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19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214"/>
        <v>1</v>
      </c>
      <c r="AO364" s="3" t="str">
        <f>IF(ISERROR(MATCH(A364,'SegEnds_Xtal_Prot#'!B:B, 0)), "NoXtal", "Xtal")</f>
        <v>NoXtal</v>
      </c>
      <c r="AP364" s="3">
        <f t="shared" si="199"/>
        <v>3</v>
      </c>
      <c r="AQ364" s="3">
        <f t="shared" si="200"/>
        <v>1</v>
      </c>
      <c r="AR364" s="3" t="str">
        <f t="shared" si="201"/>
        <v>-</v>
      </c>
      <c r="AS364" s="3" t="str">
        <f t="shared" si="202"/>
        <v>-</v>
      </c>
      <c r="AT364" s="3" t="str">
        <f t="shared" si="203"/>
        <v>-</v>
      </c>
      <c r="AU364" s="3" t="str">
        <f t="shared" si="204"/>
        <v>-</v>
      </c>
      <c r="AV364" s="3">
        <f t="shared" si="205"/>
        <v>25</v>
      </c>
      <c r="AW364" s="3">
        <f t="shared" si="206"/>
        <v>1</v>
      </c>
      <c r="AX364" s="3">
        <f t="shared" si="207"/>
        <v>9</v>
      </c>
      <c r="AY364" s="3">
        <f t="shared" si="208"/>
        <v>10</v>
      </c>
      <c r="AZ364" s="3">
        <f t="shared" si="209"/>
        <v>1</v>
      </c>
      <c r="BA364" s="3">
        <f>IF(ISERROR(LEN(VLOOKUP(A364,Seqs!A:E,2,FALSE))-AL364),"-",LEN(VLOOKUP(A364,Seqs!A:E,2,FALSE))-AL364)</f>
        <v>52</v>
      </c>
      <c r="BB364" s="16">
        <f t="shared" si="210"/>
        <v>31</v>
      </c>
      <c r="BC364" s="9" t="str">
        <f t="shared" si="211"/>
        <v>-</v>
      </c>
      <c r="BD364" s="3">
        <f t="shared" si="212"/>
        <v>31</v>
      </c>
      <c r="BE364" s="3">
        <f t="shared" si="213"/>
        <v>37</v>
      </c>
    </row>
    <row r="365" spans="1:58" s="3" customFormat="1" x14ac:dyDescent="0.2">
      <c r="A365" s="3" t="s">
        <v>120</v>
      </c>
      <c r="B365" s="3" t="str">
        <f>LOWER(VLOOKUP(A365,Xtal_Templ!B:C,2,FALSE))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216"/>
        <v>611</v>
      </c>
      <c r="G365" s="3">
        <v>614</v>
      </c>
      <c r="H365" s="3">
        <f t="shared" si="217"/>
        <v>617</v>
      </c>
      <c r="I365" s="3">
        <f t="shared" si="218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19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214"/>
        <v>1</v>
      </c>
      <c r="AO365" s="3" t="str">
        <f>IF(ISERROR(MATCH(A365,'SegEnds_Xtal_Prot#'!B:B, 0)), "NoXtal", "Xtal")</f>
        <v>NoXtal</v>
      </c>
      <c r="AP365" s="3">
        <f t="shared" si="199"/>
        <v>3</v>
      </c>
      <c r="AQ365" s="3">
        <f t="shared" si="200"/>
        <v>1</v>
      </c>
      <c r="AR365" s="3" t="str">
        <f t="shared" si="201"/>
        <v>-</v>
      </c>
      <c r="AS365" s="3" t="str">
        <f t="shared" si="202"/>
        <v>-</v>
      </c>
      <c r="AT365" s="3" t="str">
        <f t="shared" si="203"/>
        <v>-</v>
      </c>
      <c r="AU365" s="3" t="str">
        <f t="shared" si="204"/>
        <v>-</v>
      </c>
      <c r="AV365" s="3">
        <f t="shared" si="205"/>
        <v>25</v>
      </c>
      <c r="AW365" s="3">
        <f t="shared" si="206"/>
        <v>1</v>
      </c>
      <c r="AX365" s="3">
        <f t="shared" si="207"/>
        <v>9</v>
      </c>
      <c r="AY365" s="3">
        <f t="shared" si="208"/>
        <v>10</v>
      </c>
      <c r="AZ365" s="3">
        <f t="shared" si="209"/>
        <v>1</v>
      </c>
      <c r="BA365" s="3">
        <f>IF(ISERROR(LEN(VLOOKUP(A365,Seqs!A:E,2,FALSE))-AL365),"-",LEN(VLOOKUP(A365,Seqs!A:E,2,FALSE))-AL365)</f>
        <v>52</v>
      </c>
      <c r="BB365" s="16">
        <f t="shared" si="210"/>
        <v>31</v>
      </c>
      <c r="BC365" s="9" t="str">
        <f t="shared" si="211"/>
        <v>-</v>
      </c>
      <c r="BD365" s="3">
        <f t="shared" si="212"/>
        <v>31</v>
      </c>
      <c r="BE365" s="3">
        <f t="shared" si="213"/>
        <v>37</v>
      </c>
    </row>
    <row r="366" spans="1:58" s="3" customFormat="1" x14ac:dyDescent="0.2">
      <c r="A366" s="3" t="s">
        <v>121</v>
      </c>
      <c r="B366" s="3" t="str">
        <f>LOWER(VLOOKUP(A366,Xtal_Templ!B:C,2,FALSE))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216"/>
        <v>53</v>
      </c>
      <c r="G366" s="3">
        <v>56</v>
      </c>
      <c r="H366" s="3">
        <f t="shared" si="217"/>
        <v>59</v>
      </c>
      <c r="I366" s="3">
        <f t="shared" si="218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214"/>
        <v>1</v>
      </c>
      <c r="AO366" s="3" t="str">
        <f>IF(ISERROR(MATCH(A366,'SegEnds_Xtal_Prot#'!B:B, 0)), "NoXtal", "Xtal")</f>
        <v>NoXtal</v>
      </c>
      <c r="AP366" s="3">
        <f t="shared" si="199"/>
        <v>1</v>
      </c>
      <c r="AQ366" s="3">
        <f t="shared" si="200"/>
        <v>1</v>
      </c>
      <c r="AR366" s="3" t="str">
        <f t="shared" si="201"/>
        <v>-</v>
      </c>
      <c r="AS366" s="3" t="str">
        <f t="shared" si="202"/>
        <v>-</v>
      </c>
      <c r="AT366" s="3" t="str">
        <f t="shared" si="203"/>
        <v>-</v>
      </c>
      <c r="AU366" s="3" t="str">
        <f t="shared" si="204"/>
        <v>-</v>
      </c>
      <c r="AV366" s="3" t="str">
        <f t="shared" si="205"/>
        <v>-</v>
      </c>
      <c r="AW366" s="3" t="str">
        <f t="shared" si="206"/>
        <v>-</v>
      </c>
      <c r="AX366" s="3">
        <f t="shared" si="207"/>
        <v>11</v>
      </c>
      <c r="AY366" s="3">
        <f t="shared" si="208"/>
        <v>7</v>
      </c>
      <c r="AZ366" s="3">
        <f t="shared" si="209"/>
        <v>2</v>
      </c>
      <c r="BA366" s="3">
        <f>IF(ISERROR(LEN(VLOOKUP(A366,Seqs!A:E,2,FALSE))-AL366),"-",LEN(VLOOKUP(A366,Seqs!A:E,2,FALSE))-AL366)</f>
        <v>72</v>
      </c>
      <c r="BB366" s="16">
        <f t="shared" si="210"/>
        <v>33</v>
      </c>
      <c r="BC366" s="9" t="str">
        <f t="shared" si="211"/>
        <v>-</v>
      </c>
      <c r="BD366" s="3">
        <f t="shared" si="212"/>
        <v>33</v>
      </c>
      <c r="BE366" s="3">
        <f t="shared" si="213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LOWER(VLOOKUP(A367,Xtal_Templ!B:C,2,FALSE))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216"/>
        <v>594</v>
      </c>
      <c r="G367" s="3">
        <v>597</v>
      </c>
      <c r="H367" s="3">
        <f t="shared" si="217"/>
        <v>600</v>
      </c>
      <c r="I367" s="3">
        <f t="shared" si="218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20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214"/>
        <v>1</v>
      </c>
      <c r="AO367" s="3" t="str">
        <f>IF(ISERROR(MATCH(A367,'SegEnds_Xtal_Prot#'!B:B, 0)), "NoXtal", "Xtal")</f>
        <v>NoXtal</v>
      </c>
      <c r="AP367" s="3">
        <f t="shared" si="199"/>
        <v>3</v>
      </c>
      <c r="AQ367" s="3">
        <f t="shared" si="200"/>
        <v>1</v>
      </c>
      <c r="AR367" s="3" t="str">
        <f t="shared" si="201"/>
        <v>-</v>
      </c>
      <c r="AS367" s="3" t="str">
        <f t="shared" si="202"/>
        <v>-</v>
      </c>
      <c r="AT367" s="3" t="str">
        <f t="shared" si="203"/>
        <v>-</v>
      </c>
      <c r="AU367" s="3" t="str">
        <f t="shared" si="204"/>
        <v>-</v>
      </c>
      <c r="AV367" s="3">
        <f t="shared" si="205"/>
        <v>19</v>
      </c>
      <c r="AW367" s="3">
        <f t="shared" si="206"/>
        <v>2</v>
      </c>
      <c r="AX367" s="3">
        <f t="shared" si="207"/>
        <v>9</v>
      </c>
      <c r="AY367" s="3">
        <f t="shared" si="208"/>
        <v>5</v>
      </c>
      <c r="AZ367" s="3">
        <f t="shared" si="209"/>
        <v>1</v>
      </c>
      <c r="BA367" s="3">
        <f>IF(ISERROR(LEN(VLOOKUP(A367,Seqs!A:E,2,FALSE))-AL367),"-",LEN(VLOOKUP(A367,Seqs!A:E,2,FALSE))-AL367)</f>
        <v>11</v>
      </c>
      <c r="BB367" s="16">
        <f t="shared" si="210"/>
        <v>31</v>
      </c>
      <c r="BC367" s="9" t="str">
        <f t="shared" si="211"/>
        <v>-</v>
      </c>
      <c r="BD367" s="3">
        <f t="shared" si="212"/>
        <v>31</v>
      </c>
      <c r="BE367" s="3">
        <f t="shared" si="213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LOWER(VLOOKUP(A368,Xtal_Templ!B:C,2,FALSE))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216"/>
        <v>593</v>
      </c>
      <c r="G368" s="3">
        <v>596</v>
      </c>
      <c r="H368" s="3">
        <f t="shared" si="217"/>
        <v>599</v>
      </c>
      <c r="I368" s="3">
        <f t="shared" si="218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20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214"/>
        <v>1</v>
      </c>
      <c r="AO368" s="3" t="str">
        <f>IF(ISERROR(MATCH(A368,'SegEnds_Xtal_Prot#'!B:B, 0)), "NoXtal", "Xtal")</f>
        <v>NoXtal</v>
      </c>
      <c r="AP368" s="3">
        <f t="shared" si="199"/>
        <v>3</v>
      </c>
      <c r="AQ368" s="3">
        <f t="shared" si="200"/>
        <v>1</v>
      </c>
      <c r="AR368" s="3" t="str">
        <f t="shared" si="201"/>
        <v>-</v>
      </c>
      <c r="AS368" s="3" t="str">
        <f t="shared" si="202"/>
        <v>-</v>
      </c>
      <c r="AT368" s="3" t="str">
        <f t="shared" si="203"/>
        <v>-</v>
      </c>
      <c r="AU368" s="3" t="str">
        <f t="shared" si="204"/>
        <v>-</v>
      </c>
      <c r="AV368" s="3">
        <f t="shared" si="205"/>
        <v>20</v>
      </c>
      <c r="AW368" s="3">
        <f t="shared" si="206"/>
        <v>2</v>
      </c>
      <c r="AX368" s="3">
        <f t="shared" si="207"/>
        <v>9</v>
      </c>
      <c r="AY368" s="3">
        <f t="shared" si="208"/>
        <v>5</v>
      </c>
      <c r="AZ368" s="3">
        <f t="shared" si="209"/>
        <v>1</v>
      </c>
      <c r="BA368" s="3">
        <f>IF(ISERROR(LEN(VLOOKUP(A368,Seqs!A:E,2,FALSE))-AL368),"-",LEN(VLOOKUP(A368,Seqs!A:E,2,FALSE))-AL368)</f>
        <v>9</v>
      </c>
      <c r="BB368" s="16">
        <f t="shared" si="210"/>
        <v>31</v>
      </c>
      <c r="BC368" s="9" t="str">
        <f t="shared" si="211"/>
        <v>-</v>
      </c>
      <c r="BD368" s="3">
        <f t="shared" si="212"/>
        <v>31</v>
      </c>
      <c r="BE368" s="3">
        <f t="shared" si="213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LOWER(VLOOKUP(A369,Xtal_Templ!B:C,2,FALSE))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216"/>
        <v>596</v>
      </c>
      <c r="G369" s="3">
        <v>599</v>
      </c>
      <c r="H369" s="3">
        <f t="shared" si="217"/>
        <v>602</v>
      </c>
      <c r="I369" s="3">
        <f t="shared" si="218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20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214"/>
        <v>1</v>
      </c>
      <c r="AO369" s="3" t="str">
        <f>IF(ISERROR(MATCH(A369,'SegEnds_Xtal_Prot#'!B:B, 0)), "NoXtal", "Xtal")</f>
        <v>NoXtal</v>
      </c>
      <c r="AP369" s="3">
        <f t="shared" si="199"/>
        <v>3</v>
      </c>
      <c r="AQ369" s="3">
        <f t="shared" si="200"/>
        <v>1</v>
      </c>
      <c r="AR369" s="3" t="str">
        <f t="shared" si="201"/>
        <v>-</v>
      </c>
      <c r="AS369" s="3" t="str">
        <f t="shared" si="202"/>
        <v>-</v>
      </c>
      <c r="AT369" s="3" t="str">
        <f t="shared" si="203"/>
        <v>-</v>
      </c>
      <c r="AU369" s="3" t="str">
        <f t="shared" si="204"/>
        <v>-</v>
      </c>
      <c r="AV369" s="3">
        <f t="shared" si="205"/>
        <v>19</v>
      </c>
      <c r="AW369" s="3">
        <f t="shared" si="206"/>
        <v>2</v>
      </c>
      <c r="AX369" s="3">
        <f t="shared" si="207"/>
        <v>9</v>
      </c>
      <c r="AY369" s="3">
        <f t="shared" si="208"/>
        <v>5</v>
      </c>
      <c r="AZ369" s="3">
        <f t="shared" si="209"/>
        <v>1</v>
      </c>
      <c r="BA369" s="3">
        <f>IF(ISERROR(LEN(VLOOKUP(A369,Seqs!A:E,2,FALSE))-AL369),"-",LEN(VLOOKUP(A369,Seqs!A:E,2,FALSE))-AL369)</f>
        <v>20</v>
      </c>
      <c r="BB369" s="16">
        <f t="shared" si="210"/>
        <v>31</v>
      </c>
      <c r="BC369" s="9" t="str">
        <f t="shared" si="211"/>
        <v>-</v>
      </c>
      <c r="BD369" s="3">
        <f t="shared" si="212"/>
        <v>31</v>
      </c>
      <c r="BE369" s="3">
        <f t="shared" si="213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LOWER(VLOOKUP(A370,Xtal_Templ!B:C,2,FALSE))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216"/>
        <v>345</v>
      </c>
      <c r="G370" s="3">
        <v>348</v>
      </c>
      <c r="H370" s="3">
        <f t="shared" ref="H370:H380" si="221">G370+1</f>
        <v>349</v>
      </c>
      <c r="I370" s="3">
        <f t="shared" si="218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20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214"/>
        <v>1</v>
      </c>
      <c r="AO370" s="3" t="str">
        <f>IF(ISERROR(MATCH(A370,'SegEnds_Xtal_Prot#'!B:B, 0)), "NoXtal", "Xtal")</f>
        <v>NoXtal</v>
      </c>
      <c r="AP370" s="3">
        <f t="shared" si="199"/>
        <v>1</v>
      </c>
      <c r="AQ370" s="3">
        <f t="shared" si="200"/>
        <v>1</v>
      </c>
      <c r="AR370" s="3" t="str">
        <f t="shared" si="201"/>
        <v>-</v>
      </c>
      <c r="AS370" s="3" t="str">
        <f t="shared" si="202"/>
        <v>-</v>
      </c>
      <c r="AT370" s="3" t="str">
        <f t="shared" si="203"/>
        <v>-</v>
      </c>
      <c r="AU370" s="3" t="str">
        <f t="shared" si="204"/>
        <v>-</v>
      </c>
      <c r="AV370" s="3">
        <f t="shared" si="205"/>
        <v>12</v>
      </c>
      <c r="AW370" s="3">
        <f t="shared" si="206"/>
        <v>4</v>
      </c>
      <c r="AX370" s="3">
        <f t="shared" si="207"/>
        <v>7</v>
      </c>
      <c r="AY370" s="3">
        <f t="shared" si="208"/>
        <v>18</v>
      </c>
      <c r="AZ370" s="3">
        <f t="shared" si="209"/>
        <v>1</v>
      </c>
      <c r="BA370" s="3">
        <f>IF(ISERROR(LEN(VLOOKUP(A370,Seqs!A:E,2,FALSE))-AL370),"-",LEN(VLOOKUP(A370,Seqs!A:E,2,FALSE))-AL370)</f>
        <v>9</v>
      </c>
      <c r="BB370" s="16">
        <f t="shared" si="210"/>
        <v>26</v>
      </c>
      <c r="BC370" s="9" t="str">
        <f t="shared" si="211"/>
        <v>-</v>
      </c>
      <c r="BD370" s="3">
        <f t="shared" si="212"/>
        <v>26</v>
      </c>
      <c r="BE370" s="3">
        <f t="shared" si="213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LOWER(VLOOKUP(A371,Xtal_Templ!B:C,2,FALSE))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216"/>
        <v>253</v>
      </c>
      <c r="G371" s="3">
        <v>256</v>
      </c>
      <c r="H371" s="3">
        <f t="shared" si="221"/>
        <v>257</v>
      </c>
      <c r="I371" s="3">
        <f t="shared" si="218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20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214"/>
        <v>1</v>
      </c>
      <c r="AO371" s="3" t="str">
        <f>IF(ISERROR(MATCH(A371,'SegEnds_Xtal_Prot#'!B:B, 0)), "NoXtal", "Xtal")</f>
        <v>NoXtal</v>
      </c>
      <c r="AP371" s="3">
        <f t="shared" si="199"/>
        <v>1</v>
      </c>
      <c r="AQ371" s="3">
        <f t="shared" si="200"/>
        <v>1</v>
      </c>
      <c r="AR371" s="3" t="str">
        <f t="shared" si="201"/>
        <v>-</v>
      </c>
      <c r="AS371" s="3" t="str">
        <f t="shared" si="202"/>
        <v>-</v>
      </c>
      <c r="AT371" s="3" t="str">
        <f t="shared" si="203"/>
        <v>-</v>
      </c>
      <c r="AU371" s="3" t="str">
        <f t="shared" si="204"/>
        <v>-</v>
      </c>
      <c r="AV371" s="3">
        <f t="shared" si="205"/>
        <v>12</v>
      </c>
      <c r="AW371" s="3">
        <f t="shared" si="206"/>
        <v>4</v>
      </c>
      <c r="AX371" s="3">
        <f t="shared" si="207"/>
        <v>7</v>
      </c>
      <c r="AY371" s="3">
        <f t="shared" si="208"/>
        <v>12</v>
      </c>
      <c r="AZ371" s="3">
        <f t="shared" si="209"/>
        <v>1</v>
      </c>
      <c r="BA371" s="3">
        <f>IF(ISERROR(LEN(VLOOKUP(A371,Seqs!A:E,2,FALSE))-AL371),"-",LEN(VLOOKUP(A371,Seqs!A:E,2,FALSE))-AL371)</f>
        <v>42</v>
      </c>
      <c r="BB371" s="16">
        <f t="shared" si="210"/>
        <v>26</v>
      </c>
      <c r="BC371" s="9" t="str">
        <f t="shared" si="211"/>
        <v>-</v>
      </c>
      <c r="BD371" s="3">
        <f t="shared" si="212"/>
        <v>26</v>
      </c>
      <c r="BE371" s="3">
        <f t="shared" si="213"/>
        <v>55</v>
      </c>
    </row>
    <row r="372" spans="1:58" s="3" customFormat="1" x14ac:dyDescent="0.2">
      <c r="A372" s="3" t="s">
        <v>448</v>
      </c>
      <c r="B372" s="3" t="str">
        <f>LOWER(VLOOKUP(A372,Xtal_Templ!B:C,2,FALSE))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216"/>
        <v>270</v>
      </c>
      <c r="G372" s="3">
        <v>273</v>
      </c>
      <c r="H372" s="3">
        <f t="shared" si="221"/>
        <v>274</v>
      </c>
      <c r="I372" s="3">
        <f t="shared" si="218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20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214"/>
        <v>1</v>
      </c>
      <c r="AO372" s="3" t="str">
        <f>IF(ISERROR(MATCH(A372,'SegEnds_Xtal_Prot#'!B:B, 0)), "NoXtal", "Xtal")</f>
        <v>NoXtal</v>
      </c>
      <c r="AP372" s="3">
        <f t="shared" si="199"/>
        <v>1</v>
      </c>
      <c r="AQ372" s="3">
        <f t="shared" si="200"/>
        <v>1</v>
      </c>
      <c r="AR372" s="3" t="str">
        <f t="shared" si="201"/>
        <v>-</v>
      </c>
      <c r="AS372" s="3" t="str">
        <f t="shared" si="202"/>
        <v>-</v>
      </c>
      <c r="AT372" s="3" t="str">
        <f t="shared" si="203"/>
        <v>-</v>
      </c>
      <c r="AU372" s="3" t="str">
        <f t="shared" si="204"/>
        <v>-</v>
      </c>
      <c r="AV372" s="3">
        <f t="shared" si="205"/>
        <v>12</v>
      </c>
      <c r="AW372" s="3">
        <f t="shared" si="206"/>
        <v>4</v>
      </c>
      <c r="AX372" s="3">
        <f t="shared" si="207"/>
        <v>7</v>
      </c>
      <c r="AY372" s="3">
        <f t="shared" si="208"/>
        <v>11</v>
      </c>
      <c r="AZ372" s="3">
        <f t="shared" si="209"/>
        <v>1</v>
      </c>
      <c r="BA372" s="3">
        <f>IF(ISERROR(LEN(VLOOKUP(A372,Seqs!A:E,2,FALSE))-AL372),"-",LEN(VLOOKUP(A372,Seqs!A:E,2,FALSE))-AL372)</f>
        <v>9</v>
      </c>
      <c r="BB372" s="16">
        <f t="shared" si="210"/>
        <v>26</v>
      </c>
      <c r="BC372" s="9" t="str">
        <f t="shared" si="211"/>
        <v>-</v>
      </c>
      <c r="BD372" s="3">
        <f t="shared" si="212"/>
        <v>26</v>
      </c>
      <c r="BE372" s="3">
        <f t="shared" si="213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LOWER(VLOOKUP(A373,Xtal_Templ!B:C,2,FALSE))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216"/>
        <v>228</v>
      </c>
      <c r="G373" s="3">
        <v>231</v>
      </c>
      <c r="H373" s="3">
        <f t="shared" si="221"/>
        <v>232</v>
      </c>
      <c r="I373" s="3">
        <f t="shared" si="218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20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214"/>
        <v>1</v>
      </c>
      <c r="AO373" s="3" t="str">
        <f>IF(ISERROR(MATCH(A373,'SegEnds_Xtal_Prot#'!B:B, 0)), "NoXtal", "Xtal")</f>
        <v>NoXtal</v>
      </c>
      <c r="AP373" s="3">
        <f t="shared" si="199"/>
        <v>1</v>
      </c>
      <c r="AQ373" s="3">
        <f t="shared" si="200"/>
        <v>1</v>
      </c>
      <c r="AR373" s="3" t="str">
        <f t="shared" si="201"/>
        <v>-</v>
      </c>
      <c r="AS373" s="3" t="str">
        <f t="shared" si="202"/>
        <v>-</v>
      </c>
      <c r="AT373" s="3" t="str">
        <f t="shared" si="203"/>
        <v>-</v>
      </c>
      <c r="AU373" s="3" t="str">
        <f t="shared" si="204"/>
        <v>-</v>
      </c>
      <c r="AV373" s="3">
        <f t="shared" si="205"/>
        <v>12</v>
      </c>
      <c r="AW373" s="3">
        <f t="shared" si="206"/>
        <v>4</v>
      </c>
      <c r="AX373" s="3">
        <f t="shared" si="207"/>
        <v>7</v>
      </c>
      <c r="AY373" s="3">
        <f t="shared" si="208"/>
        <v>11</v>
      </c>
      <c r="AZ373" s="3">
        <f t="shared" si="209"/>
        <v>1</v>
      </c>
      <c r="BA373" s="3">
        <f>IF(ISERROR(LEN(VLOOKUP(A373,Seqs!A:E,2,FALSE))-AL373),"-",LEN(VLOOKUP(A373,Seqs!A:E,2,FALSE))-AL373)</f>
        <v>151</v>
      </c>
      <c r="BB373" s="16">
        <f t="shared" si="210"/>
        <v>26</v>
      </c>
      <c r="BC373" s="9" t="str">
        <f t="shared" si="211"/>
        <v>-</v>
      </c>
      <c r="BD373" s="3">
        <f t="shared" si="212"/>
        <v>26</v>
      </c>
      <c r="BE373" s="3">
        <f t="shared" si="213"/>
        <v>55</v>
      </c>
    </row>
    <row r="374" spans="1:58" s="3" customFormat="1" x14ac:dyDescent="0.2">
      <c r="A374" s="3" t="s">
        <v>450</v>
      </c>
      <c r="B374" s="3" t="str">
        <f>LOWER(VLOOKUP(A374,Xtal_Templ!B:C,2,FALSE))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216"/>
        <v>245</v>
      </c>
      <c r="G374" s="3">
        <v>248</v>
      </c>
      <c r="H374" s="3">
        <f t="shared" si="221"/>
        <v>249</v>
      </c>
      <c r="I374" s="3">
        <f t="shared" si="218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20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214"/>
        <v>1</v>
      </c>
      <c r="AO374" s="3" t="str">
        <f>IF(ISERROR(MATCH(A374,'SegEnds_Xtal_Prot#'!B:B, 0)), "NoXtal", "Xtal")</f>
        <v>NoXtal</v>
      </c>
      <c r="AP374" s="3">
        <f t="shared" si="199"/>
        <v>1</v>
      </c>
      <c r="AQ374" s="3">
        <f t="shared" si="200"/>
        <v>1</v>
      </c>
      <c r="AR374" s="3" t="str">
        <f t="shared" si="201"/>
        <v>-</v>
      </c>
      <c r="AS374" s="3" t="str">
        <f t="shared" si="202"/>
        <v>-</v>
      </c>
      <c r="AT374" s="3" t="str">
        <f t="shared" si="203"/>
        <v>-</v>
      </c>
      <c r="AU374" s="3" t="str">
        <f t="shared" si="204"/>
        <v>-</v>
      </c>
      <c r="AV374" s="3">
        <f t="shared" si="205"/>
        <v>12</v>
      </c>
      <c r="AW374" s="3">
        <f t="shared" si="206"/>
        <v>4</v>
      </c>
      <c r="AX374" s="3">
        <f t="shared" si="207"/>
        <v>7</v>
      </c>
      <c r="AY374" s="3">
        <f t="shared" si="208"/>
        <v>4</v>
      </c>
      <c r="AZ374" s="3">
        <f t="shared" si="209"/>
        <v>1</v>
      </c>
      <c r="BA374" s="3">
        <f>IF(ISERROR(LEN(VLOOKUP(A374,Seqs!A:E,2,FALSE))-AL374),"-",LEN(VLOOKUP(A374,Seqs!A:E,2,FALSE))-AL374)</f>
        <v>25</v>
      </c>
      <c r="BB374" s="16">
        <f t="shared" si="210"/>
        <v>26</v>
      </c>
      <c r="BC374" s="9" t="str">
        <f t="shared" si="211"/>
        <v>-</v>
      </c>
      <c r="BD374" s="3">
        <f t="shared" si="212"/>
        <v>26</v>
      </c>
      <c r="BE374" s="3">
        <f t="shared" si="213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LOWER(VLOOKUP(A375,Xtal_Templ!B:C,2,FALSE))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216"/>
        <v>261</v>
      </c>
      <c r="G375" s="3">
        <v>264</v>
      </c>
      <c r="H375" s="3">
        <f t="shared" si="221"/>
        <v>265</v>
      </c>
      <c r="I375" s="3">
        <f t="shared" si="218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20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214"/>
        <v>1</v>
      </c>
      <c r="AO375" s="3" t="str">
        <f>IF(ISERROR(MATCH(A375,'SegEnds_Xtal_Prot#'!B:B, 0)), "NoXtal", "Xtal")</f>
        <v>NoXtal</v>
      </c>
      <c r="AP375" s="3">
        <f t="shared" si="199"/>
        <v>1</v>
      </c>
      <c r="AQ375" s="3">
        <f t="shared" si="200"/>
        <v>1</v>
      </c>
      <c r="AR375" s="3" t="str">
        <f t="shared" si="201"/>
        <v>-</v>
      </c>
      <c r="AS375" s="3" t="str">
        <f t="shared" si="202"/>
        <v>-</v>
      </c>
      <c r="AT375" s="3" t="str">
        <f t="shared" si="203"/>
        <v>-</v>
      </c>
      <c r="AU375" s="3" t="str">
        <f t="shared" si="204"/>
        <v>-</v>
      </c>
      <c r="AV375" s="3">
        <f t="shared" si="205"/>
        <v>12</v>
      </c>
      <c r="AW375" s="3">
        <f t="shared" si="206"/>
        <v>4</v>
      </c>
      <c r="AX375" s="3">
        <f t="shared" si="207"/>
        <v>7</v>
      </c>
      <c r="AY375" s="3">
        <f t="shared" si="208"/>
        <v>5</v>
      </c>
      <c r="AZ375" s="3">
        <f t="shared" si="209"/>
        <v>1</v>
      </c>
      <c r="BA375" s="3">
        <f>IF(ISERROR(LEN(VLOOKUP(A375,Seqs!A:E,2,FALSE))-AL375),"-",LEN(VLOOKUP(A375,Seqs!A:E,2,FALSE))-AL375)</f>
        <v>47</v>
      </c>
      <c r="BB375" s="16">
        <f t="shared" si="210"/>
        <v>26</v>
      </c>
      <c r="BC375" s="9" t="str">
        <f t="shared" si="211"/>
        <v>-</v>
      </c>
      <c r="BD375" s="3">
        <f t="shared" si="212"/>
        <v>26</v>
      </c>
      <c r="BE375" s="3">
        <f t="shared" si="213"/>
        <v>55</v>
      </c>
    </row>
    <row r="376" spans="1:58" s="3" customFormat="1" x14ac:dyDescent="0.2">
      <c r="A376" s="3" t="s">
        <v>452</v>
      </c>
      <c r="B376" s="3" t="str">
        <f>LOWER(VLOOKUP(A376,Xtal_Templ!B:C,2,FALSE))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216"/>
        <v>224</v>
      </c>
      <c r="G376" s="3">
        <v>227</v>
      </c>
      <c r="H376" s="3">
        <f t="shared" si="221"/>
        <v>228</v>
      </c>
      <c r="I376" s="3">
        <f t="shared" si="218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20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214"/>
        <v>1</v>
      </c>
      <c r="AO376" s="3" t="str">
        <f>IF(ISERROR(MATCH(A376,'SegEnds_Xtal_Prot#'!B:B, 0)), "NoXtal", "Xtal")</f>
        <v>NoXtal</v>
      </c>
      <c r="AP376" s="3">
        <f t="shared" si="199"/>
        <v>1</v>
      </c>
      <c r="AQ376" s="3">
        <f t="shared" si="200"/>
        <v>1</v>
      </c>
      <c r="AR376" s="3" t="str">
        <f t="shared" si="201"/>
        <v>-</v>
      </c>
      <c r="AS376" s="3" t="str">
        <f t="shared" si="202"/>
        <v>-</v>
      </c>
      <c r="AT376" s="3" t="str">
        <f t="shared" si="203"/>
        <v>-</v>
      </c>
      <c r="AU376" s="3" t="str">
        <f t="shared" si="204"/>
        <v>-</v>
      </c>
      <c r="AV376" s="3">
        <f t="shared" si="205"/>
        <v>12</v>
      </c>
      <c r="AW376" s="3">
        <f t="shared" si="206"/>
        <v>4</v>
      </c>
      <c r="AX376" s="3">
        <f t="shared" si="207"/>
        <v>7</v>
      </c>
      <c r="AY376" s="3">
        <f t="shared" si="208"/>
        <v>11</v>
      </c>
      <c r="AZ376" s="3">
        <f t="shared" si="209"/>
        <v>1</v>
      </c>
      <c r="BA376" s="3">
        <f>IF(ISERROR(LEN(VLOOKUP(A376,Seqs!A:E,2,FALSE))-AL376),"-",LEN(VLOOKUP(A376,Seqs!A:E,2,FALSE))-AL376)</f>
        <v>195</v>
      </c>
      <c r="BB376" s="16">
        <f t="shared" si="210"/>
        <v>26</v>
      </c>
      <c r="BC376" s="9" t="str">
        <f t="shared" si="211"/>
        <v>-</v>
      </c>
      <c r="BD376" s="3">
        <f t="shared" si="212"/>
        <v>26</v>
      </c>
      <c r="BE376" s="3">
        <f t="shared" si="213"/>
        <v>55</v>
      </c>
    </row>
    <row r="377" spans="1:58" s="3" customFormat="1" x14ac:dyDescent="0.2">
      <c r="A377" s="3" t="s">
        <v>453</v>
      </c>
      <c r="B377" s="3" t="str">
        <f>LOWER(VLOOKUP(A377,Xtal_Templ!B:C,2,FALSE))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216"/>
        <v>279</v>
      </c>
      <c r="G377" s="3">
        <v>282</v>
      </c>
      <c r="H377" s="3">
        <f t="shared" si="221"/>
        <v>283</v>
      </c>
      <c r="I377" s="3">
        <f t="shared" si="218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20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214"/>
        <v>1</v>
      </c>
      <c r="AO377" s="3" t="str">
        <f>IF(ISERROR(MATCH(A377,'SegEnds_Xtal_Prot#'!B:B, 0)), "NoXtal", "Xtal")</f>
        <v>NoXtal</v>
      </c>
      <c r="AP377" s="3">
        <f t="shared" si="199"/>
        <v>1</v>
      </c>
      <c r="AQ377" s="3">
        <f t="shared" si="200"/>
        <v>1</v>
      </c>
      <c r="AR377" s="3" t="str">
        <f t="shared" si="201"/>
        <v>-</v>
      </c>
      <c r="AS377" s="3" t="str">
        <f t="shared" si="202"/>
        <v>-</v>
      </c>
      <c r="AT377" s="3" t="str">
        <f t="shared" si="203"/>
        <v>-</v>
      </c>
      <c r="AU377" s="3" t="str">
        <f t="shared" si="204"/>
        <v>-</v>
      </c>
      <c r="AV377" s="3">
        <f t="shared" si="205"/>
        <v>12</v>
      </c>
      <c r="AW377" s="3">
        <f t="shared" si="206"/>
        <v>4</v>
      </c>
      <c r="AX377" s="3">
        <f t="shared" si="207"/>
        <v>7</v>
      </c>
      <c r="AY377" s="3">
        <f t="shared" si="208"/>
        <v>11</v>
      </c>
      <c r="AZ377" s="3">
        <f t="shared" si="209"/>
        <v>1</v>
      </c>
      <c r="BA377" s="3">
        <f>IF(ISERROR(LEN(VLOOKUP(A377,Seqs!A:E,2,FALSE))-AL377),"-",LEN(VLOOKUP(A377,Seqs!A:E,2,FALSE))-AL377)</f>
        <v>9</v>
      </c>
      <c r="BB377" s="16">
        <f t="shared" si="210"/>
        <v>26</v>
      </c>
      <c r="BC377" s="9" t="str">
        <f t="shared" si="211"/>
        <v>-</v>
      </c>
      <c r="BD377" s="3">
        <f t="shared" si="212"/>
        <v>26</v>
      </c>
      <c r="BE377" s="3">
        <f t="shared" si="213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LOWER(VLOOKUP(A378,Xtal_Templ!B:C,2,FALSE))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216"/>
        <v>303</v>
      </c>
      <c r="G378" s="3">
        <v>306</v>
      </c>
      <c r="H378" s="3">
        <f t="shared" si="221"/>
        <v>307</v>
      </c>
      <c r="I378" s="3">
        <f t="shared" si="218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20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214"/>
        <v>1</v>
      </c>
      <c r="AO378" s="3" t="str">
        <f>IF(ISERROR(MATCH(A378,'SegEnds_Xtal_Prot#'!B:B, 0)), "NoXtal", "Xtal")</f>
        <v>NoXtal</v>
      </c>
      <c r="AP378" s="3">
        <f t="shared" si="199"/>
        <v>1</v>
      </c>
      <c r="AQ378" s="3">
        <f t="shared" si="200"/>
        <v>1</v>
      </c>
      <c r="AR378" s="3" t="str">
        <f t="shared" si="201"/>
        <v>-</v>
      </c>
      <c r="AS378" s="3" t="str">
        <f t="shared" si="202"/>
        <v>-</v>
      </c>
      <c r="AT378" s="3" t="str">
        <f t="shared" si="203"/>
        <v>-</v>
      </c>
      <c r="AU378" s="3" t="str">
        <f t="shared" si="204"/>
        <v>-</v>
      </c>
      <c r="AV378" s="3">
        <f t="shared" si="205"/>
        <v>12</v>
      </c>
      <c r="AW378" s="3">
        <f t="shared" si="206"/>
        <v>4</v>
      </c>
      <c r="AX378" s="3">
        <f t="shared" si="207"/>
        <v>9</v>
      </c>
      <c r="AY378" s="3">
        <f t="shared" si="208"/>
        <v>5</v>
      </c>
      <c r="AZ378" s="3">
        <f t="shared" si="209"/>
        <v>1</v>
      </c>
      <c r="BA378" s="3">
        <f>IF(ISERROR(LEN(VLOOKUP(A378,Seqs!A:E,2,FALSE))-AL378),"-",LEN(VLOOKUP(A378,Seqs!A:E,2,FALSE))-AL378)</f>
        <v>73</v>
      </c>
      <c r="BB378" s="16">
        <f t="shared" si="210"/>
        <v>26</v>
      </c>
      <c r="BC378" s="9" t="str">
        <f t="shared" si="211"/>
        <v>-</v>
      </c>
      <c r="BD378" s="3">
        <f t="shared" si="212"/>
        <v>26</v>
      </c>
      <c r="BE378" s="3">
        <f t="shared" si="213"/>
        <v>57</v>
      </c>
    </row>
    <row r="379" spans="1:58" s="3" customFormat="1" x14ac:dyDescent="0.2">
      <c r="A379" s="3" t="s">
        <v>455</v>
      </c>
      <c r="B379" s="3" t="str">
        <f>LOWER(VLOOKUP(A379,Xtal_Templ!B:C,2,FALSE))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216"/>
        <v>257</v>
      </c>
      <c r="G379" s="3">
        <v>260</v>
      </c>
      <c r="H379" s="3">
        <f t="shared" si="221"/>
        <v>261</v>
      </c>
      <c r="I379" s="3">
        <f t="shared" si="218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20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214"/>
        <v>1</v>
      </c>
      <c r="AO379" s="3" t="str">
        <f>IF(ISERROR(MATCH(A379,'SegEnds_Xtal_Prot#'!B:B, 0)), "NoXtal", "Xtal")</f>
        <v>NoXtal</v>
      </c>
      <c r="AP379" s="3">
        <f t="shared" si="199"/>
        <v>1</v>
      </c>
      <c r="AQ379" s="3">
        <f t="shared" si="200"/>
        <v>1</v>
      </c>
      <c r="AR379" s="3" t="str">
        <f t="shared" si="201"/>
        <v>-</v>
      </c>
      <c r="AS379" s="3" t="str">
        <f t="shared" si="202"/>
        <v>-</v>
      </c>
      <c r="AT379" s="3" t="str">
        <f t="shared" si="203"/>
        <v>-</v>
      </c>
      <c r="AU379" s="3" t="str">
        <f t="shared" si="204"/>
        <v>-</v>
      </c>
      <c r="AV379" s="3">
        <f t="shared" si="205"/>
        <v>12</v>
      </c>
      <c r="AW379" s="3">
        <f t="shared" si="206"/>
        <v>4</v>
      </c>
      <c r="AX379" s="3">
        <f t="shared" si="207"/>
        <v>7</v>
      </c>
      <c r="AY379" s="3">
        <f t="shared" si="208"/>
        <v>14</v>
      </c>
      <c r="AZ379" s="3">
        <f t="shared" si="209"/>
        <v>1</v>
      </c>
      <c r="BA379" s="3">
        <f>IF(ISERROR(LEN(VLOOKUP(A379,Seqs!A:E,2,FALSE))-AL379),"-",LEN(VLOOKUP(A379,Seqs!A:E,2,FALSE))-AL379)</f>
        <v>46</v>
      </c>
      <c r="BB379" s="16">
        <f t="shared" si="210"/>
        <v>26</v>
      </c>
      <c r="BC379" s="9" t="str">
        <f t="shared" si="211"/>
        <v>-</v>
      </c>
      <c r="BD379" s="3">
        <f t="shared" si="212"/>
        <v>26</v>
      </c>
      <c r="BE379" s="3">
        <f t="shared" si="213"/>
        <v>55</v>
      </c>
    </row>
    <row r="380" spans="1:58" s="3" customFormat="1" x14ac:dyDescent="0.2">
      <c r="A380" s="3" t="s">
        <v>33</v>
      </c>
      <c r="B380" s="3" t="str">
        <f>LOWER(VLOOKUP(A380,Xtal_Templ!B:C,2,FALSE))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216"/>
        <v>256</v>
      </c>
      <c r="G380" s="3">
        <v>259</v>
      </c>
      <c r="H380" s="3">
        <f t="shared" si="221"/>
        <v>260</v>
      </c>
      <c r="I380" s="3">
        <f t="shared" si="218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20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214"/>
        <v>1</v>
      </c>
      <c r="AO380" s="3" t="str">
        <f>IF(ISERROR(MATCH(A380,'SegEnds_Xtal_Prot#'!B:B, 0)), "NoXtal", "Xtal")</f>
        <v>Xtal</v>
      </c>
      <c r="AP380" s="3">
        <f t="shared" si="199"/>
        <v>1</v>
      </c>
      <c r="AQ380" s="3">
        <f t="shared" si="200"/>
        <v>1</v>
      </c>
      <c r="AR380" s="3" t="str">
        <f t="shared" si="201"/>
        <v>-</v>
      </c>
      <c r="AS380" s="3" t="str">
        <f t="shared" si="202"/>
        <v>-</v>
      </c>
      <c r="AT380" s="3" t="str">
        <f t="shared" si="203"/>
        <v>-</v>
      </c>
      <c r="AU380" s="3" t="str">
        <f t="shared" si="204"/>
        <v>-</v>
      </c>
      <c r="AV380" s="3">
        <f t="shared" si="205"/>
        <v>12</v>
      </c>
      <c r="AW380" s="3">
        <f t="shared" si="206"/>
        <v>4</v>
      </c>
      <c r="AX380" s="3">
        <f t="shared" si="207"/>
        <v>9</v>
      </c>
      <c r="AY380" s="3">
        <f t="shared" si="208"/>
        <v>18</v>
      </c>
      <c r="AZ380" s="3">
        <f t="shared" si="209"/>
        <v>1</v>
      </c>
      <c r="BA380" s="3">
        <f>IF(ISERROR(LEN(VLOOKUP(A380,Seqs!A:E,2,FALSE))-AL380),"-",LEN(VLOOKUP(A380,Seqs!A:E,2,FALSE))-AL380)</f>
        <v>234</v>
      </c>
      <c r="BB380" s="16">
        <f t="shared" si="210"/>
        <v>27</v>
      </c>
      <c r="BC380" s="9" t="str">
        <f t="shared" si="211"/>
        <v>-</v>
      </c>
      <c r="BD380" s="3">
        <f t="shared" si="212"/>
        <v>27</v>
      </c>
      <c r="BE380" s="3">
        <f t="shared" si="213"/>
        <v>57</v>
      </c>
    </row>
    <row r="381" spans="1:58" s="9" customFormat="1" x14ac:dyDescent="0.2">
      <c r="A381" s="131" t="s">
        <v>1510</v>
      </c>
      <c r="B381" s="9" t="str">
        <f>LOWER(VLOOKUP(A381,Xtal_Templ!B:C,2,FALSE))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LOWER(VLOOKUP(A382,Xtal_Templ!B:C,2,FALSE))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214"/>
        <v>1</v>
      </c>
      <c r="AO382" s="3" t="str">
        <f>IF(ISERROR(MATCH(A382,'SegEnds_Xtal_Prot#'!B:B, 0)), "NoXtal", "Xtal")</f>
        <v>NoXtal</v>
      </c>
      <c r="AP382" s="3" t="str">
        <f t="shared" si="199"/>
        <v>-</v>
      </c>
      <c r="AQ382" s="3" t="str">
        <f t="shared" si="200"/>
        <v>-</v>
      </c>
      <c r="AR382" s="3" t="str">
        <f t="shared" si="201"/>
        <v>-</v>
      </c>
      <c r="AS382" s="3" t="str">
        <f t="shared" si="202"/>
        <v>-</v>
      </c>
      <c r="AT382" s="3" t="str">
        <f t="shared" si="203"/>
        <v>-</v>
      </c>
      <c r="AU382" s="3" t="str">
        <f t="shared" si="204"/>
        <v>-</v>
      </c>
      <c r="AV382" s="3" t="str">
        <f t="shared" si="205"/>
        <v>-</v>
      </c>
      <c r="AW382" s="3" t="str">
        <f t="shared" si="206"/>
        <v>-</v>
      </c>
      <c r="AX382" s="3">
        <f t="shared" si="207"/>
        <v>47</v>
      </c>
      <c r="AY382" s="3">
        <f t="shared" si="208"/>
        <v>15</v>
      </c>
      <c r="AZ382" s="3">
        <f t="shared" si="209"/>
        <v>1</v>
      </c>
      <c r="BA382" s="3">
        <f>IF(ISERROR(LEN(VLOOKUP(A382,Seqs!A:E,2,FALSE))-AL382),"-",LEN(VLOOKUP(A382,Seqs!A:E,2,FALSE))-AL382)</f>
        <v>20</v>
      </c>
      <c r="BB382" s="16">
        <f t="shared" si="210"/>
        <v>18</v>
      </c>
      <c r="BC382" s="9" t="str">
        <f t="shared" si="211"/>
        <v>-</v>
      </c>
      <c r="BD382" s="3">
        <f t="shared" si="212"/>
        <v>18</v>
      </c>
      <c r="BE382" s="3">
        <f t="shared" si="213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LOWER(VLOOKUP(A383,Xtal_Templ!B:C,2,FALSE))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214"/>
        <v>1</v>
      </c>
      <c r="AO383" s="3" t="str">
        <f>IF(ISERROR(MATCH(A383,'SegEnds_Xtal_Prot#'!B:B, 0)), "NoXtal", "Xtal")</f>
        <v>NoXtal</v>
      </c>
      <c r="AP383" s="3" t="str">
        <f t="shared" si="199"/>
        <v>-</v>
      </c>
      <c r="AQ383" s="3" t="str">
        <f t="shared" si="200"/>
        <v>-</v>
      </c>
      <c r="AR383" s="3" t="str">
        <f t="shared" si="201"/>
        <v>-</v>
      </c>
      <c r="AS383" s="3" t="str">
        <f t="shared" si="202"/>
        <v>-</v>
      </c>
      <c r="AT383" s="3" t="str">
        <f t="shared" si="203"/>
        <v>-</v>
      </c>
      <c r="AU383" s="3" t="str">
        <f t="shared" si="204"/>
        <v>-</v>
      </c>
      <c r="AV383" s="3" t="str">
        <f t="shared" si="205"/>
        <v>-</v>
      </c>
      <c r="AW383" s="3" t="str">
        <f t="shared" si="206"/>
        <v>-</v>
      </c>
      <c r="AX383" s="3">
        <f t="shared" si="207"/>
        <v>5</v>
      </c>
      <c r="AY383" s="3">
        <f t="shared" si="208"/>
        <v>26</v>
      </c>
      <c r="AZ383" s="3">
        <f t="shared" si="209"/>
        <v>2</v>
      </c>
      <c r="BA383" s="3">
        <f>IF(ISERROR(LEN(VLOOKUP(A383,Seqs!A:E,2,FALSE))-AL383),"-",LEN(VLOOKUP(A383,Seqs!A:E,2,FALSE))-AL383)</f>
        <v>29</v>
      </c>
      <c r="BB383" s="16">
        <f t="shared" si="210"/>
        <v>49</v>
      </c>
      <c r="BC383" s="9" t="str">
        <f t="shared" si="211"/>
        <v>-</v>
      </c>
      <c r="BD383" s="3">
        <f t="shared" si="212"/>
        <v>49</v>
      </c>
      <c r="BE383" s="3">
        <f t="shared" si="213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LOWER(VLOOKUP(A384,Xtal_Templ!B:C,2,FALSE))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214"/>
        <v>1</v>
      </c>
      <c r="AO384" s="3" t="str">
        <f>IF(ISERROR(MATCH(A384,'SegEnds_Xtal_Prot#'!B:B, 0)), "NoXtal", "Xtal")</f>
        <v>NoXtal</v>
      </c>
      <c r="AP384" s="3" t="str">
        <f t="shared" si="199"/>
        <v>-</v>
      </c>
      <c r="AQ384" s="3" t="str">
        <f t="shared" si="200"/>
        <v>-</v>
      </c>
      <c r="AR384" s="3" t="str">
        <f t="shared" si="201"/>
        <v>-</v>
      </c>
      <c r="AS384" s="3" t="str">
        <f t="shared" si="202"/>
        <v>-</v>
      </c>
      <c r="AT384" s="3" t="str">
        <f t="shared" si="203"/>
        <v>-</v>
      </c>
      <c r="AU384" s="3" t="str">
        <f t="shared" si="204"/>
        <v>-</v>
      </c>
      <c r="AV384" s="3" t="str">
        <f t="shared" si="205"/>
        <v>-</v>
      </c>
      <c r="AW384" s="3" t="str">
        <f t="shared" si="206"/>
        <v>-</v>
      </c>
      <c r="AX384" s="3">
        <f t="shared" si="207"/>
        <v>26</v>
      </c>
      <c r="AY384" s="3">
        <f t="shared" si="208"/>
        <v>31</v>
      </c>
      <c r="AZ384" s="3">
        <f t="shared" si="209"/>
        <v>1</v>
      </c>
      <c r="BA384" s="3">
        <f>IF(ISERROR(LEN(VLOOKUP(A384,Seqs!A:E,2,FALSE))-AL384),"-",LEN(VLOOKUP(A384,Seqs!A:E,2,FALSE))-AL384)</f>
        <v>79</v>
      </c>
      <c r="BB384" s="16">
        <f t="shared" si="210"/>
        <v>36</v>
      </c>
      <c r="BC384" s="9" t="str">
        <f t="shared" si="211"/>
        <v>-</v>
      </c>
      <c r="BD384" s="3">
        <f t="shared" si="212"/>
        <v>36</v>
      </c>
      <c r="BE384" s="3">
        <f t="shared" si="213"/>
        <v>58</v>
      </c>
    </row>
    <row r="385" spans="1:58" s="3" customFormat="1" x14ac:dyDescent="0.2">
      <c r="A385" s="3" t="s">
        <v>486</v>
      </c>
      <c r="B385" s="3" t="str">
        <f>LOWER(VLOOKUP(A385,Xtal_Templ!B:C,2,FALSE))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214"/>
        <v>1</v>
      </c>
      <c r="AO385" s="3" t="str">
        <f>IF(ISERROR(MATCH(A385,'SegEnds_Xtal_Prot#'!B:B, 0)), "NoXtal", "Xtal")</f>
        <v>NoXtal</v>
      </c>
      <c r="AP385" s="3" t="str">
        <f t="shared" si="199"/>
        <v>-</v>
      </c>
      <c r="AQ385" s="3" t="str">
        <f t="shared" si="200"/>
        <v>-</v>
      </c>
      <c r="AR385" s="3" t="str">
        <f t="shared" si="201"/>
        <v>-</v>
      </c>
      <c r="AS385" s="3" t="str">
        <f t="shared" si="202"/>
        <v>-</v>
      </c>
      <c r="AT385" s="3" t="str">
        <f t="shared" si="203"/>
        <v>-</v>
      </c>
      <c r="AU385" s="3" t="str">
        <f t="shared" si="204"/>
        <v>-</v>
      </c>
      <c r="AV385" s="3" t="str">
        <f t="shared" si="205"/>
        <v>-</v>
      </c>
      <c r="AW385" s="3" t="str">
        <f t="shared" si="206"/>
        <v>-</v>
      </c>
      <c r="AX385" s="3">
        <f t="shared" si="207"/>
        <v>35</v>
      </c>
      <c r="AY385" s="3">
        <f t="shared" si="208"/>
        <v>27</v>
      </c>
      <c r="AZ385" s="3">
        <f t="shared" si="209"/>
        <v>4</v>
      </c>
      <c r="BA385" s="3">
        <f>IF(ISERROR(LEN(VLOOKUP(A385,Seqs!A:E,2,FALSE))-AL385),"-",LEN(VLOOKUP(A385,Seqs!A:E,2,FALSE))-AL385)</f>
        <v>34</v>
      </c>
      <c r="BB385" s="16">
        <f t="shared" si="210"/>
        <v>28</v>
      </c>
      <c r="BC385" s="9" t="str">
        <f t="shared" si="211"/>
        <v>-</v>
      </c>
      <c r="BD385" s="3">
        <f t="shared" si="212"/>
        <v>28</v>
      </c>
      <c r="BE385" s="3">
        <f t="shared" si="213"/>
        <v>67</v>
      </c>
    </row>
    <row r="386" spans="1:58" s="3" customFormat="1" x14ac:dyDescent="0.2">
      <c r="A386" s="3" t="s">
        <v>484</v>
      </c>
      <c r="B386" s="3" t="str">
        <f>LOWER(VLOOKUP(A386,Xtal_Templ!B:C,2,FALSE))</f>
        <v>oprk_human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214"/>
        <v>1</v>
      </c>
      <c r="AO386" s="3" t="str">
        <f>IF(ISERROR(MATCH(A386,'SegEnds_Xtal_Prot#'!B:B, 0)), "NoXtal", "Xtal")</f>
        <v>NoXtal</v>
      </c>
      <c r="AP386" s="3" t="str">
        <f t="shared" si="199"/>
        <v>-</v>
      </c>
      <c r="AQ386" s="3" t="str">
        <f t="shared" si="200"/>
        <v>-</v>
      </c>
      <c r="AR386" s="3" t="str">
        <f t="shared" si="201"/>
        <v>-</v>
      </c>
      <c r="AS386" s="3" t="str">
        <f t="shared" si="202"/>
        <v>-</v>
      </c>
      <c r="AT386" s="3" t="str">
        <f t="shared" si="203"/>
        <v>-</v>
      </c>
      <c r="AU386" s="3" t="str">
        <f t="shared" si="204"/>
        <v>-</v>
      </c>
      <c r="AV386" s="3" t="str">
        <f t="shared" si="205"/>
        <v>-</v>
      </c>
      <c r="AW386" s="3" t="str">
        <f t="shared" si="206"/>
        <v>-</v>
      </c>
      <c r="AX386" s="3">
        <f t="shared" si="207"/>
        <v>44</v>
      </c>
      <c r="AY386" s="3">
        <f t="shared" si="208"/>
        <v>18</v>
      </c>
      <c r="AZ386" s="3">
        <f t="shared" si="209"/>
        <v>5</v>
      </c>
      <c r="BA386" s="3">
        <f>IF(ISERROR(LEN(VLOOKUP(A386,Seqs!A:E,2,FALSE))-AL386),"-",LEN(VLOOKUP(A386,Seqs!A:E,2,FALSE))-AL386)</f>
        <v>33</v>
      </c>
      <c r="BB386" s="16">
        <f t="shared" si="210"/>
        <v>32</v>
      </c>
      <c r="BC386" s="9" t="str">
        <f t="shared" si="211"/>
        <v>-</v>
      </c>
      <c r="BD386" s="3">
        <f t="shared" si="212"/>
        <v>32</v>
      </c>
      <c r="BE386" s="3">
        <f t="shared" si="213"/>
        <v>76</v>
      </c>
    </row>
    <row r="387" spans="1:58" s="3" customFormat="1" x14ac:dyDescent="0.2">
      <c r="A387" s="3" t="s">
        <v>456</v>
      </c>
      <c r="B387" s="3" t="str">
        <f>LOWER(VLOOKUP(A387,Xtal_Templ!B:C,2,FALSE))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22">F387-1</f>
        <v>36</v>
      </c>
      <c r="F387" s="3">
        <f t="shared" ref="F387:F411" si="223">G387-2</f>
        <v>37</v>
      </c>
      <c r="G387" s="3">
        <v>39</v>
      </c>
      <c r="H387" s="3">
        <f t="shared" ref="H387:I411" si="224">G387+1</f>
        <v>40</v>
      </c>
      <c r="I387" s="3">
        <f t="shared" si="224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25">S387</f>
        <v>115</v>
      </c>
      <c r="S387" s="3">
        <v>115</v>
      </c>
      <c r="T387" s="100">
        <f t="shared" ref="T387:T411" si="226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214"/>
        <v>1</v>
      </c>
      <c r="AO387" s="3" t="str">
        <f>IF(ISERROR(MATCH(A387,'SegEnds_Xtal_Prot#'!B:B, 0)), "NoXtal", "Xtal")</f>
        <v>NoXtal</v>
      </c>
      <c r="AP387" s="3">
        <f t="shared" si="199"/>
        <v>1</v>
      </c>
      <c r="AQ387" s="3">
        <f t="shared" si="200"/>
        <v>1</v>
      </c>
      <c r="AR387" s="3" t="str">
        <f t="shared" si="201"/>
        <v>-</v>
      </c>
      <c r="AS387" s="3" t="str">
        <f t="shared" si="202"/>
        <v>-</v>
      </c>
      <c r="AT387" s="3">
        <f t="shared" si="203"/>
        <v>3</v>
      </c>
      <c r="AU387" s="3">
        <f t="shared" si="204"/>
        <v>1</v>
      </c>
      <c r="AV387" s="3" t="str">
        <f t="shared" si="205"/>
        <v>-</v>
      </c>
      <c r="AW387" s="3" t="str">
        <f t="shared" si="206"/>
        <v>-</v>
      </c>
      <c r="AX387" s="3">
        <f t="shared" si="207"/>
        <v>10</v>
      </c>
      <c r="AY387" s="3">
        <f t="shared" si="208"/>
        <v>6</v>
      </c>
      <c r="AZ387" s="3">
        <f t="shared" si="209"/>
        <v>1</v>
      </c>
      <c r="BA387" s="3">
        <f>IF(ISERROR(LEN(VLOOKUP(A387,Seqs!A:E,2,FALSE))-AL387),"-",LEN(VLOOKUP(A387,Seqs!A:E,2,FALSE))-AL387)</f>
        <v>13</v>
      </c>
      <c r="BB387" s="16">
        <f t="shared" si="210"/>
        <v>30</v>
      </c>
      <c r="BC387" s="9">
        <f t="shared" si="211"/>
        <v>20</v>
      </c>
      <c r="BD387" s="3">
        <f t="shared" si="212"/>
        <v>30</v>
      </c>
      <c r="BE387" s="3">
        <f t="shared" si="213"/>
        <v>53</v>
      </c>
      <c r="BF387" s="3">
        <f t="shared" ref="BF387:BF411" si="227">AH387-AE387</f>
        <v>36</v>
      </c>
    </row>
    <row r="388" spans="1:58" s="3" customFormat="1" x14ac:dyDescent="0.2">
      <c r="A388" s="3" t="s">
        <v>457</v>
      </c>
      <c r="B388" s="3" t="str">
        <f>LOWER(VLOOKUP(A388,Xtal_Templ!B:C,2,FALSE))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22"/>
        <v>36</v>
      </c>
      <c r="F388" s="3">
        <f t="shared" si="223"/>
        <v>37</v>
      </c>
      <c r="G388" s="3">
        <v>39</v>
      </c>
      <c r="H388" s="3">
        <f t="shared" si="224"/>
        <v>40</v>
      </c>
      <c r="I388" s="3">
        <f t="shared" si="224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25"/>
        <v>116</v>
      </c>
      <c r="S388" s="3">
        <v>116</v>
      </c>
      <c r="T388" s="100">
        <f t="shared" si="226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214"/>
        <v>1</v>
      </c>
      <c r="AO388" s="3" t="str">
        <f>IF(ISERROR(MATCH(A388,'SegEnds_Xtal_Prot#'!B:B, 0)), "NoXtal", "Xtal")</f>
        <v>NoXtal</v>
      </c>
      <c r="AP388" s="3">
        <f t="shared" si="199"/>
        <v>1</v>
      </c>
      <c r="AQ388" s="3">
        <f t="shared" si="200"/>
        <v>1</v>
      </c>
      <c r="AR388" s="3" t="str">
        <f t="shared" si="201"/>
        <v>-</v>
      </c>
      <c r="AS388" s="3" t="str">
        <f t="shared" si="202"/>
        <v>-</v>
      </c>
      <c r="AT388" s="3">
        <f t="shared" si="203"/>
        <v>3</v>
      </c>
      <c r="AU388" s="3">
        <f t="shared" si="204"/>
        <v>1</v>
      </c>
      <c r="AV388" s="3" t="str">
        <f t="shared" si="205"/>
        <v>-</v>
      </c>
      <c r="AW388" s="3" t="str">
        <f t="shared" si="206"/>
        <v>-</v>
      </c>
      <c r="AX388" s="3">
        <f t="shared" si="207"/>
        <v>10</v>
      </c>
      <c r="AY388" s="3">
        <f t="shared" si="208"/>
        <v>5</v>
      </c>
      <c r="AZ388" s="3">
        <f t="shared" si="209"/>
        <v>1</v>
      </c>
      <c r="BA388" s="3">
        <f>IF(ISERROR(LEN(VLOOKUP(A388,Seqs!A:E,2,FALSE))-AL388),"-",LEN(VLOOKUP(A388,Seqs!A:E,2,FALSE))-AL388)</f>
        <v>5</v>
      </c>
      <c r="BB388" s="16">
        <f t="shared" si="210"/>
        <v>31</v>
      </c>
      <c r="BC388" s="9">
        <f t="shared" si="211"/>
        <v>20</v>
      </c>
      <c r="BD388" s="3">
        <f t="shared" si="212"/>
        <v>31</v>
      </c>
      <c r="BE388" s="3">
        <f t="shared" si="213"/>
        <v>53</v>
      </c>
      <c r="BF388" s="3">
        <f t="shared" si="227"/>
        <v>35</v>
      </c>
    </row>
    <row r="389" spans="1:58" s="3" customFormat="1" x14ac:dyDescent="0.2">
      <c r="A389" s="3" t="s">
        <v>458</v>
      </c>
      <c r="B389" s="3" t="str">
        <f>LOWER(VLOOKUP(A389,Xtal_Templ!B:C,2,FALSE))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22"/>
        <v>36</v>
      </c>
      <c r="F389" s="3">
        <f t="shared" si="223"/>
        <v>37</v>
      </c>
      <c r="G389" s="3">
        <v>39</v>
      </c>
      <c r="H389" s="3">
        <f t="shared" si="224"/>
        <v>40</v>
      </c>
      <c r="I389" s="3">
        <f t="shared" si="224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25"/>
        <v>116</v>
      </c>
      <c r="S389" s="3">
        <v>116</v>
      </c>
      <c r="T389" s="100">
        <f t="shared" si="226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214"/>
        <v>1</v>
      </c>
      <c r="AO389" s="3" t="str">
        <f>IF(ISERROR(MATCH(A389,'SegEnds_Xtal_Prot#'!B:B, 0)), "NoXtal", "Xtal")</f>
        <v>NoXtal</v>
      </c>
      <c r="AP389" s="3">
        <f t="shared" si="199"/>
        <v>1</v>
      </c>
      <c r="AQ389" s="3">
        <f t="shared" si="200"/>
        <v>1</v>
      </c>
      <c r="AR389" s="3" t="str">
        <f t="shared" si="201"/>
        <v>-</v>
      </c>
      <c r="AS389" s="3" t="str">
        <f t="shared" si="202"/>
        <v>-</v>
      </c>
      <c r="AT389" s="3">
        <f t="shared" si="203"/>
        <v>3</v>
      </c>
      <c r="AU389" s="3">
        <f t="shared" si="204"/>
        <v>1</v>
      </c>
      <c r="AV389" s="3" t="str">
        <f t="shared" si="205"/>
        <v>-</v>
      </c>
      <c r="AW389" s="3" t="str">
        <f t="shared" si="206"/>
        <v>-</v>
      </c>
      <c r="AX389" s="3">
        <f t="shared" si="207"/>
        <v>9</v>
      </c>
      <c r="AY389" s="3">
        <f t="shared" si="208"/>
        <v>5</v>
      </c>
      <c r="AZ389" s="3">
        <f t="shared" si="209"/>
        <v>1</v>
      </c>
      <c r="BA389" s="3">
        <f>IF(ISERROR(LEN(VLOOKUP(A389,Seqs!A:E,2,FALSE))-AL389),"-",LEN(VLOOKUP(A389,Seqs!A:E,2,FALSE))-AL389)</f>
        <v>20</v>
      </c>
      <c r="BB389" s="16">
        <f t="shared" si="210"/>
        <v>31</v>
      </c>
      <c r="BC389" s="9">
        <f t="shared" si="211"/>
        <v>20</v>
      </c>
      <c r="BD389" s="3">
        <f t="shared" si="212"/>
        <v>31</v>
      </c>
      <c r="BE389" s="3">
        <f t="shared" si="213"/>
        <v>52</v>
      </c>
      <c r="BF389" s="3">
        <f t="shared" si="227"/>
        <v>35</v>
      </c>
    </row>
    <row r="390" spans="1:58" s="3" customFormat="1" x14ac:dyDescent="0.2">
      <c r="A390" s="3" t="s">
        <v>459</v>
      </c>
      <c r="B390" s="3" t="str">
        <f>LOWER(VLOOKUP(A390,Xtal_Templ!B:C,2,FALSE))</f>
        <v>cxcr4_human</v>
      </c>
      <c r="C390" s="3">
        <f>VLOOKUP($A390,'SegEnds_NonXtal_BW#'!$A:$Z,3,FALSE)+D390-50</f>
        <v>7</v>
      </c>
      <c r="D390" s="3">
        <v>25</v>
      </c>
      <c r="E390" s="3">
        <f t="shared" si="222"/>
        <v>37</v>
      </c>
      <c r="F390" s="3">
        <f t="shared" si="223"/>
        <v>38</v>
      </c>
      <c r="G390" s="3">
        <v>40</v>
      </c>
      <c r="H390" s="3">
        <f t="shared" si="224"/>
        <v>41</v>
      </c>
      <c r="I390" s="3">
        <f t="shared" si="224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25"/>
        <v>112</v>
      </c>
      <c r="S390" s="3">
        <v>112</v>
      </c>
      <c r="T390" s="100">
        <f t="shared" si="226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214"/>
        <v>1</v>
      </c>
      <c r="AO390" s="3" t="str">
        <f>IF(ISERROR(MATCH(A390,'SegEnds_Xtal_Prot#'!B:B, 0)), "NoXtal", "Xtal")</f>
        <v>NoXtal</v>
      </c>
      <c r="AP390" s="3">
        <f t="shared" ref="AP390:AP411" si="228">IF(ISERROR(F390-E390),"-",F390-E390)</f>
        <v>1</v>
      </c>
      <c r="AQ390" s="3">
        <f t="shared" ref="AQ390:AQ411" si="229">IF(ISERROR(I390-H390),"-",I390-H390)</f>
        <v>1</v>
      </c>
      <c r="AR390" s="3" t="str">
        <f t="shared" ref="AR390:AR411" si="230">IF(ISERROR(L390-K390),"-",L390-K390)</f>
        <v>-</v>
      </c>
      <c r="AS390" s="3" t="str">
        <f t="shared" ref="AS390:AS411" si="231">IF(ISERROR(O390-N390),"-",O390-N390)</f>
        <v>-</v>
      </c>
      <c r="AT390" s="3">
        <f t="shared" ref="AT390:AT411" si="232">IF(ISERROR(R390-Q390),"-",R390-Q390)</f>
        <v>3</v>
      </c>
      <c r="AU390" s="3">
        <f t="shared" ref="AU390:AU411" si="233">IF(ISERROR(U390-T390),"-",U390-T390)</f>
        <v>1</v>
      </c>
      <c r="AV390" s="3" t="str">
        <f t="shared" ref="AV390:AV411" si="234">IF(ISERROR(X390-W390),"-",X390-W390)</f>
        <v>-</v>
      </c>
      <c r="AW390" s="3" t="str">
        <f t="shared" ref="AW390:AW411" si="235">IF(ISERROR(AA390-Z390),"-",AA390-Z390)</f>
        <v>-</v>
      </c>
      <c r="AX390" s="3">
        <f t="shared" ref="AX390:AX411" si="236">IF(ISERROR(AD390-AC390),"-",AD390-AC390)</f>
        <v>7</v>
      </c>
      <c r="AY390" s="3">
        <f t="shared" ref="AY390:AY411" si="237">IF(ISERROR(AG390-AF390),"-",AG390-AF390)</f>
        <v>5</v>
      </c>
      <c r="AZ390" s="3">
        <f t="shared" ref="AZ390:AZ411" si="238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39">J390-D390</f>
        <v>31</v>
      </c>
      <c r="BC390" s="9">
        <f t="shared" ref="BC390:BC411" si="240">IF(ISERROR(V390-S390),"-",V390-S390)</f>
        <v>20</v>
      </c>
      <c r="BD390" s="3">
        <f t="shared" ref="BD390:BD411" si="241">J390-D390</f>
        <v>31</v>
      </c>
      <c r="BE390" s="3">
        <f t="shared" ref="BE390:BE411" si="242">AE390-AB390</f>
        <v>50</v>
      </c>
      <c r="BF390" s="3">
        <f t="shared" si="227"/>
        <v>35</v>
      </c>
    </row>
    <row r="391" spans="1:58" s="3" customFormat="1" x14ac:dyDescent="0.2">
      <c r="A391" s="3" t="s">
        <v>460</v>
      </c>
      <c r="B391" s="3" t="str">
        <f>LOWER(VLOOKUP(A391,Xtal_Templ!B:C,2,FALSE))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22"/>
        <v>36</v>
      </c>
      <c r="F391" s="3">
        <f t="shared" si="223"/>
        <v>37</v>
      </c>
      <c r="G391" s="3">
        <v>39</v>
      </c>
      <c r="H391" s="3">
        <f t="shared" si="224"/>
        <v>40</v>
      </c>
      <c r="I391" s="3">
        <f t="shared" si="224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25"/>
        <v>115</v>
      </c>
      <c r="S391" s="3">
        <v>115</v>
      </c>
      <c r="T391" s="100">
        <f t="shared" si="226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43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28"/>
        <v>1</v>
      </c>
      <c r="AQ391" s="3">
        <f t="shared" si="229"/>
        <v>1</v>
      </c>
      <c r="AR391" s="3" t="str">
        <f t="shared" si="230"/>
        <v>-</v>
      </c>
      <c r="AS391" s="3" t="str">
        <f t="shared" si="231"/>
        <v>-</v>
      </c>
      <c r="AT391" s="3">
        <f t="shared" si="232"/>
        <v>3</v>
      </c>
      <c r="AU391" s="3">
        <f t="shared" si="233"/>
        <v>1</v>
      </c>
      <c r="AV391" s="3" t="str">
        <f t="shared" si="234"/>
        <v>-</v>
      </c>
      <c r="AW391" s="3" t="str">
        <f t="shared" si="235"/>
        <v>-</v>
      </c>
      <c r="AX391" s="3">
        <f t="shared" si="236"/>
        <v>10</v>
      </c>
      <c r="AY391" s="3">
        <f t="shared" si="237"/>
        <v>6</v>
      </c>
      <c r="AZ391" s="3">
        <f t="shared" si="238"/>
        <v>1</v>
      </c>
      <c r="BA391" s="3">
        <f>IF(ISERROR(LEN(VLOOKUP(A391,Seqs!A:E,2,FALSE))-AL391),"-",LEN(VLOOKUP(A391,Seqs!A:E,2,FALSE))-AL391)</f>
        <v>3</v>
      </c>
      <c r="BB391" s="16">
        <f t="shared" si="239"/>
        <v>31</v>
      </c>
      <c r="BC391" s="9">
        <f t="shared" si="240"/>
        <v>20</v>
      </c>
      <c r="BD391" s="3">
        <f t="shared" si="241"/>
        <v>31</v>
      </c>
      <c r="BE391" s="3">
        <f t="shared" si="242"/>
        <v>53</v>
      </c>
      <c r="BF391" s="3">
        <f t="shared" si="227"/>
        <v>36</v>
      </c>
    </row>
    <row r="392" spans="1:58" s="3" customFormat="1" x14ac:dyDescent="0.2">
      <c r="A392" s="3" t="s">
        <v>461</v>
      </c>
      <c r="B392" s="3" t="str">
        <f>LOWER(VLOOKUP(A392,Xtal_Templ!B:C,2,FALSE))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22"/>
        <v>36</v>
      </c>
      <c r="F392" s="3">
        <f t="shared" si="223"/>
        <v>37</v>
      </c>
      <c r="G392" s="3">
        <v>39</v>
      </c>
      <c r="H392" s="3">
        <f t="shared" si="224"/>
        <v>40</v>
      </c>
      <c r="I392" s="3">
        <f t="shared" si="224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25"/>
        <v>115</v>
      </c>
      <c r="S392" s="3">
        <v>115</v>
      </c>
      <c r="T392" s="100">
        <f t="shared" si="226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>
        <f t="shared" si="228"/>
        <v>1</v>
      </c>
      <c r="AQ392" s="3">
        <f t="shared" si="229"/>
        <v>1</v>
      </c>
      <c r="AR392" s="3" t="str">
        <f t="shared" si="230"/>
        <v>-</v>
      </c>
      <c r="AS392" s="3" t="str">
        <f t="shared" si="231"/>
        <v>-</v>
      </c>
      <c r="AT392" s="3">
        <f t="shared" si="232"/>
        <v>3</v>
      </c>
      <c r="AU392" s="3">
        <f t="shared" si="233"/>
        <v>1</v>
      </c>
      <c r="AV392" s="3" t="str">
        <f t="shared" si="234"/>
        <v>-</v>
      </c>
      <c r="AW392" s="3" t="str">
        <f t="shared" si="235"/>
        <v>-</v>
      </c>
      <c r="AX392" s="3">
        <f t="shared" si="236"/>
        <v>10</v>
      </c>
      <c r="AY392" s="3">
        <f t="shared" si="237"/>
        <v>6</v>
      </c>
      <c r="AZ392" s="3">
        <f t="shared" si="238"/>
        <v>1</v>
      </c>
      <c r="BA392" s="3">
        <f>IF(ISERROR(LEN(VLOOKUP(A392,Seqs!A:E,2,FALSE))-AL392),"-",LEN(VLOOKUP(A392,Seqs!A:E,2,FALSE))-AL392)</f>
        <v>13</v>
      </c>
      <c r="BB392" s="16">
        <f t="shared" si="239"/>
        <v>31</v>
      </c>
      <c r="BC392" s="9">
        <f t="shared" si="240"/>
        <v>20</v>
      </c>
      <c r="BD392" s="3">
        <f t="shared" si="241"/>
        <v>31</v>
      </c>
      <c r="BE392" s="3">
        <f t="shared" si="242"/>
        <v>53</v>
      </c>
      <c r="BF392" s="3">
        <f t="shared" si="227"/>
        <v>36</v>
      </c>
    </row>
    <row r="393" spans="1:58" s="3" customFormat="1" x14ac:dyDescent="0.2">
      <c r="A393" s="3" t="s">
        <v>462</v>
      </c>
      <c r="B393" s="3" t="str">
        <f>LOWER(VLOOKUP(A393,Xtal_Templ!B:C,2,FALSE))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22"/>
        <v>36</v>
      </c>
      <c r="F393" s="3">
        <f t="shared" si="223"/>
        <v>37</v>
      </c>
      <c r="G393" s="3">
        <v>39</v>
      </c>
      <c r="H393" s="3">
        <f t="shared" si="224"/>
        <v>40</v>
      </c>
      <c r="I393" s="3">
        <f t="shared" si="224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25"/>
        <v>115</v>
      </c>
      <c r="S393" s="3">
        <v>115</v>
      </c>
      <c r="T393" s="100">
        <f t="shared" si="226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23</v>
      </c>
      <c r="BB393" s="16">
        <f t="shared" si="239"/>
        <v>31</v>
      </c>
      <c r="BC393" s="9">
        <f t="shared" si="240"/>
        <v>20</v>
      </c>
      <c r="BD393" s="3">
        <f t="shared" si="241"/>
        <v>31</v>
      </c>
      <c r="BE393" s="3">
        <f t="shared" si="242"/>
        <v>53</v>
      </c>
      <c r="BF393" s="3">
        <f t="shared" si="227"/>
        <v>36</v>
      </c>
    </row>
    <row r="394" spans="1:58" s="3" customFormat="1" x14ac:dyDescent="0.2">
      <c r="A394" s="3" t="s">
        <v>463</v>
      </c>
      <c r="B394" s="3" t="str">
        <f>LOWER(VLOOKUP(A394,Xtal_Templ!B:C,2,FALSE))</f>
        <v>agtr1_human</v>
      </c>
      <c r="C394" s="3">
        <f>VLOOKUP($A394,'SegEnds_NonXtal_BW#'!$A:$Z,3,FALSE)+D394-50</f>
        <v>6</v>
      </c>
      <c r="D394" s="3">
        <v>24</v>
      </c>
      <c r="E394" s="3">
        <f t="shared" si="222"/>
        <v>36</v>
      </c>
      <c r="F394" s="3">
        <f t="shared" si="223"/>
        <v>37</v>
      </c>
      <c r="G394" s="3">
        <v>39</v>
      </c>
      <c r="H394" s="3">
        <f t="shared" si="224"/>
        <v>40</v>
      </c>
      <c r="I394" s="3">
        <f t="shared" si="224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25"/>
        <v>115</v>
      </c>
      <c r="S394" s="3">
        <v>115</v>
      </c>
      <c r="T394" s="100">
        <f t="shared" si="226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149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6</v>
      </c>
      <c r="AZ394" s="3">
        <f t="shared" si="238"/>
        <v>1</v>
      </c>
      <c r="BA394" s="3">
        <f>IF(ISERROR(LEN(VLOOKUP(A394,Seqs!A:E,2,FALSE))-AL394),"-",LEN(VLOOKUP(A394,Seqs!A:E,2,FALSE))-AL394)</f>
        <v>13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27"/>
        <v>36</v>
      </c>
    </row>
    <row r="395" spans="1:58" s="3" customFormat="1" x14ac:dyDescent="0.2">
      <c r="A395" s="3" t="s">
        <v>464</v>
      </c>
      <c r="B395" s="3" t="str">
        <f>LOWER(VLOOKUP(A395,Xtal_Templ!B:C,2,FALSE))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22"/>
        <v>45</v>
      </c>
      <c r="F395" s="3">
        <f t="shared" si="223"/>
        <v>46</v>
      </c>
      <c r="G395" s="3">
        <v>48</v>
      </c>
      <c r="H395" s="3">
        <f t="shared" si="224"/>
        <v>49</v>
      </c>
      <c r="I395" s="3">
        <f t="shared" si="224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25"/>
        <v>126</v>
      </c>
      <c r="S395" s="3">
        <v>126</v>
      </c>
      <c r="T395" s="100">
        <f t="shared" si="226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10</v>
      </c>
      <c r="AY395" s="3">
        <f t="shared" si="237"/>
        <v>6</v>
      </c>
      <c r="AZ395" s="3">
        <f t="shared" si="238"/>
        <v>1</v>
      </c>
      <c r="BA395" s="3">
        <f>IF(ISERROR(LEN(VLOOKUP(A395,Seqs!A:E,2,FALSE))-AL395),"-",LEN(VLOOKUP(A395,Seqs!A:E,2,FALSE))-AL395)</f>
        <v>19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53</v>
      </c>
      <c r="BF395" s="3">
        <f t="shared" si="227"/>
        <v>36</v>
      </c>
    </row>
    <row r="396" spans="1:58" s="3" customFormat="1" x14ac:dyDescent="0.2">
      <c r="A396" s="3" t="s">
        <v>465</v>
      </c>
      <c r="B396" s="3" t="str">
        <f>LOWER(VLOOKUP(A396,Xtal_Templ!B:C,2,FALSE))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22"/>
        <v>64</v>
      </c>
      <c r="F396" s="3">
        <f t="shared" si="223"/>
        <v>65</v>
      </c>
      <c r="G396" s="3">
        <v>67</v>
      </c>
      <c r="H396" s="3">
        <f t="shared" si="224"/>
        <v>68</v>
      </c>
      <c r="I396" s="3">
        <f t="shared" si="224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25"/>
        <v>144</v>
      </c>
      <c r="S396" s="3">
        <v>144</v>
      </c>
      <c r="T396" s="100">
        <f t="shared" si="226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si="228"/>
        <v>1</v>
      </c>
      <c r="AQ396" s="3">
        <f t="shared" si="229"/>
        <v>1</v>
      </c>
      <c r="AR396" s="3" t="str">
        <f t="shared" si="230"/>
        <v>-</v>
      </c>
      <c r="AS396" s="3" t="str">
        <f t="shared" si="231"/>
        <v>-</v>
      </c>
      <c r="AT396" s="3">
        <f t="shared" si="232"/>
        <v>3</v>
      </c>
      <c r="AU396" s="3">
        <f t="shared" si="233"/>
        <v>1</v>
      </c>
      <c r="AV396" s="3" t="str">
        <f t="shared" si="234"/>
        <v>-</v>
      </c>
      <c r="AW396" s="3" t="str">
        <f t="shared" si="235"/>
        <v>-</v>
      </c>
      <c r="AX396" s="3">
        <f t="shared" si="236"/>
        <v>10</v>
      </c>
      <c r="AY396" s="3">
        <f t="shared" si="237"/>
        <v>5</v>
      </c>
      <c r="AZ396" s="3">
        <f t="shared" si="238"/>
        <v>1</v>
      </c>
      <c r="BA396" s="3">
        <f>IF(ISERROR(LEN(VLOOKUP(A396,Seqs!A:E,2,FALSE))-AL396),"-",LEN(VLOOKUP(A396,Seqs!A:E,2,FALSE))-AL396)</f>
        <v>10</v>
      </c>
      <c r="BB396" s="16">
        <f t="shared" si="239"/>
        <v>31</v>
      </c>
      <c r="BC396" s="9">
        <f t="shared" si="240"/>
        <v>20</v>
      </c>
      <c r="BD396" s="3">
        <f t="shared" si="241"/>
        <v>31</v>
      </c>
      <c r="BE396" s="3">
        <f t="shared" si="242"/>
        <v>53</v>
      </c>
      <c r="BF396" s="3">
        <f t="shared" si="227"/>
        <v>35</v>
      </c>
    </row>
    <row r="397" spans="1:58" s="3" customFormat="1" x14ac:dyDescent="0.2">
      <c r="A397" s="3" t="s">
        <v>466</v>
      </c>
      <c r="B397" s="3" t="str">
        <f>LOWER(VLOOKUP(A397,Xtal_Templ!B:C,2,FALSE))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22"/>
        <v>48</v>
      </c>
      <c r="F397" s="3">
        <f t="shared" si="223"/>
        <v>49</v>
      </c>
      <c r="G397" s="3">
        <v>51</v>
      </c>
      <c r="H397" s="3">
        <f t="shared" si="224"/>
        <v>52</v>
      </c>
      <c r="I397" s="3">
        <f t="shared" si="224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25"/>
        <v>128</v>
      </c>
      <c r="S397" s="3">
        <v>128</v>
      </c>
      <c r="T397" s="100">
        <f t="shared" si="226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43"/>
        <v>1</v>
      </c>
      <c r="AO397" s="3" t="str">
        <f>IF(ISERROR(MATCH(A397,'SegEnds_Xtal_Prot#'!B:B, 0)), "NoXtal", "Xtal")</f>
        <v>NoXtal</v>
      </c>
      <c r="AP397" s="3">
        <f t="shared" si="228"/>
        <v>1</v>
      </c>
      <c r="AQ397" s="3">
        <f t="shared" si="229"/>
        <v>1</v>
      </c>
      <c r="AR397" s="3" t="str">
        <f t="shared" si="230"/>
        <v>-</v>
      </c>
      <c r="AS397" s="3" t="str">
        <f t="shared" si="231"/>
        <v>-</v>
      </c>
      <c r="AT397" s="3">
        <f t="shared" si="232"/>
        <v>3</v>
      </c>
      <c r="AU397" s="3">
        <f t="shared" si="233"/>
        <v>1</v>
      </c>
      <c r="AV397" s="3" t="str">
        <f t="shared" si="234"/>
        <v>-</v>
      </c>
      <c r="AW397" s="3" t="str">
        <f t="shared" si="235"/>
        <v>-</v>
      </c>
      <c r="AX397" s="3">
        <f t="shared" si="236"/>
        <v>10</v>
      </c>
      <c r="AY397" s="3">
        <f t="shared" si="237"/>
        <v>5</v>
      </c>
      <c r="AZ397" s="3">
        <f t="shared" si="238"/>
        <v>1</v>
      </c>
      <c r="BA397" s="3">
        <f>IF(ISERROR(LEN(VLOOKUP(A397,Seqs!A:E,2,FALSE))-AL397),"-",LEN(VLOOKUP(A397,Seqs!A:E,2,FALSE))-AL397)</f>
        <v>10</v>
      </c>
      <c r="BB397" s="16">
        <f t="shared" si="239"/>
        <v>31</v>
      </c>
      <c r="BC397" s="9">
        <f t="shared" si="240"/>
        <v>20</v>
      </c>
      <c r="BD397" s="3">
        <f t="shared" si="241"/>
        <v>31</v>
      </c>
      <c r="BE397" s="3">
        <f t="shared" si="242"/>
        <v>53</v>
      </c>
      <c r="BF397" s="3">
        <f t="shared" si="227"/>
        <v>35</v>
      </c>
    </row>
    <row r="398" spans="1:58" s="3" customFormat="1" x14ac:dyDescent="0.2">
      <c r="A398" s="3" t="s">
        <v>467</v>
      </c>
      <c r="B398" s="3" t="str">
        <f>LOWER(VLOOKUP(A398,Xtal_Templ!B:C,2,FALSE))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22"/>
        <v>36</v>
      </c>
      <c r="F398" s="3">
        <f t="shared" si="223"/>
        <v>37</v>
      </c>
      <c r="G398" s="3">
        <v>39</v>
      </c>
      <c r="H398" s="3">
        <f t="shared" si="224"/>
        <v>40</v>
      </c>
      <c r="I398" s="3">
        <f t="shared" si="224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25"/>
        <v>116</v>
      </c>
      <c r="S398" s="3">
        <v>116</v>
      </c>
      <c r="T398" s="100">
        <f t="shared" si="226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43"/>
        <v>1</v>
      </c>
      <c r="AO398" s="3" t="str">
        <f>IF(ISERROR(MATCH(A398,'SegEnds_Xtal_Prot#'!B:B, 0)), "NoXtal", "Xtal")</f>
        <v>NoXtal</v>
      </c>
      <c r="AP398" s="3">
        <f t="shared" si="228"/>
        <v>1</v>
      </c>
      <c r="AQ398" s="3">
        <f t="shared" si="229"/>
        <v>1</v>
      </c>
      <c r="AR398" s="3" t="str">
        <f t="shared" si="230"/>
        <v>-</v>
      </c>
      <c r="AS398" s="3" t="str">
        <f t="shared" si="231"/>
        <v>-</v>
      </c>
      <c r="AT398" s="3">
        <f t="shared" si="232"/>
        <v>3</v>
      </c>
      <c r="AU398" s="3">
        <f t="shared" si="233"/>
        <v>1</v>
      </c>
      <c r="AV398" s="3" t="str">
        <f t="shared" si="234"/>
        <v>-</v>
      </c>
      <c r="AW398" s="3" t="str">
        <f t="shared" si="235"/>
        <v>-</v>
      </c>
      <c r="AX398" s="3">
        <f t="shared" si="236"/>
        <v>10</v>
      </c>
      <c r="AY398" s="3">
        <f t="shared" si="237"/>
        <v>5</v>
      </c>
      <c r="AZ398" s="3">
        <f t="shared" si="238"/>
        <v>1</v>
      </c>
      <c r="BA398" s="3">
        <f>IF(ISERROR(LEN(VLOOKUP(A398,Seqs!A:E,2,FALSE))-AL398),"-",LEN(VLOOKUP(A398,Seqs!A:E,2,FALSE))-AL398)</f>
        <v>7</v>
      </c>
      <c r="BB398" s="16">
        <f t="shared" si="239"/>
        <v>31</v>
      </c>
      <c r="BC398" s="9">
        <f t="shared" si="240"/>
        <v>20</v>
      </c>
      <c r="BD398" s="3">
        <f t="shared" si="241"/>
        <v>31</v>
      </c>
      <c r="BE398" s="3">
        <f t="shared" si="242"/>
        <v>53</v>
      </c>
      <c r="BF398" s="3">
        <f t="shared" si="227"/>
        <v>35</v>
      </c>
    </row>
    <row r="399" spans="1:58" s="3" customFormat="1" x14ac:dyDescent="0.2">
      <c r="A399" s="3" t="s">
        <v>468</v>
      </c>
      <c r="B399" s="3" t="str">
        <f>LOWER(VLOOKUP(A399,Xtal_Templ!B:C,2,FALSE))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22"/>
        <v>36</v>
      </c>
      <c r="F399" s="3">
        <f t="shared" si="223"/>
        <v>37</v>
      </c>
      <c r="G399" s="3">
        <v>39</v>
      </c>
      <c r="H399" s="3">
        <f t="shared" si="224"/>
        <v>40</v>
      </c>
      <c r="I399" s="3">
        <f t="shared" si="224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25"/>
        <v>116</v>
      </c>
      <c r="S399" s="3">
        <v>116</v>
      </c>
      <c r="T399" s="100">
        <f t="shared" si="226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43"/>
        <v>1</v>
      </c>
      <c r="AO399" s="3" t="str">
        <f>IF(ISERROR(MATCH(A399,'SegEnds_Xtal_Prot#'!B:B, 0)), "NoXtal", "Xtal")</f>
        <v>NoXtal</v>
      </c>
      <c r="AP399" s="3">
        <f t="shared" si="228"/>
        <v>1</v>
      </c>
      <c r="AQ399" s="3">
        <f t="shared" si="229"/>
        <v>1</v>
      </c>
      <c r="AR399" s="3" t="str">
        <f t="shared" si="230"/>
        <v>-</v>
      </c>
      <c r="AS399" s="3" t="str">
        <f t="shared" si="231"/>
        <v>-</v>
      </c>
      <c r="AT399" s="3">
        <f t="shared" si="232"/>
        <v>3</v>
      </c>
      <c r="AU399" s="3">
        <f t="shared" si="233"/>
        <v>1</v>
      </c>
      <c r="AV399" s="3" t="str">
        <f t="shared" si="234"/>
        <v>-</v>
      </c>
      <c r="AW399" s="3" t="str">
        <f t="shared" si="235"/>
        <v>-</v>
      </c>
      <c r="AX399" s="3">
        <f t="shared" si="236"/>
        <v>10</v>
      </c>
      <c r="AY399" s="3">
        <f t="shared" si="237"/>
        <v>6</v>
      </c>
      <c r="AZ399" s="3">
        <f t="shared" si="238"/>
        <v>1</v>
      </c>
      <c r="BA399" s="3">
        <f>IF(ISERROR(LEN(VLOOKUP(A399,Seqs!A:E,2,FALSE))-AL399),"-",LEN(VLOOKUP(A399,Seqs!A:E,2,FALSE))-AL399)</f>
        <v>13</v>
      </c>
      <c r="BB399" s="16">
        <f t="shared" si="239"/>
        <v>31</v>
      </c>
      <c r="BC399" s="9">
        <f t="shared" si="240"/>
        <v>20</v>
      </c>
      <c r="BD399" s="3">
        <f t="shared" si="241"/>
        <v>31</v>
      </c>
      <c r="BE399" s="3">
        <f t="shared" si="242"/>
        <v>53</v>
      </c>
      <c r="BF399" s="3">
        <f t="shared" si="227"/>
        <v>36</v>
      </c>
    </row>
    <row r="400" spans="1:58" s="3" customFormat="1" x14ac:dyDescent="0.2">
      <c r="A400" s="3" t="s">
        <v>469</v>
      </c>
      <c r="B400" s="3" t="str">
        <f>LOWER(VLOOKUP(A400,Xtal_Templ!B:C,2,FALSE))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22"/>
        <v>36</v>
      </c>
      <c r="F400" s="3">
        <f t="shared" si="223"/>
        <v>37</v>
      </c>
      <c r="G400" s="3">
        <v>39</v>
      </c>
      <c r="H400" s="3">
        <f t="shared" si="224"/>
        <v>40</v>
      </c>
      <c r="I400" s="3">
        <f t="shared" si="224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25"/>
        <v>115</v>
      </c>
      <c r="S400" s="3">
        <v>115</v>
      </c>
      <c r="T400" s="100">
        <f t="shared" si="226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43"/>
        <v>1</v>
      </c>
      <c r="AO400" s="3" t="str">
        <f>IF(ISERROR(MATCH(A400,'SegEnds_Xtal_Prot#'!B:B, 0)), "NoXtal", "Xtal")</f>
        <v>NoXtal</v>
      </c>
      <c r="AP400" s="3">
        <f t="shared" si="228"/>
        <v>1</v>
      </c>
      <c r="AQ400" s="3">
        <f t="shared" si="229"/>
        <v>1</v>
      </c>
      <c r="AR400" s="3" t="str">
        <f t="shared" si="230"/>
        <v>-</v>
      </c>
      <c r="AS400" s="3" t="str">
        <f t="shared" si="231"/>
        <v>-</v>
      </c>
      <c r="AT400" s="3">
        <f t="shared" si="232"/>
        <v>3</v>
      </c>
      <c r="AU400" s="3">
        <f t="shared" si="233"/>
        <v>1</v>
      </c>
      <c r="AV400" s="3" t="str">
        <f t="shared" si="234"/>
        <v>-</v>
      </c>
      <c r="AW400" s="3" t="str">
        <f t="shared" si="235"/>
        <v>-</v>
      </c>
      <c r="AX400" s="3">
        <f t="shared" si="236"/>
        <v>10</v>
      </c>
      <c r="AY400" s="3">
        <f t="shared" si="237"/>
        <v>6</v>
      </c>
      <c r="AZ400" s="3">
        <f t="shared" si="238"/>
        <v>1</v>
      </c>
      <c r="BA400" s="3">
        <f>IF(ISERROR(LEN(VLOOKUP(A400,Seqs!A:E,2,FALSE))-AL400),"-",LEN(VLOOKUP(A400,Seqs!A:E,2,FALSE))-AL400)</f>
        <v>13</v>
      </c>
      <c r="BB400" s="16">
        <f t="shared" si="239"/>
        <v>31</v>
      </c>
      <c r="BC400" s="9">
        <f t="shared" si="240"/>
        <v>20</v>
      </c>
      <c r="BD400" s="3">
        <f t="shared" si="241"/>
        <v>31</v>
      </c>
      <c r="BE400" s="3">
        <f t="shared" si="242"/>
        <v>53</v>
      </c>
      <c r="BF400" s="3">
        <f t="shared" si="227"/>
        <v>36</v>
      </c>
    </row>
    <row r="401" spans="1:58" s="3" customFormat="1" x14ac:dyDescent="0.2">
      <c r="A401" s="3" t="s">
        <v>930</v>
      </c>
      <c r="B401" s="3" t="str">
        <f>LOWER(VLOOKUP(A401,Xtal_Templ!B:C,2,FALSE))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22"/>
        <v>36</v>
      </c>
      <c r="F401" s="3">
        <f t="shared" si="223"/>
        <v>37</v>
      </c>
      <c r="G401" s="3">
        <v>39</v>
      </c>
      <c r="H401" s="3">
        <f t="shared" si="224"/>
        <v>40</v>
      </c>
      <c r="I401" s="3">
        <f t="shared" si="224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25"/>
        <v>115</v>
      </c>
      <c r="S401" s="3">
        <v>115</v>
      </c>
      <c r="T401" s="100">
        <f t="shared" si="226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43"/>
        <v>1</v>
      </c>
      <c r="AO401" s="3" t="str">
        <f>IF(ISERROR(MATCH(A401,'SegEnds_Xtal_Prot#'!B:B, 0)), "NoXtal", "Xtal")</f>
        <v>NoXtal</v>
      </c>
      <c r="AP401" s="3">
        <f t="shared" si="228"/>
        <v>1</v>
      </c>
      <c r="AQ401" s="3">
        <f t="shared" si="229"/>
        <v>1</v>
      </c>
      <c r="AR401" s="3" t="str">
        <f t="shared" si="230"/>
        <v>-</v>
      </c>
      <c r="AS401" s="3" t="str">
        <f t="shared" si="231"/>
        <v>-</v>
      </c>
      <c r="AT401" s="3">
        <f t="shared" si="232"/>
        <v>3</v>
      </c>
      <c r="AU401" s="3">
        <f t="shared" si="233"/>
        <v>1</v>
      </c>
      <c r="AV401" s="3" t="str">
        <f t="shared" si="234"/>
        <v>-</v>
      </c>
      <c r="AW401" s="3" t="str">
        <f t="shared" si="235"/>
        <v>-</v>
      </c>
      <c r="AX401" s="3">
        <f t="shared" si="236"/>
        <v>13</v>
      </c>
      <c r="AY401" s="3">
        <f t="shared" si="237"/>
        <v>5</v>
      </c>
      <c r="AZ401" s="3">
        <f t="shared" si="238"/>
        <v>1</v>
      </c>
      <c r="BA401" s="3">
        <f>IF(ISERROR(LEN(VLOOKUP(A401,Seqs!A:E,2,FALSE))-AL401),"-",LEN(VLOOKUP(A401,Seqs!A:E,2,FALSE))-AL401)</f>
        <v>3</v>
      </c>
      <c r="BB401" s="16">
        <f t="shared" si="239"/>
        <v>31</v>
      </c>
      <c r="BC401" s="9">
        <f t="shared" si="240"/>
        <v>20</v>
      </c>
      <c r="BD401" s="3">
        <f t="shared" si="241"/>
        <v>31</v>
      </c>
      <c r="BE401" s="3">
        <f t="shared" si="242"/>
        <v>56</v>
      </c>
      <c r="BF401" s="3">
        <f t="shared" si="227"/>
        <v>33</v>
      </c>
    </row>
    <row r="402" spans="1:58" s="3" customFormat="1" x14ac:dyDescent="0.2">
      <c r="A402" s="3" t="s">
        <v>470</v>
      </c>
      <c r="B402" s="3" t="str">
        <f>LOWER(VLOOKUP(A402,Xtal_Templ!B:C,2,FALSE))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22"/>
        <v>36</v>
      </c>
      <c r="F402" s="3">
        <f t="shared" si="223"/>
        <v>37</v>
      </c>
      <c r="G402" s="3">
        <v>39</v>
      </c>
      <c r="H402" s="3">
        <f t="shared" si="224"/>
        <v>40</v>
      </c>
      <c r="I402" s="3">
        <f t="shared" si="224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25"/>
        <v>115</v>
      </c>
      <c r="S402" s="3">
        <v>115</v>
      </c>
      <c r="T402" s="100">
        <f t="shared" si="226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43"/>
        <v>1</v>
      </c>
      <c r="AO402" s="3" t="str">
        <f>IF(ISERROR(MATCH(A402,'SegEnds_Xtal_Prot#'!B:B, 0)), "NoXtal", "Xtal")</f>
        <v>NoXtal</v>
      </c>
      <c r="AP402" s="3">
        <f t="shared" si="228"/>
        <v>1</v>
      </c>
      <c r="AQ402" s="3">
        <f t="shared" si="229"/>
        <v>1</v>
      </c>
      <c r="AR402" s="3" t="str">
        <f t="shared" si="230"/>
        <v>-</v>
      </c>
      <c r="AS402" s="3" t="str">
        <f t="shared" si="231"/>
        <v>-</v>
      </c>
      <c r="AT402" s="3">
        <f t="shared" si="232"/>
        <v>3</v>
      </c>
      <c r="AU402" s="3">
        <f t="shared" si="233"/>
        <v>1</v>
      </c>
      <c r="AV402" s="3" t="str">
        <f t="shared" si="234"/>
        <v>-</v>
      </c>
      <c r="AW402" s="3" t="str">
        <f t="shared" si="235"/>
        <v>-</v>
      </c>
      <c r="AX402" s="3">
        <f t="shared" si="236"/>
        <v>10</v>
      </c>
      <c r="AY402" s="3">
        <f t="shared" si="237"/>
        <v>6</v>
      </c>
      <c r="AZ402" s="3">
        <f t="shared" si="238"/>
        <v>1</v>
      </c>
      <c r="BA402" s="3">
        <f>IF(ISERROR(LEN(VLOOKUP(A402,Seqs!A:E,2,FALSE))-AL402),"-",LEN(VLOOKUP(A402,Seqs!A:E,2,FALSE))-AL402)</f>
        <v>13</v>
      </c>
      <c r="BB402" s="16">
        <f t="shared" si="239"/>
        <v>31</v>
      </c>
      <c r="BC402" s="9">
        <f t="shared" si="240"/>
        <v>20</v>
      </c>
      <c r="BD402" s="3">
        <f t="shared" si="241"/>
        <v>31</v>
      </c>
      <c r="BE402" s="3">
        <f t="shared" si="242"/>
        <v>53</v>
      </c>
      <c r="BF402" s="3">
        <f t="shared" si="227"/>
        <v>36</v>
      </c>
    </row>
    <row r="403" spans="1:58" s="3" customFormat="1" x14ac:dyDescent="0.2">
      <c r="A403" s="3" t="s">
        <v>471</v>
      </c>
      <c r="B403" s="3" t="str">
        <f>LOWER(VLOOKUP(A403,Xtal_Templ!B:C,2,FALSE))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22"/>
        <v>36</v>
      </c>
      <c r="F403" s="3">
        <f t="shared" si="223"/>
        <v>37</v>
      </c>
      <c r="G403" s="3">
        <v>39</v>
      </c>
      <c r="H403" s="3">
        <f t="shared" si="224"/>
        <v>40</v>
      </c>
      <c r="I403" s="3">
        <f t="shared" si="224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25"/>
        <v>115</v>
      </c>
      <c r="S403" s="3">
        <v>115</v>
      </c>
      <c r="T403" s="100">
        <f t="shared" si="226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43"/>
        <v>1</v>
      </c>
      <c r="AO403" s="3" t="str">
        <f>IF(ISERROR(MATCH(A403,'SegEnds_Xtal_Prot#'!B:B, 0)), "NoXtal", "Xtal")</f>
        <v>NoXtal</v>
      </c>
      <c r="AP403" s="3">
        <f t="shared" si="228"/>
        <v>1</v>
      </c>
      <c r="AQ403" s="3">
        <f t="shared" si="229"/>
        <v>1</v>
      </c>
      <c r="AR403" s="3" t="str">
        <f t="shared" si="230"/>
        <v>-</v>
      </c>
      <c r="AS403" s="3" t="str">
        <f t="shared" si="231"/>
        <v>-</v>
      </c>
      <c r="AT403" s="3">
        <f t="shared" si="232"/>
        <v>3</v>
      </c>
      <c r="AU403" s="3">
        <f t="shared" si="233"/>
        <v>1</v>
      </c>
      <c r="AV403" s="3" t="str">
        <f t="shared" si="234"/>
        <v>-</v>
      </c>
      <c r="AW403" s="3" t="str">
        <f t="shared" si="235"/>
        <v>-</v>
      </c>
      <c r="AX403" s="3">
        <f t="shared" si="236"/>
        <v>10</v>
      </c>
      <c r="AY403" s="3">
        <f t="shared" si="237"/>
        <v>6</v>
      </c>
      <c r="AZ403" s="3">
        <f t="shared" si="238"/>
        <v>1</v>
      </c>
      <c r="BA403" s="3">
        <f>IF(ISERROR(LEN(VLOOKUP(A403,Seqs!A:E,2,FALSE))-AL403),"-",LEN(VLOOKUP(A403,Seqs!A:E,2,FALSE))-AL403)</f>
        <v>3</v>
      </c>
      <c r="BB403" s="16">
        <f t="shared" si="239"/>
        <v>31</v>
      </c>
      <c r="BC403" s="9">
        <f t="shared" si="240"/>
        <v>20</v>
      </c>
      <c r="BD403" s="3">
        <f t="shared" si="241"/>
        <v>31</v>
      </c>
      <c r="BE403" s="3">
        <f t="shared" si="242"/>
        <v>53</v>
      </c>
      <c r="BF403" s="3">
        <f t="shared" si="227"/>
        <v>36</v>
      </c>
    </row>
    <row r="404" spans="1:58" s="3" customFormat="1" x14ac:dyDescent="0.2">
      <c r="A404" s="3" t="s">
        <v>472</v>
      </c>
      <c r="B404" s="3" t="str">
        <f>LOWER(VLOOKUP(A404,Xtal_Templ!B:C,2,FALSE))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22"/>
        <v>47</v>
      </c>
      <c r="F404" s="3">
        <f t="shared" si="223"/>
        <v>48</v>
      </c>
      <c r="G404" s="3">
        <v>50</v>
      </c>
      <c r="H404" s="3">
        <f t="shared" si="224"/>
        <v>51</v>
      </c>
      <c r="I404" s="3">
        <f t="shared" si="224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25"/>
        <v>127</v>
      </c>
      <c r="S404" s="3">
        <v>127</v>
      </c>
      <c r="T404" s="100">
        <f t="shared" si="226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43"/>
        <v>1</v>
      </c>
      <c r="AO404" s="3" t="str">
        <f>IF(ISERROR(MATCH(A404,'SegEnds_Xtal_Prot#'!B:B, 0)), "NoXtal", "Xtal")</f>
        <v>NoXtal</v>
      </c>
      <c r="AP404" s="3">
        <f t="shared" si="228"/>
        <v>1</v>
      </c>
      <c r="AQ404" s="3">
        <f t="shared" si="229"/>
        <v>1</v>
      </c>
      <c r="AR404" s="3" t="str">
        <f t="shared" si="230"/>
        <v>-</v>
      </c>
      <c r="AS404" s="3" t="str">
        <f t="shared" si="231"/>
        <v>-</v>
      </c>
      <c r="AT404" s="3">
        <f t="shared" si="232"/>
        <v>3</v>
      </c>
      <c r="AU404" s="3">
        <f t="shared" si="233"/>
        <v>1</v>
      </c>
      <c r="AV404" s="3" t="str">
        <f t="shared" si="234"/>
        <v>-</v>
      </c>
      <c r="AW404" s="3" t="str">
        <f t="shared" si="235"/>
        <v>-</v>
      </c>
      <c r="AX404" s="3">
        <f t="shared" si="236"/>
        <v>10</v>
      </c>
      <c r="AY404" s="3">
        <f t="shared" si="237"/>
        <v>5</v>
      </c>
      <c r="AZ404" s="3">
        <f t="shared" si="238"/>
        <v>1</v>
      </c>
      <c r="BA404" s="3">
        <f>IF(ISERROR(LEN(VLOOKUP(A404,Seqs!A:E,2,FALSE))-AL404),"-",LEN(VLOOKUP(A404,Seqs!A:E,2,FALSE))-AL404)</f>
        <v>5</v>
      </c>
      <c r="BB404" s="16">
        <f t="shared" si="239"/>
        <v>31</v>
      </c>
      <c r="BC404" s="9">
        <f t="shared" si="240"/>
        <v>20</v>
      </c>
      <c r="BD404" s="3">
        <f t="shared" si="241"/>
        <v>31</v>
      </c>
      <c r="BE404" s="3">
        <f t="shared" si="242"/>
        <v>53</v>
      </c>
      <c r="BF404" s="3">
        <f t="shared" si="227"/>
        <v>35</v>
      </c>
    </row>
    <row r="405" spans="1:58" s="3" customFormat="1" x14ac:dyDescent="0.2">
      <c r="A405" s="3" t="s">
        <v>474</v>
      </c>
      <c r="B405" s="3" t="str">
        <f>LOWER(VLOOKUP(A405,Xtal_Templ!B:C,2,FALSE))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22"/>
        <v>36</v>
      </c>
      <c r="F405" s="3">
        <f t="shared" si="223"/>
        <v>37</v>
      </c>
      <c r="G405" s="3">
        <v>39</v>
      </c>
      <c r="H405" s="3">
        <f t="shared" si="224"/>
        <v>40</v>
      </c>
      <c r="I405" s="3">
        <f t="shared" si="224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25"/>
        <v>112</v>
      </c>
      <c r="S405" s="3">
        <v>112</v>
      </c>
      <c r="T405" s="100">
        <f t="shared" si="226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43"/>
        <v>1</v>
      </c>
      <c r="AO405" s="3" t="str">
        <f>IF(ISERROR(MATCH(A405,'SegEnds_Xtal_Prot#'!B:B, 0)), "NoXtal", "Xtal")</f>
        <v>NoXtal</v>
      </c>
      <c r="AP405" s="3">
        <f t="shared" si="228"/>
        <v>1</v>
      </c>
      <c r="AQ405" s="3">
        <f t="shared" si="229"/>
        <v>1</v>
      </c>
      <c r="AR405" s="3" t="str">
        <f t="shared" si="230"/>
        <v>-</v>
      </c>
      <c r="AS405" s="3" t="str">
        <f t="shared" si="231"/>
        <v>-</v>
      </c>
      <c r="AT405" s="3">
        <f t="shared" si="232"/>
        <v>3</v>
      </c>
      <c r="AU405" s="3">
        <f t="shared" si="233"/>
        <v>1</v>
      </c>
      <c r="AV405" s="3" t="str">
        <f t="shared" si="234"/>
        <v>-</v>
      </c>
      <c r="AW405" s="3" t="str">
        <f t="shared" si="235"/>
        <v>-</v>
      </c>
      <c r="AX405" s="3">
        <f t="shared" si="236"/>
        <v>10</v>
      </c>
      <c r="AY405" s="3">
        <f t="shared" si="237"/>
        <v>5</v>
      </c>
      <c r="AZ405" s="3">
        <f t="shared" si="238"/>
        <v>1</v>
      </c>
      <c r="BA405" s="3">
        <f>IF(ISERROR(LEN(VLOOKUP(A405,Seqs!A:E,2,FALSE))-AL405),"-",LEN(VLOOKUP(A405,Seqs!A:E,2,FALSE))-AL405)</f>
        <v>5</v>
      </c>
      <c r="BB405" s="16">
        <f t="shared" si="239"/>
        <v>31</v>
      </c>
      <c r="BC405" s="9">
        <f t="shared" si="240"/>
        <v>20</v>
      </c>
      <c r="BD405" s="3">
        <f t="shared" si="241"/>
        <v>31</v>
      </c>
      <c r="BE405" s="3">
        <f t="shared" si="242"/>
        <v>53</v>
      </c>
      <c r="BF405" s="3">
        <f t="shared" si="227"/>
        <v>35</v>
      </c>
    </row>
    <row r="406" spans="1:58" s="3" customFormat="1" x14ac:dyDescent="0.2">
      <c r="A406" s="3" t="s">
        <v>475</v>
      </c>
      <c r="B406" s="3" t="str">
        <f>LOWER(VLOOKUP(A406,Xtal_Templ!B:C,2,FALSE))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22"/>
        <v>36</v>
      </c>
      <c r="F406" s="3">
        <f t="shared" si="223"/>
        <v>37</v>
      </c>
      <c r="G406" s="3">
        <v>39</v>
      </c>
      <c r="H406" s="3">
        <f t="shared" si="224"/>
        <v>40</v>
      </c>
      <c r="I406" s="3">
        <f t="shared" si="224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25"/>
        <v>116</v>
      </c>
      <c r="S406" s="3">
        <v>116</v>
      </c>
      <c r="T406" s="100">
        <f t="shared" si="226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43"/>
        <v>1</v>
      </c>
      <c r="AO406" s="3" t="str">
        <f>IF(ISERROR(MATCH(A406,'SegEnds_Xtal_Prot#'!B:B, 0)), "NoXtal", "Xtal")</f>
        <v>NoXtal</v>
      </c>
      <c r="AP406" s="3">
        <f t="shared" si="228"/>
        <v>1</v>
      </c>
      <c r="AQ406" s="3">
        <f t="shared" si="229"/>
        <v>1</v>
      </c>
      <c r="AR406" s="3" t="str">
        <f t="shared" si="230"/>
        <v>-</v>
      </c>
      <c r="AS406" s="3" t="str">
        <f t="shared" si="231"/>
        <v>-</v>
      </c>
      <c r="AT406" s="3">
        <f t="shared" si="232"/>
        <v>3</v>
      </c>
      <c r="AU406" s="3">
        <f t="shared" si="233"/>
        <v>1</v>
      </c>
      <c r="AV406" s="3" t="str">
        <f t="shared" si="234"/>
        <v>-</v>
      </c>
      <c r="AW406" s="3" t="str">
        <f t="shared" si="235"/>
        <v>-</v>
      </c>
      <c r="AX406" s="3">
        <f t="shared" si="236"/>
        <v>10</v>
      </c>
      <c r="AY406" s="3">
        <f t="shared" si="237"/>
        <v>6</v>
      </c>
      <c r="AZ406" s="3">
        <f t="shared" si="238"/>
        <v>1</v>
      </c>
      <c r="BA406" s="3">
        <f>IF(ISERROR(LEN(VLOOKUP(A406,Seqs!A:E,2,FALSE))-AL406),"-",LEN(VLOOKUP(A406,Seqs!A:E,2,FALSE))-AL406)</f>
        <v>15</v>
      </c>
      <c r="BB406" s="16">
        <f t="shared" si="239"/>
        <v>31</v>
      </c>
      <c r="BC406" s="9">
        <f t="shared" si="240"/>
        <v>20</v>
      </c>
      <c r="BD406" s="3">
        <f t="shared" si="241"/>
        <v>31</v>
      </c>
      <c r="BE406" s="3">
        <f t="shared" si="242"/>
        <v>53</v>
      </c>
      <c r="BF406" s="3">
        <f t="shared" si="227"/>
        <v>36</v>
      </c>
    </row>
    <row r="407" spans="1:58" s="3" customFormat="1" x14ac:dyDescent="0.2">
      <c r="A407" s="3" t="s">
        <v>476</v>
      </c>
      <c r="B407" s="3" t="str">
        <f>LOWER(VLOOKUP(A407,Xtal_Templ!B:C,2,FALSE))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22"/>
        <v>36</v>
      </c>
      <c r="F407" s="3">
        <f t="shared" si="223"/>
        <v>37</v>
      </c>
      <c r="G407" s="3">
        <v>39</v>
      </c>
      <c r="H407" s="3">
        <f t="shared" si="224"/>
        <v>40</v>
      </c>
      <c r="I407" s="3">
        <f t="shared" si="224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25"/>
        <v>115</v>
      </c>
      <c r="S407" s="3">
        <v>115</v>
      </c>
      <c r="T407" s="100">
        <f t="shared" si="226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43"/>
        <v>1</v>
      </c>
      <c r="AO407" s="3" t="str">
        <f>IF(ISERROR(MATCH(A407,'SegEnds_Xtal_Prot#'!B:B, 0)), "NoXtal", "Xtal")</f>
        <v>NoXtal</v>
      </c>
      <c r="AP407" s="3">
        <f t="shared" si="228"/>
        <v>1</v>
      </c>
      <c r="AQ407" s="3">
        <f t="shared" si="229"/>
        <v>1</v>
      </c>
      <c r="AR407" s="3" t="str">
        <f t="shared" si="230"/>
        <v>-</v>
      </c>
      <c r="AS407" s="3" t="str">
        <f t="shared" si="231"/>
        <v>-</v>
      </c>
      <c r="AT407" s="3">
        <f t="shared" si="232"/>
        <v>3</v>
      </c>
      <c r="AU407" s="3">
        <f t="shared" si="233"/>
        <v>1</v>
      </c>
      <c r="AV407" s="3" t="str">
        <f t="shared" si="234"/>
        <v>-</v>
      </c>
      <c r="AW407" s="3" t="str">
        <f t="shared" si="235"/>
        <v>-</v>
      </c>
      <c r="AX407" s="3">
        <f t="shared" si="236"/>
        <v>10</v>
      </c>
      <c r="AY407" s="3">
        <f t="shared" si="237"/>
        <v>6</v>
      </c>
      <c r="AZ407" s="3">
        <f t="shared" si="238"/>
        <v>1</v>
      </c>
      <c r="BA407" s="3">
        <f>IF(ISERROR(LEN(VLOOKUP(A407,Seqs!A:E,2,FALSE))-AL407),"-",LEN(VLOOKUP(A407,Seqs!A:E,2,FALSE))-AL407)</f>
        <v>2</v>
      </c>
      <c r="BB407" s="16">
        <f t="shared" si="239"/>
        <v>31</v>
      </c>
      <c r="BC407" s="9">
        <f t="shared" si="240"/>
        <v>20</v>
      </c>
      <c r="BD407" s="3">
        <f t="shared" si="241"/>
        <v>31</v>
      </c>
      <c r="BE407" s="3">
        <f t="shared" si="242"/>
        <v>53</v>
      </c>
      <c r="BF407" s="3">
        <f t="shared" si="227"/>
        <v>36</v>
      </c>
    </row>
    <row r="408" spans="1:58" s="3" customFormat="1" x14ac:dyDescent="0.2">
      <c r="A408" s="3" t="s">
        <v>477</v>
      </c>
      <c r="B408" s="3" t="str">
        <f>LOWER(VLOOKUP(A408,Xtal_Templ!B:C,2,FALSE))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22"/>
        <v>36</v>
      </c>
      <c r="F408" s="3">
        <f t="shared" si="223"/>
        <v>37</v>
      </c>
      <c r="G408" s="3">
        <v>39</v>
      </c>
      <c r="H408" s="3">
        <f t="shared" si="224"/>
        <v>40</v>
      </c>
      <c r="I408" s="3">
        <f t="shared" si="224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25"/>
        <v>112</v>
      </c>
      <c r="S408" s="3">
        <v>112</v>
      </c>
      <c r="T408" s="100">
        <f t="shared" si="226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43"/>
        <v>1</v>
      </c>
      <c r="AO408" s="3" t="str">
        <f>IF(ISERROR(MATCH(A408,'SegEnds_Xtal_Prot#'!B:B, 0)), "NoXtal", "Xtal")</f>
        <v>NoXtal</v>
      </c>
      <c r="AP408" s="3">
        <f t="shared" si="228"/>
        <v>1</v>
      </c>
      <c r="AQ408" s="3">
        <f t="shared" si="229"/>
        <v>1</v>
      </c>
      <c r="AR408" s="3" t="str">
        <f t="shared" si="230"/>
        <v>-</v>
      </c>
      <c r="AS408" s="3" t="str">
        <f t="shared" si="231"/>
        <v>-</v>
      </c>
      <c r="AT408" s="3">
        <f t="shared" si="232"/>
        <v>3</v>
      </c>
      <c r="AU408" s="3">
        <f t="shared" si="233"/>
        <v>1</v>
      </c>
      <c r="AV408" s="3" t="str">
        <f t="shared" si="234"/>
        <v>-</v>
      </c>
      <c r="AW408" s="3" t="str">
        <f t="shared" si="235"/>
        <v>-</v>
      </c>
      <c r="AX408" s="3">
        <f t="shared" si="236"/>
        <v>10</v>
      </c>
      <c r="AY408" s="3">
        <f t="shared" si="237"/>
        <v>6</v>
      </c>
      <c r="AZ408" s="3">
        <f t="shared" si="238"/>
        <v>1</v>
      </c>
      <c r="BA408" s="3">
        <f>IF(ISERROR(LEN(VLOOKUP(A408,Seqs!A:E,2,FALSE))-AL408),"-",LEN(VLOOKUP(A408,Seqs!A:E,2,FALSE))-AL408)</f>
        <v>10</v>
      </c>
      <c r="BB408" s="16">
        <f t="shared" si="239"/>
        <v>31</v>
      </c>
      <c r="BC408" s="9">
        <f t="shared" si="240"/>
        <v>20</v>
      </c>
      <c r="BD408" s="3">
        <f t="shared" si="241"/>
        <v>31</v>
      </c>
      <c r="BE408" s="3">
        <f t="shared" si="242"/>
        <v>53</v>
      </c>
      <c r="BF408" s="3">
        <f t="shared" si="227"/>
        <v>36</v>
      </c>
    </row>
    <row r="409" spans="1:58" s="3" customFormat="1" x14ac:dyDescent="0.2">
      <c r="A409" s="3" t="s">
        <v>478</v>
      </c>
      <c r="B409" s="3" t="str">
        <f>LOWER(VLOOKUP(A409,Xtal_Templ!B:C,2,FALSE))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22"/>
        <v>36</v>
      </c>
      <c r="F409" s="3">
        <f t="shared" si="223"/>
        <v>37</v>
      </c>
      <c r="G409" s="3">
        <v>39</v>
      </c>
      <c r="H409" s="3">
        <f t="shared" si="224"/>
        <v>40</v>
      </c>
      <c r="I409" s="3">
        <f t="shared" si="224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25"/>
        <v>116</v>
      </c>
      <c r="S409" s="3">
        <v>116</v>
      </c>
      <c r="T409" s="100">
        <f t="shared" si="226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43"/>
        <v>1</v>
      </c>
      <c r="AO409" s="3" t="str">
        <f>IF(ISERROR(MATCH(A409,'SegEnds_Xtal_Prot#'!B:B, 0)), "NoXtal", "Xtal")</f>
        <v>NoXtal</v>
      </c>
      <c r="AP409" s="3">
        <f t="shared" si="228"/>
        <v>1</v>
      </c>
      <c r="AQ409" s="3">
        <f t="shared" si="229"/>
        <v>1</v>
      </c>
      <c r="AR409" s="3" t="str">
        <f t="shared" si="230"/>
        <v>-</v>
      </c>
      <c r="AS409" s="3" t="str">
        <f t="shared" si="231"/>
        <v>-</v>
      </c>
      <c r="AT409" s="3">
        <f t="shared" si="232"/>
        <v>3</v>
      </c>
      <c r="AU409" s="3">
        <f t="shared" si="233"/>
        <v>1</v>
      </c>
      <c r="AV409" s="3" t="str">
        <f t="shared" si="234"/>
        <v>-</v>
      </c>
      <c r="AW409" s="3" t="str">
        <f t="shared" si="235"/>
        <v>-</v>
      </c>
      <c r="AX409" s="3">
        <f t="shared" si="236"/>
        <v>10</v>
      </c>
      <c r="AY409" s="3">
        <f t="shared" si="237"/>
        <v>6</v>
      </c>
      <c r="AZ409" s="3">
        <f t="shared" si="238"/>
        <v>1</v>
      </c>
      <c r="BA409" s="3">
        <f>IF(ISERROR(LEN(VLOOKUP(A409,Seqs!A:E,2,FALSE))-AL409),"-",LEN(VLOOKUP(A409,Seqs!A:E,2,FALSE))-AL409)</f>
        <v>16</v>
      </c>
      <c r="BB409" s="16">
        <f t="shared" si="239"/>
        <v>31</v>
      </c>
      <c r="BC409" s="9">
        <f t="shared" si="240"/>
        <v>20</v>
      </c>
      <c r="BD409" s="3">
        <f t="shared" si="241"/>
        <v>31</v>
      </c>
      <c r="BE409" s="3">
        <f t="shared" si="242"/>
        <v>53</v>
      </c>
      <c r="BF409" s="3">
        <f t="shared" si="227"/>
        <v>36</v>
      </c>
    </row>
    <row r="410" spans="1:58" s="3" customFormat="1" x14ac:dyDescent="0.2">
      <c r="A410" s="3" t="s">
        <v>479</v>
      </c>
      <c r="B410" s="3" t="str">
        <f>LOWER(VLOOKUP(A410,Xtal_Templ!B:C,2,FALSE))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22"/>
        <v>36</v>
      </c>
      <c r="F410" s="3">
        <f t="shared" si="223"/>
        <v>37</v>
      </c>
      <c r="G410" s="3">
        <v>39</v>
      </c>
      <c r="H410" s="3">
        <f t="shared" si="224"/>
        <v>40</v>
      </c>
      <c r="I410" s="3">
        <f t="shared" si="224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25"/>
        <v>116</v>
      </c>
      <c r="S410" s="3">
        <v>116</v>
      </c>
      <c r="T410" s="100">
        <f t="shared" si="226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43"/>
        <v>1</v>
      </c>
      <c r="AO410" s="3" t="str">
        <f>IF(ISERROR(MATCH(A410,'SegEnds_Xtal_Prot#'!B:B, 0)), "NoXtal", "Xtal")</f>
        <v>NoXtal</v>
      </c>
      <c r="AP410" s="3">
        <f t="shared" si="228"/>
        <v>1</v>
      </c>
      <c r="AQ410" s="3">
        <f t="shared" si="229"/>
        <v>1</v>
      </c>
      <c r="AR410" s="3" t="str">
        <f t="shared" si="230"/>
        <v>-</v>
      </c>
      <c r="AS410" s="3" t="str">
        <f t="shared" si="231"/>
        <v>-</v>
      </c>
      <c r="AT410" s="3">
        <f t="shared" si="232"/>
        <v>3</v>
      </c>
      <c r="AU410" s="3">
        <f t="shared" si="233"/>
        <v>1</v>
      </c>
      <c r="AV410" s="3" t="str">
        <f t="shared" si="234"/>
        <v>-</v>
      </c>
      <c r="AW410" s="3" t="str">
        <f t="shared" si="235"/>
        <v>-</v>
      </c>
      <c r="AX410" s="3">
        <f t="shared" si="236"/>
        <v>10</v>
      </c>
      <c r="AY410" s="3">
        <f t="shared" si="237"/>
        <v>6</v>
      </c>
      <c r="AZ410" s="3">
        <f t="shared" si="238"/>
        <v>1</v>
      </c>
      <c r="BA410" s="3">
        <f>IF(ISERROR(LEN(VLOOKUP(A410,Seqs!A:E,2,FALSE))-AL410),"-",LEN(VLOOKUP(A410,Seqs!A:E,2,FALSE))-AL410)</f>
        <v>7</v>
      </c>
      <c r="BB410" s="16">
        <f t="shared" si="239"/>
        <v>31</v>
      </c>
      <c r="BC410" s="9">
        <f t="shared" si="240"/>
        <v>20</v>
      </c>
      <c r="BD410" s="3">
        <f t="shared" si="241"/>
        <v>31</v>
      </c>
      <c r="BE410" s="3">
        <f t="shared" si="242"/>
        <v>53</v>
      </c>
      <c r="BF410" s="3">
        <f t="shared" si="227"/>
        <v>36</v>
      </c>
    </row>
    <row r="411" spans="1:58" s="3" customFormat="1" x14ac:dyDescent="0.2">
      <c r="A411" s="3" t="s">
        <v>480</v>
      </c>
      <c r="B411" s="3" t="str">
        <f>LOWER(VLOOKUP(A411,Xtal_Templ!B:C,2,FALSE))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22"/>
        <v>36</v>
      </c>
      <c r="F411" s="3">
        <f t="shared" si="223"/>
        <v>37</v>
      </c>
      <c r="G411" s="3">
        <v>39</v>
      </c>
      <c r="H411" s="3">
        <f t="shared" si="224"/>
        <v>40</v>
      </c>
      <c r="I411" s="3">
        <f t="shared" si="224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25"/>
        <v>116</v>
      </c>
      <c r="S411" s="3">
        <v>116</v>
      </c>
      <c r="T411" s="100">
        <f t="shared" si="226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43"/>
        <v>1</v>
      </c>
      <c r="AO411" s="3" t="str">
        <f>IF(ISERROR(MATCH(A411,'SegEnds_Xtal_Prot#'!B:B, 0)), "NoXtal", "Xtal")</f>
        <v>NoXtal</v>
      </c>
      <c r="AP411" s="3">
        <f t="shared" si="228"/>
        <v>1</v>
      </c>
      <c r="AQ411" s="3">
        <f t="shared" si="229"/>
        <v>1</v>
      </c>
      <c r="AR411" s="3" t="str">
        <f t="shared" si="230"/>
        <v>-</v>
      </c>
      <c r="AS411" s="3" t="str">
        <f t="shared" si="231"/>
        <v>-</v>
      </c>
      <c r="AT411" s="3">
        <f t="shared" si="232"/>
        <v>3</v>
      </c>
      <c r="AU411" s="3">
        <f t="shared" si="233"/>
        <v>1</v>
      </c>
      <c r="AV411" s="3" t="str">
        <f t="shared" si="234"/>
        <v>-</v>
      </c>
      <c r="AW411" s="3" t="str">
        <f t="shared" si="235"/>
        <v>-</v>
      </c>
      <c r="AX411" s="3">
        <f t="shared" si="236"/>
        <v>10</v>
      </c>
      <c r="AY411" s="3">
        <f t="shared" si="237"/>
        <v>6</v>
      </c>
      <c r="AZ411" s="3">
        <f t="shared" si="238"/>
        <v>1</v>
      </c>
      <c r="BA411" s="3">
        <f>IF(ISERROR(LEN(VLOOKUP(A411,Seqs!A:E,2,FALSE))-AL411),"-",LEN(VLOOKUP(A411,Seqs!A:E,2,FALSE))-AL411)</f>
        <v>13</v>
      </c>
      <c r="BB411" s="16">
        <f t="shared" si="239"/>
        <v>31</v>
      </c>
      <c r="BC411" s="9">
        <f t="shared" si="240"/>
        <v>20</v>
      </c>
      <c r="BD411" s="3">
        <f t="shared" si="241"/>
        <v>31</v>
      </c>
      <c r="BE411" s="3">
        <f t="shared" si="242"/>
        <v>53</v>
      </c>
      <c r="BF411" s="3">
        <f t="shared" si="227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12" activePane="bottomLeft" state="frozenSplit"/>
      <selection pane="bottomLeft" activeCell="J75" sqref="J7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LOWER(VLOOKUP(A2,Xtal_Templ!B:C,2,FALSE))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LOWER(VLOOKUP(A3,Xtal_Templ!B:C,2,FALSE))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LOWER(VLOOKUP(A4,Xtal_Templ!B:C,2,FALSE))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LOWER(VLOOKUP(A5,Xtal_Templ!B:C,2,FALSE))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LOWER(VLOOKUP(A6,Xtal_Templ!B:C,2,FALSE))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LOWER(VLOOKUP(A7,Xtal_Templ!B:C,2,FALSE))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LOWER(VLOOKUP(A8,Xtal_Templ!B:C,2,FALSE))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LOWER(VLOOKUP(A9,Xtal_Templ!B:C,2,FALSE))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LOWER(VLOOKUP(A10,Xtal_Templ!B:C,2,FALSE))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LOWER(VLOOKUP(A11,Xtal_Templ!B:C,2,FALSE))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LOWER(VLOOKUP(A12,Xtal_Templ!B:C,2,FALSE))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LOWER(VLOOKUP(A13,Xtal_Templ!B:C,2,FALSE))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LOWER(VLOOKUP(A14,Xtal_Templ!B:C,2,FALSE))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LOWER(VLOOKUP(A15,Xtal_Templ!B:C,2,FALSE))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LOWER(VLOOKUP(A16,Xtal_Templ!B:C,2,FALSE))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LOWER(VLOOKUP(A17,Xtal_Templ!B:C,2,FALSE))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LOWER(VLOOKUP(A18,Xtal_Templ!B:C,2,FALSE))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LOWER(VLOOKUP(A19,Xtal_Templ!B:C,2,FALSE))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LOWER(VLOOKUP(A20,Xtal_Templ!B:C,2,FALSE))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LOWER(VLOOKUP(A21,Xtal_Templ!B:C,2,FALSE))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LOWER(VLOOKUP(A22,Xtal_Templ!B:C,2,FALSE))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LOWER(VLOOKUP(A23,Xtal_Templ!B:C,2,FALSE))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LOWER(VLOOKUP(A24,Xtal_Templ!B:C,2,FALSE))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LOWER(VLOOKUP(A25,Xtal_Templ!B:C,2,FALSE))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LOWER(VLOOKUP(A26,Xtal_Templ!B:C,2,FALSE))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LOWER(VLOOKUP(A27,Xtal_Templ!B:C,2,FALSE))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LOWER(VLOOKUP(A28,Xtal_Templ!B:C,2,FALSE))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LOWER(VLOOKUP(A29,Xtal_Templ!B:C,2,FALSE))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LOWER(VLOOKUP(A30,Xtal_Templ!B:C,2,FALSE))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LOWER(VLOOKUP(A31,Xtal_Templ!B:C,2,FALSE))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LOWER(VLOOKUP(A32,Xtal_Templ!B:C,2,FALSE))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LOWER(VLOOKUP(A33,Xtal_Templ!B:C,2,FALSE))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LOWER(VLOOKUP(A34,Xtal_Templ!B:C,2,FALSE))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LOWER(VLOOKUP(A35,Xtal_Templ!B:C,2,FALSE))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LOWER(VLOOKUP(A36,Xtal_Templ!B:C,2,FALSE))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LOWER(VLOOKUP(A37,Xtal_Templ!B:C,2,FALSE))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LOWER(VLOOKUP(A38,Xtal_Templ!B:C,2,FALSE))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LOWER(VLOOKUP(A39,Xtal_Templ!B:C,2,FALSE))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LOWER(VLOOKUP(A40,Xtal_Templ!B:C,2,FALSE))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LOWER(VLOOKUP(A41,Xtal_Templ!B:C,2,FALSE))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LOWER(VLOOKUP(A42,Xtal_Templ!B:C,2,FALSE))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LOWER(VLOOKUP(A43,Xtal_Templ!B:C,2,FALSE))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LOWER(VLOOKUP(A44,Xtal_Templ!B:C,2,FALSE))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LOWER(VLOOKUP(A45,Xtal_Templ!B:C,2,FALSE))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LOWER(VLOOKUP(A46,Xtal_Templ!B:C,2,FALSE))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LOWER(VLOOKUP(A47,Xtal_Templ!B:C,2,FALSE))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LOWER(VLOOKUP(A48,Xtal_Templ!B:C,2,FALSE))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LOWER(VLOOKUP(A49,Xtal_Templ!B:C,2,FALSE))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LOWER(VLOOKUP(A50,Xtal_Templ!B:C,2,FALSE))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LOWER(VLOOKUP(A51,Xtal_Templ!B:C,2,FALSE))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LOWER(VLOOKUP(A52,Xtal_Templ!B:C,2,FALSE))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LOWER(VLOOKUP(A53,Xtal_Templ!B:C,2,FALSE))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LOWER(VLOOKUP(A54,Xtal_Templ!B:C,2,FALSE))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LOWER(VLOOKUP(A55,Xtal_Templ!B:C,2,FALSE))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LOWER(VLOOKUP(A56,Xtal_Templ!B:C,2,FALSE))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LOWER(VLOOKUP(A57,Xtal_Templ!B:C,2,FALSE))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LOWER(VLOOKUP(A58,Xtal_Templ!B:C,2,FALSE))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LOWER(VLOOKUP(A59,Xtal_Templ!B:C,2,FALSE))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LOWER(VLOOKUP(A60,Xtal_Templ!B:C,2,FALSE))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LOWER(VLOOKUP(A61,Xtal_Templ!B:C,2,FALSE))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LOWER(VLOOKUP(A62,Xtal_Templ!B:C,2,FALSE))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LOWER(VLOOKUP(A63,Xtal_Templ!B:C,2,FALSE))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LOWER(VLOOKUP(A64,Xtal_Templ!B:C,2,FALSE))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LOWER(VLOOKUP(A65,Xtal_Templ!B:C,2,FALSE))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LOWER(VLOOKUP(A67,Xtal_Templ!B:C,2,FALSE))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LOWER(VLOOKUP(A68,Xtal_Templ!B:C,2,FALSE))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LOWER(VLOOKUP(A69,Xtal_Templ!B:C,2,FALSE))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LOWER(VLOOKUP(A70,Xtal_Templ!B:C,2,FALSE))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LOWER(VLOOKUP(A71,Xtal_Templ!B:C,2,FALSE))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LOWER(VLOOKUP(A72,Xtal_Templ!B:C,2,FALSE))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LOWER(VLOOKUP(A73,Xtal_Templ!B:C,2,FALSE))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LOWER(VLOOKUP(A74,Xtal_Templ!B:C,2,FALSE))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LOWER(VLOOKUP(A75,Xtal_Templ!B:C,2,FALSE))</f>
        <v>apj_human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LOWER(VLOOKUP(A76,Xtal_Templ!B:C,2,FALSE))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LOWER(VLOOKUP(A77,Xtal_Templ!B:C,2,FALSE))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LOWER(VLOOKUP(A78,Xtal_Templ!B:C,2,FALSE))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LOWER(VLOOKUP(A79,Xtal_Templ!B:C,2,FALSE))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LOWER(VLOOKUP(A80,Xtal_Templ!B:C,2,FALSE))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LOWER(VLOOKUP(A81,Xtal_Templ!B:C,2,FALSE))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LOWER(VLOOKUP(A82,Xtal_Templ!B:C,2,FALSE))</f>
        <v>ptafr_human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LOWER(VLOOKUP(A83,Xtal_Templ!B:C,2,FALSE))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LOWER(VLOOKUP(A84,Xtal_Templ!B:C,2,FALSE))</f>
        <v>oprd_human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LOWER(VLOOKUP(A85,Xtal_Templ!B:C,2,FALSE))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LOWER(VLOOKUP(A86,Xtal_Templ!B:C,2,FALSE))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LOWER(VLOOKUP(A87,Xtal_Templ!B:C,2,FALSE))</f>
        <v>ccr2_human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LOWER(VLOOKUP(A88,Xtal_Templ!B:C,2,FALSE))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LOWER(VLOOKUP(A89,Xtal_Templ!B:C,2,FALSE))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LOWER(VLOOKUP(A90,Xtal_Templ!B:C,2,FALSE))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LOWER(VLOOKUP(A91,Xtal_Templ!B:C,2,FALSE))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LOWER(VLOOKUP(A92,Xtal_Templ!B:C,2,FALSE))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LOWER(VLOOKUP(A93,Xtal_Templ!B:C,2,FALSE))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LOWER(VLOOKUP(A94,Xtal_Templ!B:C,2,FALSE))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LOWER(VLOOKUP(A95,Xtal_Templ!B:C,2,FALSE))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LOWER(VLOOKUP(A96,Xtal_Templ!B:C,2,FALSE))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LOWER(VLOOKUP(A97,Xtal_Templ!B:C,2,FALSE))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LOWER(VLOOKUP(A98,Xtal_Templ!B:C,2,FALSE))</f>
        <v>ccr2_human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LOWER(VLOOKUP(A99,Xtal_Templ!B:C,2,FALSE))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LOWER(VLOOKUP(A100,Xtal_Templ!B:C,2,FALSE))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LOWER(VLOOKUP(A101,Xtal_Templ!B:C,2,FALSE))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LOWER(VLOOKUP(A102,Xtal_Templ!B:C,2,FALSE))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LOWER(VLOOKUP(A103,Xtal_Templ!B:C,2,FALSE))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LOWER(VLOOKUP(A104,Xtal_Templ!B:C,2,FALSE))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LOWER(VLOOKUP(A105,Xtal_Templ!B:C,2,FALSE))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LOWER(VLOOKUP(A106,Xtal_Templ!B:C,2,FALSE))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LOWER(VLOOKUP(A107,Xtal_Templ!B:C,2,FALSE))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LOWER(VLOOKUP(A108,Xtal_Templ!B:C,2,FALSE))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LOWER(VLOOKUP(A109,Xtal_Templ!B:C,2,FALSE))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LOWER(VLOOKUP(A110,Xtal_Templ!B:C,2,FALSE))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LOWER(VLOOKUP(A111,Xtal_Templ!B:C,2,FALSE))</f>
        <v>c5ar1_human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LOWER(VLOOKUP(A112,Xtal_Templ!B:C,2,FALSE))</f>
        <v>c5ar1_human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LOWER(VLOOKUP(A113,Xtal_Templ!B:C,2,FALSE))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LOWER(VLOOKUP(A114,Xtal_Templ!B:C,2,FALSE))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LOWER(VLOOKUP(A115,Xtal_Templ!B:C,2,FALSE))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LOWER(VLOOKUP(A116,Xtal_Templ!B:C,2,FALSE))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LOWER(VLOOKUP(A117,Xtal_Templ!B:C,2,FALSE))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LOWER(VLOOKUP(A118,Xtal_Templ!B:C,2,FALSE))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LOWER(VLOOKUP(A119,Xtal_Templ!B:C,2,FALSE))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LOWER(VLOOKUP(A120,Xtal_Templ!B:C,2,FALSE))</f>
        <v>acm3_rat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LOWER(VLOOKUP(A121,Xtal_Templ!B:C,2,FALSE))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LOWER(VLOOKUP(A122,Xtal_Templ!B:C,2,FALSE))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LOWER(VLOOKUP(A123,Xtal_Templ!B:C,2,FALSE))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LOWER(VLOOKUP(A124,Xtal_Templ!B:C,2,FALSE))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LOWER(VLOOKUP(A125,Xtal_Templ!B:C,2,FALSE))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LOWER(VLOOKUP(A126,Xtal_Templ!B:C,2,FALSE))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LOWER(VLOOKUP(A127,Xtal_Templ!B:C,2,FALSE))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LOWER(VLOOKUP(A128,Xtal_Templ!B:C,2,FALSE))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LOWER(VLOOKUP(A129,Xtal_Templ!B:C,2,FALSE))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LOWER(VLOOKUP(A130,Xtal_Templ!B:C,2,FALSE))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LOWER(VLOOKUP(A131,Xtal_Templ!B:C,2,FALSE))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LOWER(VLOOKUP(A132,Xtal_Templ!B:C,2,FALSE))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LOWER(VLOOKUP(A133,Xtal_Templ!B:C,2,FALSE))</f>
        <v>5ht2c_human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LOWER(VLOOKUP(A134,Xtal_Templ!B:C,2,FALSE))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LOWER(VLOOKUP(A135,Xtal_Templ!B:C,2,FALSE))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LOWER(VLOOKUP(A136,Xtal_Templ!B:C,2,FALSE))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LOWER(VLOOKUP(A137,Xtal_Templ!B:C,2,FALSE))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LOWER(VLOOKUP(A138,Xtal_Templ!B:C,2,FALSE))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LOWER(VLOOKUP(A139,Xtal_Templ!B:C,2,FALSE))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LOWER(VLOOKUP(A140,Xtal_Templ!B:C,2,FALSE))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LOWER(VLOOKUP(A141,Xtal_Templ!B:C,2,FALSE))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LOWER(VLOOKUP(A142,Xtal_Templ!B:C,2,FALSE))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LOWER(VLOOKUP(A143,Xtal_Templ!B:C,2,FALSE))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LOWER(VLOOKUP(A144,Xtal_Templ!B:C,2,FALSE))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LOWER(VLOOKUP(A145,Xtal_Templ!B:C,2,FALSE))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LOWER(VLOOKUP(A146,Xtal_Templ!B:C,2,FALSE))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LOWER(VLOOKUP(A147,Xtal_Templ!B:C,2,FALSE))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LOWER(VLOOKUP(A148,Xtal_Templ!B:C,2,FALSE))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LOWER(VLOOKUP(A149,Xtal_Templ!B:C,2,FALSE))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LOWER(VLOOKUP(A150,Xtal_Templ!B:C,2,FALSE))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LOWER(VLOOKUP(A151,Xtal_Templ!B:C,2,FALSE))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LOWER(VLOOKUP(A152,Xtal_Templ!B:C,2,FALSE))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LOWER(VLOOKUP(A153,Xtal_Templ!B:C,2,FALSE))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LOWER(VLOOKUP(A154,Xtal_Templ!B:C,2,FALSE))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LOWER(VLOOKUP(A155,Xtal_Templ!B:C,2,FALSE))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LOWER(VLOOKUP(A156,Xtal_Templ!B:C,2,FALSE))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LOWER(VLOOKUP(A157,Xtal_Templ!B:C,2,FALSE))</f>
        <v>agtr2_human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LOWER(VLOOKUP(A158,Xtal_Templ!B:C,2,FALSE))</f>
        <v>oprk_human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LOWER(VLOOKUP(A159,Xtal_Templ!B:C,2,FALSE))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LOWER(VLOOKUP(A160,Xtal_Templ!B:C,2,FALSE))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LOWER(VLOOKUP(A161,Xtal_Templ!B:C,2,FALSE))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LOWER(VLOOKUP(A162,Xtal_Templ!B:C,2,FALSE))</f>
        <v>par2_human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LOWER(VLOOKUP(A163,Xtal_Templ!B:C,2,FALSE))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LOWER(VLOOKUP(A164,Xtal_Templ!B:C,2,FALSE))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LOWER(VLOOKUP(A165,Xtal_Templ!B:C,2,FALSE))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LOWER(VLOOKUP(A166,Xtal_Templ!B:C,2,FALSE))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LOWER(VLOOKUP(A167,Xtal_Templ!B:C,2,FALSE))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LOWER(VLOOKUP(A168,Xtal_Templ!B:C,2,FALSE))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LOWER(VLOOKUP(A169,Xtal_Templ!B:C,2,FALSE))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LOWER(VLOOKUP(A170,Xtal_Templ!B:C,2,FALSE))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LOWER(VLOOKUP(A171,Xtal_Templ!B:C,2,FALSE))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LOWER(VLOOKUP(A172,Xtal_Templ!B:C,2,FALSE))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LOWER(VLOOKUP(A173,Xtal_Templ!B:C,2,FALSE))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LOWER(VLOOKUP(A174,Xtal_Templ!B:C,2,FALSE))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LOWER(VLOOKUP(A175,Xtal_Templ!B:C,2,FALSE))</f>
        <v>par1_human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LOWER(VLOOKUP(A176,Xtal_Templ!B:C,2,FALSE))</f>
        <v>5ht2c_human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LOWER(VLOOKUP(A177,Xtal_Templ!B:C,2,FALSE))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LOWER(VLOOKUP(A178,Xtal_Templ!B:C,2,FALSE))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LOWER(VLOOKUP(A179,Xtal_Templ!B:C,2,FALSE))</f>
        <v>oprd_human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LOWER(VLOOKUP(A180,Xtal_Templ!B:C,2,FALSE))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LOWER(VLOOKUP(A181,Xtal_Templ!B:C,2,FALSE))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LOWER(VLOOKUP(A182,Xtal_Templ!B:C,2,FALSE))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LOWER(VLOOKUP(A183,Xtal_Templ!B:C,2,FALSE))</f>
        <v>ccr5_human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LOWER(VLOOKUP(A184,Xtal_Templ!B:C,2,FALSE))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LOWER(VLOOKUP(A185,Xtal_Templ!B:C,2,FALSE))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LOWER(VLOOKUP(A186,Xtal_Templ!B:C,2,FALSE))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LOWER(VLOOKUP(A189,Xtal_Templ!B:C,2,FALSE))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LOWER(VLOOKUP(A190,Xtal_Templ!B:C,2,FALSE))</f>
        <v>5ht2c_human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LOWER(VLOOKUP(A191,Xtal_Templ!B:C,2,FALSE))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LOWER(VLOOKUP(A192,Xtal_Templ!B:C,2,FALSE))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LOWER(VLOOKUP(A193,Xtal_Templ!B:C,2,FALSE))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LOWER(VLOOKUP(A194,Xtal_Templ!B:C,2,FALSE))</f>
        <v>opsd_bovin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LOWER(VLOOKUP(A195,Xtal_Templ!B:C,2,FALSE))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LOWER(VLOOKUP(A196,Xtal_Templ!B:C,2,FALSE))</f>
        <v>ox2r_human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LOWER(VLOOKUP(A197,Xtal_Templ!B:C,2,FALSE))</f>
        <v>cxcr4_human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LOWER(VLOOKUP(A198,Xtal_Templ!B:C,2,FALSE))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LOWER(VLOOKUP(A199,Xtal_Templ!B:C,2,FALSE))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LOWER(VLOOKUP(A200,Xtal_Templ!B:C,2,FALSE))</f>
        <v>ednrb_human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LOWER(VLOOKUP(A201,Xtal_Templ!B:C,2,FALSE))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LOWER(VLOOKUP(A202,Xtal_Templ!B:C,2,FALSE))</f>
        <v>ox2r_human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LOWER(VLOOKUP(A203,Xtal_Templ!B:C,2,FALSE))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LOWER(VLOOKUP(A204,Xtal_Templ!B:C,2,FALSE))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LOWER(VLOOKUP(A205,Xtal_Templ!B:C,2,FALSE))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LOWER(VLOOKUP(A206,Xtal_Templ!B:C,2,FALSE))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LOWER(VLOOKUP(A207,Xtal_Templ!B:C,2,FALSE))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LOWER(VLOOKUP(A208,Xtal_Templ!B:C,2,FALSE))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LOWER(VLOOKUP(A209,Xtal_Templ!B:C,2,FALSE))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LOWER(VLOOKUP(A210,Xtal_Templ!B:C,2,FALSE))</f>
        <v>drd4_human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LOWER(VLOOKUP(A211,Xtal_Templ!B:C,2,FALSE))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LOWER(VLOOKUP(A212,Xtal_Templ!B:C,2,FALSE))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LOWER(VLOOKUP(A213,Xtal_Templ!B:C,2,FALSE))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LOWER(VLOOKUP(A214,Xtal_Templ!B:C,2,FALSE))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LOWER(VLOOKUP(A215,Xtal_Templ!B:C,2,FALSE))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LOWER(VLOOKUP(A216,Xtal_Templ!B:C,2,FALSE))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LOWER(VLOOKUP(A217,Xtal_Templ!B:C,2,FALSE))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LOWER(VLOOKUP(A218,Xtal_Templ!B:C,2,FALSE))</f>
        <v>ox2r_human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LOWER(VLOOKUP(A219,Xtal_Templ!B:C,2,FALSE))</f>
        <v>ox2r_human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LOWER(VLOOKUP(A220,Xtal_Templ!B:C,2,FALSE))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LOWER(VLOOKUP(A221,Xtal_Templ!B:C,2,FALSE))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LOWER(VLOOKUP(A222,Xtal_Templ!B:C,2,FALSE))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LOWER(VLOOKUP(A223,Xtal_Templ!B:C,2,FALSE))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LOWER(VLOOKUP(A224,Xtal_Templ!B:C,2,FALSE))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LOWER(VLOOKUP(A225,Xtal_Templ!B:C,2,FALSE))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LOWER(VLOOKUP(A226,Xtal_Templ!B:C,2,FALSE))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LOWER(VLOOKUP(A227,Xtal_Templ!B:C,2,FALSE))</f>
        <v>aa2ar_human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LOWER(VLOOKUP(A228,Xtal_Templ!B:C,2,FALSE))</f>
        <v>npy1r_human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LOWER(VLOOKUP(A229,Xtal_Templ!B:C,2,FALSE))</f>
        <v>npy1r_human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LOWER(VLOOKUP(A230,Xtal_Templ!B:C,2,FALSE))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LOWER(VLOOKUP(A231,Xtal_Templ!B:C,2,FALSE))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LOWER(VLOOKUP(A232,Xtal_Templ!B:C,2,FALSE))</f>
        <v>ptafr_human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LOWER(VLOOKUP(A233,Xtal_Templ!B:C,2,FALSE))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LOWER(VLOOKUP(A234,Xtal_Templ!B:C,2,FALSE))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LOWER(VLOOKUP(A235,Xtal_Templ!B:C,2,FALSE))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LOWER(VLOOKUP(A236,Xtal_Templ!B:C,2,FALSE))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LOWER(VLOOKUP(A237,Xtal_Templ!B:C,2,FALSE))</f>
        <v>apj_human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LOWER(VLOOKUP(A238,Xtal_Templ!B:C,2,FALSE))</f>
        <v>oprd_mouse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LOWER(VLOOKUP(A239,Xtal_Templ!B:C,2,FALSE))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LOWER(VLOOKUP(A240,Xtal_Templ!B:C,2,FALSE))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LOWER(VLOOKUP(A241,Xtal_Templ!B:C,2,FALSE))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LOWER(VLOOKUP(A242,Xtal_Templ!B:C,2,FALSE))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LOWER(VLOOKUP(A243,Xtal_Templ!B:C,2,FALSE))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LOWER(VLOOKUP(A244,Xtal_Templ!B:C,2,FALSE))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LOWER(VLOOKUP(A245,Xtal_Templ!B:C,2,FALSE))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LOWER(VLOOKUP(A246,Xtal_Templ!B:C,2,FALSE))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LOWER(VLOOKUP(A247,Xtal_Templ!B:C,2,FALSE))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LOWER(VLOOKUP(A248,Xtal_Templ!B:C,2,FALSE))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LOWER(VLOOKUP(A249,Xtal_Templ!B:C,2,FALSE))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LOWER(VLOOKUP(A250,Xtal_Templ!B:C,2,FALSE))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LOWER(VLOOKUP(A251,Xtal_Templ!B:C,2,FALSE))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LOWER(VLOOKUP(A252,Xtal_Templ!B:C,2,FALSE))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LOWER(VLOOKUP(A253,Xtal_Templ!B:C,2,FALSE))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LOWER(VLOOKUP(A254,Xtal_Templ!B:C,2,FALSE))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LOWER(VLOOKUP(A255,Xtal_Templ!B:C,2,FALSE))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LOWER(VLOOKUP(A256,Xtal_Templ!B:C,2,FALSE))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LOWER(VLOOKUP(A257,Xtal_Templ!B:C,2,FALSE))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LOWER(VLOOKUP(A258,Xtal_Templ!B:C,2,FALSE))</f>
        <v>ptafr_human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LOWER(VLOOKUP(A259,Xtal_Templ!B:C,2,FALSE))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LOWER(VLOOKUP(A260,Xtal_Templ!B:C,2,FALSE))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LOWER(VLOOKUP(A261,Xtal_Templ!B:C,2,FALSE))</f>
        <v>oprk_human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LOWER(VLOOKUP(A262,Xtal_Templ!B:C,2,FALSE))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LOWER(VLOOKUP(A263,Xtal_Templ!B:C,2,FALSE))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LOWER(VLOOKUP(A264,Xtal_Templ!B:C,2,FALSE))</f>
        <v>agtr1_human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LOWER(VLOOKUP(A265,Xtal_Templ!B:C,2,FALSE))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LOWER(VLOOKUP(A266,Xtal_Templ!B:C,2,FALSE))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LOWER(VLOOKUP(A267,Xtal_Templ!B:C,2,FALSE))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LOWER(VLOOKUP(A268,Xtal_Templ!B:C,2,FALSE))</f>
        <v>5ht2c_human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LOWER(VLOOKUP(A269,Xtal_Templ!B:C,2,FALSE))</f>
        <v>c5ar1_human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LOWER(VLOOKUP(A270,Xtal_Templ!B:C,2,FALSE))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LOWER(VLOOKUP(A271,Xtal_Templ!B:C,2,FALSE))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LOWER(VLOOKUP(A272,Xtal_Templ!B:C,2,FALSE))</f>
        <v>par2_human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LOWER(VLOOKUP(A273,Xtal_Templ!B:C,2,FALSE))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LOWER(VLOOKUP(A274,Xtal_Templ!B:C,2,FALSE))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LOWER(VLOOKUP(A275,Xtal_Templ!B:C,2,FALSE))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LOWER(VLOOKUP(A276,Xtal_Templ!B:C,2,FALSE))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LOWER(VLOOKUP(A277,Xtal_Templ!B:C,2,FALSE))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LOWER(VLOOKUP(A278,Xtal_Templ!B:C,2,FALSE))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LOWER(VLOOKUP(A279,Xtal_Templ!B:C,2,FALSE))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LOWER(VLOOKUP(A280,Xtal_Templ!B:C,2,FALSE))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LOWER(VLOOKUP(A281,Xtal_Templ!B:C,2,FALSE))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LOWER(VLOOKUP(A282,Xtal_Templ!B:C,2,FALSE))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LOWER(VLOOKUP(A283,Xtal_Templ!B:C,2,FALSE))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LOWER(VLOOKUP(A284,Xtal_Templ!B:C,2,FALSE))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LOWER(VLOOKUP(A285,Xtal_Templ!B:C,2,FALSE))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LOWER(VLOOKUP(A286,Xtal_Templ!B:C,2,FALSE))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LOWER(VLOOKUP(A287,Xtal_Templ!B:C,2,FALSE))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LOWER(VLOOKUP(A288,Xtal_Templ!B:C,2,FALSE))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LOWER(VLOOKUP(A289,Xtal_Templ!B:C,2,FALSE))</f>
        <v>aa2ar_human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LOWER(VLOOKUP(A290,Xtal_Templ!B:C,2,FALSE))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LOWER(VLOOKUP(A291,Xtal_Templ!B:C,2,FALSE))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LOWER(VLOOKUP(A292,Xtal_Templ!B:C,2,FALSE))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LOWER(VLOOKUP(A293,Xtal_Templ!B:C,2,FALSE))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LOWER(VLOOKUP(A294,Xtal_Templ!B:C,2,FALSE))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LOWER(VLOOKUP(A295,Xtal_Templ!B:C,2,FALSE))</f>
        <v>5ht2c_human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LOWER(VLOOKUP(A296,Xtal_Templ!B:C,2,FALSE))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LOWER(VLOOKUP(A297,Xtal_Templ!B:C,2,FALSE))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LOWER(VLOOKUP(A298,Xtal_Templ!B:C,2,FALSE))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LOWER(VLOOKUP(A299,Xtal_Templ!B:C,2,FALSE))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LOWER(VLOOKUP(A300,Xtal_Templ!B:C,2,FALSE))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LOWER(VLOOKUP(A301,Xtal_Templ!B:C,2,FALSE))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LOWER(VLOOKUP(A302,Xtal_Templ!B:C,2,FALSE))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LOWER(VLOOKUP(A303,Xtal_Templ!B:C,2,FALSE))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LOWER(VLOOKUP(A304,Xtal_Templ!B:C,2,FALSE))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LOWER(VLOOKUP(A305,Xtal_Templ!B:C,2,FALSE))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LOWER(VLOOKUP(A306,Xtal_Templ!B:C,2,FALSE))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LOWER(VLOOKUP(A307,Xtal_Templ!B:C,2,FALSE))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LOWER(VLOOKUP(A308,Xtal_Templ!B:C,2,FALSE))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LOWER(VLOOKUP(A309,Xtal_Templ!B:C,2,FALSE))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LOWER(VLOOKUP(A310,Xtal_Templ!B:C,2,FALSE))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LOWER(VLOOKUP(A311,Xtal_Templ!B:C,2,FALSE))</f>
        <v>glp1r_human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LOWER(VLOOKUP(A312,Xtal_Templ!B:C,2,FALSE))</f>
        <v>glp1r_human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LOWER(VLOOKUP(A313,Xtal_Templ!B:C,2,FALSE))</f>
        <v>glr_human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LOWER(VLOOKUP(A314,Xtal_Templ!B:C,2,FALSE))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LOWER(VLOOKUP(A315,Xtal_Templ!B:C,2,FALSE))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LOWER(VLOOKUP(A316,Xtal_Templ!B:C,2,FALSE))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LOWER(VLOOKUP(A317,Xtal_Templ!B:C,2,FALSE))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LOWER(VLOOKUP(A318,Xtal_Templ!B:C,2,FALSE))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LOWER(VLOOKUP(A319,Xtal_Templ!B:C,2,FALSE))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LOWER(VLOOKUP(A320,Xtal_Templ!B:C,2,FALSE))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LOWER(VLOOKUP(A321,Xtal_Templ!B:C,2,FALSE))</f>
        <v>glp1r_human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LOWER(VLOOKUP(A322,Xtal_Templ!B:C,2,FALSE))</f>
        <v>calcr_human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LOWER(VLOOKUP(A323,Xtal_Templ!B:C,2,FALSE))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LOWER(VLOOKUP(A324,Xtal_Templ!B:C,2,FALSE))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LOWER(VLOOKUP(A325,Xtal_Templ!B:C,2,FALSE))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LOWER(VLOOKUP(A326,Xtal_Templ!B:C,2,FALSE))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LOWER(VLOOKUP(A327,Xtal_Templ!B:C,2,FALSE))</f>
        <v>calcr_human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LOWER(VLOOKUP(A328,Xtal_Templ!B:C,2,FALSE))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LOWER(VLOOKUP(A329,Xtal_Templ!B:C,2,FALSE))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LOWER(VLOOKUP(A330,Xtal_Templ!B:C,2,FALSE))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LOWER(VLOOKUP(A331,Xtal_Templ!B:C,2,FALSE))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LOWER(VLOOKUP(A332,Xtal_Templ!B:C,2,FALSE))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LOWER(VLOOKUP(A333,Xtal_Templ!B:C,2,FALSE))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LOWER(VLOOKUP(A334,Xtal_Templ!B:C,2,FALSE))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LOWER(VLOOKUP(A335,Xtal_Templ!B:C,2,FALSE))</f>
        <v>glr_human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LOWER(VLOOKUP(A336,Xtal_Templ!B:C,2,FALSE))</f>
        <v>glp1r_human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LOWER(VLOOKUP(A337,Xtal_Templ!B:C,2,FALSE))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LOWER(VLOOKUP(A338,Xtal_Templ!B:C,2,FALSE))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LOWER(VLOOKUP(A339,Xtal_Templ!B:C,2,FALSE))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LOWER(VLOOKUP(A340,Xtal_Templ!B:C,2,FALSE))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LOWER(VLOOKUP(A341,Xtal_Templ!B:C,2,FALSE))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LOWER(VLOOKUP(A342,Xtal_Templ!B:C,2,FALSE))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LOWER(VLOOKUP(A343,Xtal_Templ!B:C,2,FALSE))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LOWER(VLOOKUP(A344,Xtal_Templ!B:C,2,FALSE))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LOWER(VLOOKUP(A345,Xtal_Templ!B:C,2,FALSE))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LOWER(VLOOKUP(A346,Xtal_Templ!B:C,2,FALSE))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LOWER(VLOOKUP(A347,Xtal_Templ!B:C,2,FALSE))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LOWER(VLOOKUP(A348,Xtal_Templ!B:C,2,FALSE))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LOWER(VLOOKUP(A349,Xtal_Templ!B:C,2,FALSE))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LOWER(VLOOKUP(A350,Xtal_Templ!B:C,2,FALSE))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LOWER(VLOOKUP(A351,Xtal_Templ!B:C,2,FALSE))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LOWER(VLOOKUP(A352,Xtal_Templ!B:C,2,FALSE))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LOWER(VLOOKUP(A353,Xtal_Templ!B:C,2,FALSE))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LOWER(VLOOKUP(A354,Xtal_Templ!B:C,2,FALSE))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LOWER(VLOOKUP(A355,Xtal_Templ!B:C,2,FALSE))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LOWER(VLOOKUP(A356,Xtal_Templ!B:C,2,FALSE))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LOWER(VLOOKUP(A357,Xtal_Templ!B:C,2,FALSE))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LOWER(VLOOKUP(A358,Xtal_Templ!B:C,2,FALSE))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LOWER(VLOOKUP(A359,Xtal_Templ!B:C,2,FALSE))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LOWER(VLOOKUP(A360,Xtal_Templ!B:C,2,FALSE))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LOWER(VLOOKUP(A361,Xtal_Templ!B:C,2,FALSE))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LOWER(VLOOKUP(A362,Xtal_Templ!B:C,2,FALSE))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LOWER(VLOOKUP(A363,Xtal_Templ!B:C,2,FALSE))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LOWER(VLOOKUP(A364,Xtal_Templ!B:C,2,FALSE))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LOWER(VLOOKUP(A365,Xtal_Templ!B:C,2,FALSE))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LOWER(VLOOKUP(A366,Xtal_Templ!B:C,2,FALSE))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LOWER(VLOOKUP(A367,Xtal_Templ!B:C,2,FALSE))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LOWER(VLOOKUP(A368,Xtal_Templ!B:C,2,FALSE))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LOWER(VLOOKUP(A369,Xtal_Templ!B:C,2,FALSE))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LOWER(VLOOKUP(A370,Xtal_Templ!B:C,2,FALSE))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LOWER(VLOOKUP(A371,Xtal_Templ!B:C,2,FALSE))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LOWER(VLOOKUP(A372,Xtal_Templ!B:C,2,FALSE))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LOWER(VLOOKUP(A373,Xtal_Templ!B:C,2,FALSE))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LOWER(VLOOKUP(A374,Xtal_Templ!B:C,2,FALSE))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LOWER(VLOOKUP(A375,Xtal_Templ!B:C,2,FALSE))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LOWER(VLOOKUP(A376,Xtal_Templ!B:C,2,FALSE))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LOWER(VLOOKUP(A377,Xtal_Templ!B:C,2,FALSE))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LOWER(VLOOKUP(A378,Xtal_Templ!B:C,2,FALSE))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LOWER(VLOOKUP(A379,Xtal_Templ!B:C,2,FALSE))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LOWER(VLOOKUP(A380,Xtal_Templ!B:C,2,FALSE))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LOWER(VLOOKUP(A381,Xtal_Templ!B:C,2,FALSE))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LOWER(VLOOKUP(A382,Xtal_Templ!B:C,2,FALSE))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LOWER(VLOOKUP(A383,Xtal_Templ!B:C,2,FALSE))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LOWER(VLOOKUP(A384,Xtal_Templ!B:C,2,FALSE))</f>
        <v>oprk_human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LOWER(VLOOKUP(A385,Xtal_Templ!B:C,2,FALSE))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LOWER(VLOOKUP(A386,Xtal_Templ!B:C,2,FALSE))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LOWER(VLOOKUP(A387,Xtal_Templ!B:C,2,FALSE))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LOWER(VLOOKUP(A388,Xtal_Templ!B:C,2,FALSE))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LOWER(VLOOKUP(A389,Xtal_Templ!B:C,2,FALSE))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LOWER(VLOOKUP(A390,Xtal_Templ!B:C,2,FALSE))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LOWER(VLOOKUP(A391,Xtal_Templ!B:C,2,FALSE))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LOWER(VLOOKUP(A392,Xtal_Templ!B:C,2,FALSE))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LOWER(VLOOKUP(A393,Xtal_Templ!B:C,2,FALSE))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LOWER(VLOOKUP(A394,Xtal_Templ!B:C,2,FALSE))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LOWER(VLOOKUP(A395,Xtal_Templ!B:C,2,FALSE))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LOWER(VLOOKUP(A396,Xtal_Templ!B:C,2,FALSE))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LOWER(VLOOKUP(A397,Xtal_Templ!B:C,2,FALSE))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LOWER(VLOOKUP(A398,Xtal_Templ!B:C,2,FALSE))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LOWER(VLOOKUP(A399,Xtal_Templ!B:C,2,FALSE))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LOWER(VLOOKUP(A400,Xtal_Templ!B:C,2,FALSE))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LOWER(VLOOKUP(A401,Xtal_Templ!B:C,2,FALSE))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LOWER(VLOOKUP(A402,Xtal_Templ!B:C,2,FALSE))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LOWER(VLOOKUP(A403,Xtal_Templ!B:C,2,FALSE))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LOWER(VLOOKUP(A404,Xtal_Templ!B:C,2,FALSE))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LOWER(VLOOKUP(A405,Xtal_Templ!B:C,2,FALSE))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LOWER(VLOOKUP(A406,Xtal_Templ!B:C,2,FALSE))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LOWER(VLOOKUP(A407,Xtal_Templ!B:C,2,FALSE))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LOWER(VLOOKUP(A408,Xtal_Templ!B:C,2,FALSE))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LOWER(VLOOKUP(A409,Xtal_Templ!B:C,2,FALSE))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LOWER(VLOOKUP(A410,Xtal_Templ!B:C,2,FALSE))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LOWER(VLOOKUP(A411,Xtal_Templ!B:C,2,FALSE))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108" activePane="bottomLeft" state="frozenSplit"/>
      <selection pane="bottomLeft" activeCell="C124" sqref="C12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 t="shared" ref="D124" si="2"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3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4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5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6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7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7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7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7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7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TSRATGTAFLLLAALLGLPGNGFVVWSLAGW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</v>
      </c>
      <c r="R14" s="5">
        <f>VLOOKUP($A14,'SegEnds_NonXtal_Prot#'!$A:$AL,3,FALSE)</f>
        <v>49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337</v>
      </c>
      <c r="AP14" s="5">
        <f t="shared" si="13"/>
        <v>30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14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TFDSVVFYLTLIVGLGGPVGNGLVLWNLGFRGPFSIYLLHLAAADFLFLSCRVGFSVATLYFVLTFLWFAVGLWLLAAFSVERCLSDLFPRHASAVLCALVWTPTLPAVPLPANACCPRYHVASVTWFLVLARVAWTAGVVLFVWVTCCSRPRLYGIVLGALLLLFFCGLPSVFYWSLQPLLPVFSPLATLLACVNSSSKPLIYSGLGRQPGKREPLRSVLR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TFDSVVFYLTLIVGLGGPVGNGLVLWNLGFR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</v>
      </c>
      <c r="R16" s="5">
        <f>VLOOKUP($A16,'SegEnds_NonXtal_Prot#'!$A:$AL,3,FALSE)</f>
        <v>10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79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156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268</v>
      </c>
      <c r="AP16" s="5">
        <f t="shared" si="13"/>
        <v>30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30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33</v>
      </c>
      <c r="AY16" s="4">
        <f t="shared" si="22"/>
        <v>31</v>
      </c>
      <c r="AZ16" s="4">
        <f t="shared" si="23"/>
        <v>24</v>
      </c>
      <c r="BA16" s="4">
        <f t="shared" si="24"/>
        <v>14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SVGPATSTLMFVAGVVGNGLALGILSAR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GPRCARLALPAIYAFCVLFCALPLLGL</v>
      </c>
      <c r="M24" s="4" t="str">
        <f t="shared" si="8"/>
        <v>CFL</v>
      </c>
      <c r="N24" s="4" t="str">
        <f t="shared" si="9"/>
        <v>AQPGGAAFSLAYAGLVALLVAAIFLCNGSVTLSLCRMYRQQKRH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RKAVFQRLKLWVCCL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177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41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310</v>
      </c>
      <c r="AP24" s="5">
        <f t="shared" si="13"/>
        <v>27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43</v>
      </c>
      <c r="AY24" s="4">
        <f t="shared" si="22"/>
        <v>39</v>
      </c>
      <c r="AZ24" s="4">
        <f t="shared" si="23"/>
        <v>25</v>
      </c>
      <c r="BA24" s="4">
        <f t="shared" si="24"/>
        <v>14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TATLVTCTFLLAVIFCLGSYGNFIVFLSFFDPTNFDFMILNLSFCDLFICGVTAPMFTFVLFFSSIPDAFCFTFHLTSSGFIIMSLKTVAVIALHRLRMVLGSFPCTVLLTLLLWATSFTLATLATLKTSKSHLKGKAILSLYVVDFTFCVAVVSVSYIMIAQTLRKNAQVRKCPPNLSTAKDSKAVVTCVIIVLSVLVCCLPLGISLVQVVLSLYQFELFGFTLIFFKSGLNPFIYSRNSAGLRRKVLWCL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SFPCTVLLTLLLWATSFTLATLATLKTSKSHL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188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391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31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11</v>
      </c>
    </row>
    <row r="29" spans="1:53" x14ac:dyDescent="0.2">
      <c r="A29" s="1" t="str">
        <f>'SegEnds_NonXtal_Prot#'!A295</f>
        <v>pkr2_human</v>
      </c>
      <c r="B29" s="1" t="str">
        <f t="shared" si="0"/>
        <v>FFAAKIVIGIALAGIMLVCGIGNFVFIAALTRYNLTNLLIANLAISDFLVAIICCPFEMDYYVVRGHVLCASVNYLRTVSLYVSTNALLAIAIDRYLAIVHNYQTASFLIALVWMVSILIAIPSAYFAQQLYYKSYFLFIFGVEFVGPVVTMTLCYARISRELWFKAVPGFQIRKRLRCRRKTVLVLMCILTAYVLCWAPFYGFTIVRDFFEKHYLTAFYVVECIAMSNSMINTVCFVTVNNTMKYFKKMML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FFAAKIVIGIALAGIMLVCGIGNFVFIAALTRY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QQLYYKSYFLFIFGVEFVGPVVTMTLCYARISRELWFKAVPGF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49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216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32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42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757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30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ILMSPHILESLILTYITYVGLGISICSLILCLSIEVLVEITYLRHVCIVNIAATLLMADVWFIVAKGCVAATFFVHFFYLSVFFWMLAKALLILYGIMILVASLFSVGYGCPLAIAAITVAATEPGKMTKALLAFVIPALAIVVVNLITVTLVIVKTQRAAKNIAILTPLLGLTWGFGVATVISLAFHIIFSLLNAFQVSPDASDQVQS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LVASLFSVGYGCPLAIAAITVAATEPGK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586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27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VSLTGFLMLEIVLGLGSNLTVLVLYCMKNSVSNIITMNLHVLDVIICVGCIPLTIVILLLSTALICCFHEACVSFASVSTAINVFAITLDRYDISVKTMGRAVMLMISIWIFSFFSFLIPFIEGMYYHLLVQIPIFFFTVVVMLITYTKILQALNIRIGTRFSRERRERQKRVFRMSLLIISTFLLCWTPISVLNTTILCLLVKLRLCFLVMAYGTTIFHPLLYAFTRQKFQKVLKSKMKK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VSLTGFLMLEIVLGLGSNLTVLVLYCMK</v>
      </c>
      <c r="G41" s="4" t="str">
        <f t="shared" si="2"/>
        <v>SNLI</v>
      </c>
      <c r="H41" s="4" t="str">
        <f t="shared" si="3"/>
        <v>NSVSNIITMNLHVLDVIICVGCIPLTIVILLLS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RQKFQKVLKSKMKK</v>
      </c>
      <c r="R41" s="5">
        <f>VLOOKUP($A41,'SegEnds_NonXtal_Prot#'!$A:$AL,3,FALSE)</f>
        <v>42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106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384</v>
      </c>
      <c r="AP41" s="5">
        <f t="shared" si="13"/>
        <v>27</v>
      </c>
      <c r="AQ41" s="4">
        <f t="shared" si="14"/>
        <v>3</v>
      </c>
      <c r="AR41" s="4">
        <f t="shared" si="15"/>
        <v>32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13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VIPVIYYSVLLGLGLPVSLLTAVALARLRPSYYYLLALTASDIIIQVVIVFAGFLLQGARQVPQAVVRTANILEFAANHASVWIAILLTVDRYTALCHSSPGRTRRAIAAVLSAALLTGIPFYWWLDMDEVLKWAHCLTVYFIPCGVFLVTNSAIIHRLRRLQPRVGKSTAILLGITTLFTLLWAPRVFVMLYHMYVDWRVHLALDVANMVAMLHTAANFGLYCFVSKTFRATVRQVIHD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SKTFRATVRQVIHD</v>
      </c>
      <c r="R48" s="5">
        <f>VLOOKUP($A48,'SegEnds_NonXtal_Prot#'!$A:$AL,3,FALSE)</f>
        <v>157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27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PRWVYHLTSVWMIFVVTASVFTNGLVLAATMKFHPLNWILVNLAVADLAETVIASTISIVNQVSLGHPMCVLEGYTVSLCGITGLWSLAIISWERWLVVCKDAKLAIVGIAFSWIWSAVWTAPPIFGVQSYMIVLMVTCCIIPLAIIMLCYLQVWLAIRAVAKQQESTQKAEKEVTRMVVVMIFAYCVCWGPYTFFACFAAANHPLMAALPAYFAKSATIYNPVIYVFMNRQFRNCILQLFG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PRWVYHLTSVWMIFVVTASVFTNGLVLAATMKF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49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32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SSLEDLVATGTIGTLLSAMGVVGVVGNAYTLVVTCRSASMYVYVVNLALADLLYLLSIPFIVATYVTGDVGCRVLFGLDFLTMHASIFTLTVMSSERYAAVLRPKGYRKLLALGTWLLALLLTLPVMLAMWGPRAHRAYLTLLFATSIAGPGLLIGLLYARLARAYRRSQRASPGARALRLVLGIVLLFWACFLPFWLWQLLAQYHPRTARIVNYLTTCLTYGNSCANPFLYTLLTRNYRDHLRGRVR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WGPRAHRAYLTLLFATSIAGPGLLIGLLYARLARAYRRSQRAS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43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203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36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42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54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28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EGFGSVEKVVLLTFLSTVILMAILGNLLVMVAVCWD</v>
      </c>
      <c r="G77" s="4" t="str">
        <f t="shared" si="27"/>
        <v>RQLR</v>
      </c>
      <c r="H77" s="4" t="str">
        <f t="shared" si="28"/>
        <v>KIKTNYFIVSLAFADLLVSVLVMPFGAIELVQ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TPLRIALMLGGCWVIPTFISFLPIMQG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12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83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160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35</v>
      </c>
      <c r="AQ77" s="4">
        <f t="shared" si="39"/>
        <v>3</v>
      </c>
      <c r="AR77" s="4">
        <f t="shared" si="40"/>
        <v>31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</v>
      </c>
      <c r="R83" s="5">
        <f>VLOOKUP($A83,'SegEnds_NonXtal_Prot#'!$A:$AL,3,FALSE)</f>
        <v>41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203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327</v>
      </c>
      <c r="AP83" s="5">
        <f t="shared" si="38"/>
        <v>33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37</v>
      </c>
      <c r="AY83" s="4">
        <f t="shared" si="47"/>
        <v>34</v>
      </c>
      <c r="AZ83" s="4">
        <f t="shared" si="48"/>
        <v>32</v>
      </c>
      <c r="BA83" s="4">
        <f t="shared" si="49"/>
        <v>11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88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86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APVNISKAILLGVILGGLILFGVLGNILVILSVACH</v>
      </c>
      <c r="G91" s="4" t="str">
        <f t="shared" si="27"/>
        <v>RHLH</v>
      </c>
      <c r="H91" s="4" t="str">
        <f t="shared" si="28"/>
        <v>SVTHYYIVNLAVADLLLTSTVLPFSAIFEVL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TQRRGLMALLCVWALSLVISIGPLFGW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19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89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165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35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26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GLVVSAQGVGVGVFLAAFILMAVAGNLLVILSVACN</v>
      </c>
      <c r="G93" s="4" t="str">
        <f t="shared" si="27"/>
        <v>RHLQ</v>
      </c>
      <c r="H93" s="4" t="str">
        <f t="shared" si="28"/>
        <v>TVTNYFIVNLAVADLLLSATVLPFSATMEVL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TERKAAAILALLWVVALVVSVGPLLGW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89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159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235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IDDFRNQVYSTLYSMISVVGFFGNGFVLYVLIKTYSAFQVYMINLAVADLLCVCTLPLRVVYYVHKGDFLCRLSTYALYVNLYCSIFFMTAMSFFRCIAIVFTQKKARFVCVGIWIFVILTSSPFLMANHVLVLHYVSLFVGFIIPFVIIIVCYTMIILTLLKNLSSHKKAIGMIMVVTAAFLVSFMPYHIQRTIHLHFLHNPCDSVLRMQKSVVITLSLAASNCCFDPLLYFFSGGNFRKRLSTFRKHSLS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IDDFRNQVYSTLYSMISVVGFFGNGFVLYVLIKTY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PCDSVLRMQKSVVITLSLAASNCCFDPLLYFFSGGN</v>
      </c>
      <c r="Q116" s="4" t="str">
        <f t="shared" si="37"/>
        <v>FRKRLSTFRKHSLS</v>
      </c>
      <c r="R116" s="5">
        <f>VLOOKUP($A116,'SegEnds_NonXtal_Prot#'!$A:$AL,3,FALSE)</f>
        <v>18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184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302</v>
      </c>
      <c r="AD116" s="5">
        <f>VLOOKUP($A116,'SegEnds_NonXtal_Prot#'!$A:$AL,5,FALSE)</f>
        <v>52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301</v>
      </c>
      <c r="AO116" s="5">
        <f>VLOOKUP($A116,'SegEnds_NonXtal_Prot#'!$A:$AL,38,FALSE)</f>
        <v>315</v>
      </c>
      <c r="AP116" s="5">
        <f t="shared" si="38"/>
        <v>34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34</v>
      </c>
      <c r="AY116" s="4">
        <f t="shared" si="47"/>
        <v>38</v>
      </c>
      <c r="AZ116" s="4">
        <f t="shared" si="48"/>
        <v>35</v>
      </c>
      <c r="BA116" s="4">
        <f t="shared" si="49"/>
        <v>13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</v>
      </c>
      <c r="R121" s="5">
        <f>VLOOKUP($A121,'SegEnds_NonXtal_Prot#'!$A:$AL,3,FALSE)</f>
        <v>26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184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308</v>
      </c>
      <c r="AP121" s="5">
        <f t="shared" si="38"/>
        <v>33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37</v>
      </c>
      <c r="AY121" s="4">
        <f t="shared" si="47"/>
        <v>34</v>
      </c>
      <c r="AZ121" s="4">
        <f t="shared" si="48"/>
        <v>32</v>
      </c>
      <c r="BA121" s="4">
        <f t="shared" si="49"/>
        <v>11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FLDIITYLVFAVTFVLGVLGNGLVIWVAGFR</v>
      </c>
      <c r="G135" s="4" t="str">
        <f t="shared" si="52"/>
        <v/>
      </c>
      <c r="H135" s="4" t="str">
        <f t="shared" si="53"/>
        <v>TVTTISYLNLAVADFCFTSTLPFFMVRKAM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</v>
      </c>
      <c r="R135" s="5">
        <f>VLOOKUP($A135,'SegEnds_NonXtal_Prot#'!$A:$AL,3,FALSE)</f>
        <v>24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197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87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319</v>
      </c>
      <c r="AP135" s="5">
        <f t="shared" si="63"/>
        <v>30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34</v>
      </c>
      <c r="AY135" s="4">
        <f t="shared" si="72"/>
        <v>31</v>
      </c>
      <c r="AZ135" s="4">
        <f t="shared" si="73"/>
        <v>28</v>
      </c>
      <c r="BA135" s="4">
        <f t="shared" si="74"/>
        <v>14</v>
      </c>
    </row>
    <row r="136" spans="1:53" x14ac:dyDescent="0.2">
      <c r="A136" s="1" t="str">
        <f>'SegEnds_NonXtal_Prot#'!A107</f>
        <v>fpr2_human</v>
      </c>
      <c r="B136" s="1" t="str">
        <f t="shared" si="50"/>
        <v>TVLRILPLVVLGVTFVLGVLGNGLVIWVAGFRTVTTICYLNLALADFSFTATLPFLIVSMAMGGWFLCKLIHIVVDINLFGSVFLIGFIALDRCICVLHTVSLAMKVIVGPWILALVLTLPVFLFLAITMLTARGIIRFVIGFSLPMSIVAICYGLIAAKIHKKSSRPLRVLTAVVASFFICWFPFQLVALLGTVWFYGKYKIIDILVNPTSSLAFFNSCLNPMLYVFVGQDFRERLIH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TVLRILPLVVLGVTFVLGVLGNGLVIWVAGFR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</v>
      </c>
      <c r="R136" s="5">
        <f>VLOOKUP($A136,'SegEnds_NonXtal_Prot#'!$A:$AL,3,FALSE)</f>
        <v>23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194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315</v>
      </c>
      <c r="AP136" s="5">
        <f t="shared" si="63"/>
        <v>31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37</v>
      </c>
      <c r="AY136" s="4">
        <f t="shared" si="72"/>
        <v>31</v>
      </c>
      <c r="AZ136" s="4">
        <f t="shared" si="73"/>
        <v>32</v>
      </c>
      <c r="BA136" s="4">
        <f t="shared" si="74"/>
        <v>9</v>
      </c>
    </row>
    <row r="137" spans="1:53" x14ac:dyDescent="0.2">
      <c r="A137" s="1" t="str">
        <f>'SegEnds_NonXtal_Prot#'!A108</f>
        <v>fpr3_human</v>
      </c>
      <c r="B137" s="1" t="str">
        <f t="shared" si="50"/>
        <v>TVLWIFSLLVHGVTFVFGVLGNGLVIWVAGFRTVNTICYLNLALADFSFSAILPFRMVSVAMRGSFLCKLVHVMIDINLFVSVYLITIIALDRCICVLHTMSLAKRVMTGLWIFTIVLTLPNFIFWFITMAKVFLILHFIIGFSVPMSIITVCYGIIAAKIHRNSSRPLRVFAAVVASFFICWFPYELIGILMAVWLNGKYKIILVLINPTSSLAFFNSCLNPILYVFMGRNFQERLIR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TVLWIFSLLVHGVTFVFGVLGNGLVIWVAGFR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</v>
      </c>
      <c r="R137" s="5">
        <f>VLOOKUP($A137,'SegEnds_NonXtal_Prot#'!$A:$AL,3,FALSE)</f>
        <v>23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194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315</v>
      </c>
      <c r="AP137" s="5">
        <f t="shared" si="63"/>
        <v>31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37</v>
      </c>
      <c r="AY137" s="4">
        <f t="shared" si="72"/>
        <v>31</v>
      </c>
      <c r="AZ137" s="4">
        <f t="shared" si="73"/>
        <v>32</v>
      </c>
      <c r="BA137" s="4">
        <f t="shared" si="74"/>
        <v>9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KMPISLAHGIIRSTVLVIFLAASFVGNIVLALVLQRK</v>
      </c>
      <c r="G143" s="4" t="str">
        <f t="shared" si="52"/>
        <v>PQLL</v>
      </c>
      <c r="H143" s="4" t="str">
        <f t="shared" si="53"/>
        <v>QVTNRFIFNLLVTDLLQISLVAPWVVATSV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</v>
      </c>
      <c r="R143" s="5">
        <f>VLOOKUP($A143,'SegEnds_NonXtal_Prot#'!$A:$AL,3,FALSE)</f>
        <v>23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93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170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470</v>
      </c>
      <c r="AP143" s="5">
        <f t="shared" si="63"/>
        <v>36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12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DPIVTPHLISLYFIVLIGGLVGVISILFLLVKSVTTMAVINLVVVHSVFLLTVPFRLTYLIKGLPFCKFVSAMLHIHMYLTFLFYVVILVTRYLIFFKRKLHAVAASAGMWTLVIVIVVPLVVSVKIINYMIVIFVIAVAVILLVFQVFIIMLMVQKLRHSHQEFWAQLKNLFFIGVILVCFLPYQFFRIYYLNVCNSKVAFYNEIFLSVTAISCYDLLLFVFGSHWFKQKIIGLWN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</v>
      </c>
      <c r="M145" s="4" t="str">
        <f t="shared" si="58"/>
        <v>CFK</v>
      </c>
      <c r="N145" s="4" t="str">
        <f t="shared" si="59"/>
        <v>VKIINYMIVIFVIAVAVILLVFQVFIIMLMVQKLRHS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178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153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25</v>
      </c>
      <c r="AW145" s="4">
        <f t="shared" si="70"/>
        <v>2</v>
      </c>
      <c r="AX145" s="4">
        <f t="shared" si="71"/>
        <v>36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PSSMLYWLFLPSSLLAAATLAVSPLLLVTILRNQEPHYLLPANILLSDLAYILLHMLISSSSLGGRMACGILTDAVFAACTSTILSFTAIVLHTYLAVIHSHGAAWKAVALIWLVACCFPTFLIWLEQGASYILPPSMGTQPGCGLLVIVTYTSILCVLFLCTALIANGQGYSRARGTLLIHSVLITLYVSTGVVFSLDMVLTGTHTWLLAANSEVLMMLPRAMLTYLYLLRYRQLL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PSSMLYWLFLPSSLLAAATLAVSPLLLVTILRN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</v>
      </c>
      <c r="R146" s="5">
        <f>VLOOKUP($A146,'SegEnds_NonXtal_Prot#'!$A:$AL,3,FALSE)</f>
        <v>45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328</v>
      </c>
      <c r="AP146" s="5">
        <f t="shared" si="63"/>
        <v>32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11</v>
      </c>
    </row>
    <row r="147" spans="1:53" x14ac:dyDescent="0.2">
      <c r="A147" s="1" t="str">
        <f>'SegEnds_NonXtal_Prot#'!A119</f>
        <v>gp152_human</v>
      </c>
      <c r="B147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YPQGGWDTVFLVALLLLGLPANGLMAWLAGSQ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26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31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'SegEnds_NonXtal_Prot#'!A120</f>
        <v>gp153_human</v>
      </c>
      <c r="B148" s="1" t="str">
        <f t="shared" si="50"/>
        <v>ERRLPGSAVGWLVCGGLSLLANAWGILSVGAKKPLEFLLCTLAATHMLNVAVPIATYSVVQLNEGLCKVFVSTFYTLTLATCFSVTSLSYHRMWMVCWAKKQAVHTVMGIWMVSFILSALPAVGGLGFGVCFLLLVGGSVAMGVICTAIALFQTLAVQVGRQADRREPAKTSLQTTGLVTTIVFIYDCLMGFPVLVVSFSSLRAPWMALCVLWCSVAQALLLPVFLWACDRYRADLKAVRE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69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TARIVMPLHYSLVFIIGLVGNLLALVVIVQNNSTTLYSTNLVISDILFTTALPTRIAYYAMGGDALCRITALVFYINTYAGVNFMTCLSIDRFIAVVHRIEHAKGVCIFVWILVFAQTLPLLINPEETKSLPWILLGACFIGYVLPLIIILICYSQICCKLFRTLTEKSGVNKKALNTIILIIVVFVLCFTPYHVAIIQHMIKKLRECSQRHSFQISLHFTVCLMNFNCCMDPFIYFFACKGYKRKVMRMLK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TARIVMPLHYSLVFIIGLVGNLLALVVIVQN</v>
      </c>
      <c r="G151" s="4" t="str">
        <f t="shared" si="52"/>
        <v>RKKI</v>
      </c>
      <c r="H151" s="4" t="str">
        <f t="shared" si="53"/>
        <v>NSTTLYSTNLVISDILFTTALPTRIAYYAMG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29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94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30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VFLPVFYTAVFLTGVLGNLVLMGALHFKRLIDIFIINLAASDFIFLVTLPLWVDKEASLGSFLCKGSSYMISVNMHCSVLLLTCMSVDRYLAIVWRTDCAYVVCASIWFISCLLGLPTLLSRKATPIKLIWSLVALIFTFFVPLLSIVTCYCCIARKLCAHGKHNKKLKKSIKIIFIVVAAFLVSWLPFNTFKFLAIVSHYLPSAILQLGMEVSGPLAFANSCVNPFIYYIFDSYIRRAIVHCLCPC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KATPIKLIWSLVALIFTFFVPLLSIVTCYCCIARKLCAH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34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187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27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38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IAALVFYSCIFIIGLFVNITALWVFSCTTTVTIYMMNVALVDLIFIMTLPFRMFYYAKGEYFCQILGALTVFYPSIALWLLAFISADRYMAIVQNTCKAVLACVGVWIMTLTTTTPLLLLYIYLKAVNVLNLTRLTFFFLIPLFIMIGCYLVIIHNLLHGKLKPKVKEKSIRIIITLLVQVLVCFMPFHICFAFLMLGYNPWGAFTTFLMNLSTCLDVILYYIVSKQFQARVISVMLYR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</v>
      </c>
      <c r="R157" s="5">
        <f>VLOOKUP($A157,'SegEnds_NonXtal_Prot#'!$A:$AL,3,FALSE)</f>
        <v>23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304</v>
      </c>
      <c r="AP157" s="5">
        <f t="shared" si="63"/>
        <v>27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14</v>
      </c>
    </row>
    <row r="158" spans="1:53" x14ac:dyDescent="0.2">
      <c r="A158" s="1" t="str">
        <f>'SegEnds_NonXtal_Prot#'!A133</f>
        <v>gpr20_human</v>
      </c>
      <c r="B158" s="1" t="str">
        <f t="shared" si="50"/>
        <v>FPGLWLALMAVHGAIFLAGLVLNGLALYVFCCRTPSVIYTINLVVTDLLVGLSLPTRFAVYYGCAFPHVLGYFLNMHCSILFLTCICVDRYLAIVRQPACARAVCAFVWLAAGAVTLSVLGRVFALTVLEFLLPLLVISVFTGRIMCALSRPHQGRQRRVRAMQLLLTVLIIFLVCFTPFHARQVAVALWHHTSLVVYHVAVTLSSLNSCMDPIVYCFVTSGFQATVRGLFGQH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FPGLWLALMAVHGAIFLAGLVLNGLALYVFCCR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TSGFQATVRGLFGQH</v>
      </c>
      <c r="R158" s="5">
        <f>VLOOKUP($A158,'SegEnds_NonXtal_Prot#'!$A:$AL,3,FALSE)</f>
        <v>49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187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315</v>
      </c>
      <c r="AP158" s="5">
        <f t="shared" si="63"/>
        <v>32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24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14</v>
      </c>
    </row>
    <row r="159" spans="1:53" x14ac:dyDescent="0.2">
      <c r="A159" s="1" t="str">
        <f>'SegEnds_NonXtal_Prot#'!A134</f>
        <v>gpr21_human</v>
      </c>
      <c r="B159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168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319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11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6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36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SLRPLTVVILSASIVVGVLGNGLVLWMTVFRTVSTVCFFHLALADFMLSLSLPIAMYYIVSGEWACKLYITFVFLSYFASNCLLVFISVDRCISVLYTVQRASWLAFGVWLLAAALCSAHLKFRGVVEGHIIGTIGHFLLGFLGPLAIIGTCAHLIRAKLLREANRPKRLLLVLVSAFFIFWSPFNVVLLVHLWRHPRMLLILQASFALGCVNSSLNPFLYVFVGRDFQEKFFQSLT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</v>
      </c>
      <c r="R164" s="5">
        <f>VLOOKUP($A164,'SegEnds_NonXtal_Prot#'!$A:$AL,3,FALSE)</f>
        <v>41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208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332</v>
      </c>
      <c r="AP164" s="5">
        <f t="shared" si="63"/>
        <v>30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38</v>
      </c>
      <c r="AY164" s="4">
        <f t="shared" si="72"/>
        <v>31</v>
      </c>
      <c r="AZ164" s="4">
        <f t="shared" si="73"/>
        <v>28</v>
      </c>
      <c r="BA164" s="4">
        <f t="shared" si="74"/>
        <v>12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28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TTCIQPSMISSMALPIIYILLCIVGVFGNTLSQWIFLTK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DKTFKKTLYNLFTK</v>
      </c>
      <c r="R176" s="5">
        <f>VLOOKUP($A176,'SegEnds_NonXtal_Prot#'!$A:$AL,3,FALSE)</f>
        <v>5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326</v>
      </c>
      <c r="AP176" s="5">
        <f t="shared" si="63"/>
        <v>38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13</v>
      </c>
    </row>
    <row r="177" spans="1:53" x14ac:dyDescent="0.2">
      <c r="A177" s="1" t="str">
        <f>'SegEnds_NonXtal_Prot#'!A153</f>
        <v>gpr84_human</v>
      </c>
      <c r="B177" s="1" t="str">
        <f t="shared" si="50"/>
        <v>SCYHESVLGYRYVAVSWGVVVAVTGTVGNVLTLLALAIQTRFNLLIANLTLADLLYCTLLQPFSVDTYLHGATFCRVFGLLLFASNSVSILTLCLIALGRYLLIAHSAKGIVLALVSTWVVGVASFAPLWPIYDQYKLRQASIHSNHVARTDEAMPGRFQELDSRLASGGPSEGISSEPVPDSSSEFGKVTRMCFAVFLCFALSYIPFLLLNILDARVVVHMLAANLTWLNGCINPVLYAAMNRQFRQAYGSILKR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SCYHESVLGYRYVAVSWGVVVAVTGTVGNVLTLLALAIQ</v>
      </c>
      <c r="G177" s="4" t="str">
        <f t="shared" si="52"/>
        <v>PKLR</v>
      </c>
      <c r="H177" s="4" t="str">
        <f t="shared" si="53"/>
        <v>TRFNLLIANLTLADLLYCTLLQPFSVDTYLH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</v>
      </c>
      <c r="M177" s="4" t="str">
        <f t="shared" si="58"/>
        <v>CSF</v>
      </c>
      <c r="N177" s="4" t="str">
        <f t="shared" si="59"/>
        <v>DQYKLRQASIHSNHVARTDEAMPGRFQELDSRLASGGPSEGISSEPV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10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213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83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159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38</v>
      </c>
      <c r="AQ177" s="4">
        <f t="shared" si="64"/>
        <v>3</v>
      </c>
      <c r="AR177" s="4">
        <f t="shared" si="65"/>
        <v>30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46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WGIRLAVWAIVLLSVLCNGLVLLTVFAGPPVKFVVGAIAGANTLTGISCGLLASVDALTFRWETGLGCRATGFLAVLGSEASVLLLTLAAVQCSVSVSCSLGSVRAGVLGCLALAGLAAALPLASVGEYAALGFTVALVMMNSFCFLVVAGAYIKLYCDLPRVWDCAMVRHVAWLIFADGLLYCPVAFLSFASMLGPEAVKSVLLVVLPLPACLNPLLYLLFNPHFRDDLRRLRPR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SLGSVRAGVLGCLALAGLAAALPLASVGEY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</v>
      </c>
      <c r="R189" s="5">
        <f>VLOOKUP($A189,'SegEnds_NonXtal_Prot#'!$A:$AL,3,FALSE)</f>
        <v>562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711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844</v>
      </c>
      <c r="AP189" s="5">
        <f t="shared" si="63"/>
        <v>27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29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13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</v>
      </c>
      <c r="R194" s="5">
        <f>VLOOKUP($A194,'SegEnds_NonXtal_Prot#'!$A:$AL,3,FALSE)</f>
        <v>16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303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KETLIPVFLILFIALVGLVGNGFVLWLLGFR</v>
      </c>
      <c r="G205" s="4" t="str">
        <f t="shared" si="77"/>
        <v/>
      </c>
      <c r="H205" s="4" t="str">
        <f t="shared" si="78"/>
        <v>NAFSVYVLSLAGADFLFLCFQIINCLVYLS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GSFRKQWRLQQPILK</v>
      </c>
      <c r="R205" s="5">
        <f>VLOOKUP($A205,'SegEnds_NonXtal_Prot#'!$A:$AL,3,FALSE)</f>
        <v>28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180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91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297</v>
      </c>
      <c r="AP205" s="5">
        <f t="shared" si="88"/>
        <v>30</v>
      </c>
      <c r="AQ205" s="4" t="str">
        <f t="shared" si="89"/>
        <v>-</v>
      </c>
      <c r="AR205" s="4">
        <f t="shared" si="90"/>
        <v>29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34</v>
      </c>
      <c r="AY205" s="4">
        <f t="shared" si="97"/>
        <v>31</v>
      </c>
      <c r="AZ205" s="4">
        <f t="shared" si="98"/>
        <v>28</v>
      </c>
      <c r="BA205" s="4">
        <f t="shared" si="99"/>
        <v>14</v>
      </c>
    </row>
    <row r="206" spans="1:53" x14ac:dyDescent="0.2">
      <c r="A206" s="1" t="str">
        <f>'SegEnds_NonXtal_Prot#'!A186</f>
        <v>mrgx3_human</v>
      </c>
      <c r="B206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KQTLSFTGLTCIVSLVALTGNAVVLWLLGCR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'SegEnds_NonXtal_Prot#'!A187</f>
        <v>mrgx4_human</v>
      </c>
      <c r="B207" s="1" t="str">
        <f t="shared" si="75"/>
        <v>CYNQTLSFTVLTCIISLVGLTGNAVVLWLLGYRNAVSIYILNLAAADFLFLSFQIIRLPLRLIIRKILVSVMTFPYFTGLSMLSAISTERCLSVLWPTHLSAVVCVLLWGLSLLFSMLEWRSSWCETSDFIPVAWLIFLCVVLCVSSLVLLVRILCGSRLTRLYVTILLTVLVFLLCGLPFGILGALIYRMEVLYCHVYLVCMSLSSLNSSANPIIYFFVGSFRQRQNRQNLKLV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CYNQTLSFTVLTCIISLVGLTGNAVVLWLLGYR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GSFRQRQNRQNLKLV</v>
      </c>
      <c r="R207" s="5">
        <f>VLOOKUP($A207,'SegEnds_NonXtal_Prot#'!$A:$AL,3,FALSE)</f>
        <v>23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159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290</v>
      </c>
      <c r="AP207" s="5">
        <f t="shared" si="88"/>
        <v>32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DHTIHQTLAPVVYVTVLVVGFPANCLSLYFGYLQNELGVYLCNLTVADLFYICSLPFWLQYVLQHGDLSCQVCGILLYENIYISVGFLCCISVDRYLAVAHTLKAAVGVSVVIWAKELLTSIYFLMHAWQRAINYYRFLVGFLFPICLLLASYQGILRAVRRQKSRKDQIQRLVLSTVVIFLACFLPYHVLLLVRSVWAKGVFNAYHFSLLLTSFNCVADPVLYCFVSETTHRDLARLRGACLA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DHTIHQTLAPVVYVTVLVVGFPANCLSLYFGYLQ</v>
      </c>
      <c r="G218" s="4" t="str">
        <f t="shared" si="77"/>
        <v>IKAR</v>
      </c>
      <c r="H218" s="4" t="str">
        <f t="shared" si="78"/>
        <v>NELGVYLCNLTVADLFYICSLPFWLQYVLQH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</v>
      </c>
      <c r="M218" s="4" t="str">
        <f t="shared" si="83"/>
        <v>CFE</v>
      </c>
      <c r="N218" s="4" t="str">
        <f t="shared" si="84"/>
        <v>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AKGVFNAYHFSLLLTSFNCVADPVLYCFVSET</v>
      </c>
      <c r="Q218" s="4" t="str">
        <f t="shared" si="87"/>
        <v>THRDLARLRGACLA</v>
      </c>
      <c r="R218" s="5">
        <f>VLOOKUP($A218,'SegEnds_NonXtal_Prot#'!$A:$AL,3,FALSE)</f>
        <v>16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180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293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84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159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292</v>
      </c>
      <c r="AO218" s="5">
        <f>VLOOKUP($A218,'SegEnds_NonXtal_Prot#'!$A:$AL,38,FALSE)</f>
        <v>306</v>
      </c>
      <c r="AP218" s="5">
        <f t="shared" si="88"/>
        <v>33</v>
      </c>
      <c r="AQ218" s="4">
        <f t="shared" si="89"/>
        <v>3</v>
      </c>
      <c r="AR218" s="4">
        <f t="shared" si="90"/>
        <v>30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25</v>
      </c>
      <c r="AW218" s="4">
        <f t="shared" si="95"/>
        <v>2</v>
      </c>
      <c r="AX218" s="4">
        <f t="shared" si="96"/>
        <v>34</v>
      </c>
      <c r="AY218" s="4">
        <f t="shared" si="97"/>
        <v>35</v>
      </c>
      <c r="AZ218" s="4">
        <f t="shared" si="98"/>
        <v>31</v>
      </c>
      <c r="BA218" s="4">
        <f t="shared" si="99"/>
        <v>13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LVSAFLAPILALEFVLGLVGNSLALFIFCIHTSNTVFLVSLVAADFLLISNLPLRVDYYLLHGAAACKVNLFMLSTNRTASVVFLTAIALNRYLKVVQSVGAAARVAGGLWVGILLLNGHLLLSTTKPSASLRWHQALYLLEFFLPLALILFAIVSIGLTIRNGQAGPQRAMRVLAMVVAVYTICFLPSIIFGMASMVALDLCTQLFHGSLAFTYLNSVLDPVLYCFSSPNFLHQSRALLG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LVSAFLAPILALEFVLGLVGNSLALFIFCIH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</v>
      </c>
      <c r="R223" s="5">
        <f>VLOOKUP($A223,'SegEnds_NonXtal_Prot#'!$A:$AL,3,FALSE)</f>
        <v>90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244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371</v>
      </c>
      <c r="AP223" s="5">
        <f t="shared" si="88"/>
        <v>30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35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TTSVEKGNSAVMGGVLFSTGLLGNLLALGLLARSSVFYMLVCGLTVTDLLGKCLLSPVVLAAYAQPALDNSLCQAFAFFMSFFGLSSTLQLLAMALECWLSLGHTLRLGALVAPVVSAFSLAFCALPFMGVLGYSVLYSSLMALLVLATVLCNLGAMRNLYAMHRRLQRHPRSSPQPLEELDHLLLLALMTVLFTMCSLPVIYRAYYGAFKRTSEEAEDLRALRFLSVISIVDPWIFIIFRSPVFRIFFHKIFIRPLRYRSRC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TTSVEKGNSAVMGGVLFSTGLLGNLLALGLLARS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RSPVFRIFFHKIFIRPLRYRSRC</v>
      </c>
      <c r="R234" s="5">
        <f>VLOOKUP($A234,'SegEnds_NonXtal_Prot#'!$A:$AL,3,FALSE)</f>
        <v>11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196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44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349</v>
      </c>
      <c r="AP234" s="5">
        <f t="shared" si="88"/>
        <v>33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42</v>
      </c>
      <c r="AY234" s="4">
        <f t="shared" si="97"/>
        <v>37</v>
      </c>
      <c r="AZ234" s="4">
        <f t="shared" si="98"/>
        <v>28</v>
      </c>
      <c r="BA234" s="4">
        <f t="shared" si="99"/>
        <v>22</v>
      </c>
    </row>
    <row r="235" spans="1:53" x14ac:dyDescent="0.2">
      <c r="A235" s="1" t="str">
        <f>'SegEnds_NonXtal_Prot#'!A222</f>
        <v>pd2r2_human</v>
      </c>
      <c r="B235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HAAVLLHGLASLLGLVENGVILFVVGCR</v>
      </c>
      <c r="G235" s="4" t="str">
        <f t="shared" si="77"/>
        <v/>
      </c>
      <c r="H235" s="4" t="str">
        <f t="shared" si="78"/>
        <v>TVVTTWVLHLALSDLLASASLPFFTYFLAV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TCNSRQVALAVSKFLLAFLVPLAIIASSHAAVSLRLQHR</v>
      </c>
      <c r="O235" s="4" t="str">
        <f t="shared" si="85"/>
        <v>PGRFVRLVAAVVAAFALCWGPYHVFSLLEARA</v>
      </c>
      <c r="P235" s="4" t="str">
        <f t="shared" si="86"/>
        <v>RPLVWRGLPFVTSLAFFNSVANPVLYVLT</v>
      </c>
      <c r="Q235" s="4" t="str">
        <f t="shared" si="87"/>
        <v>CPDMLRKLRRSLRTV</v>
      </c>
      <c r="R235" s="5">
        <f>VLOOKUP($A235,'SegEnds_NonXtal_Prot#'!$A:$AL,3,FALSE)</f>
        <v>33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198</v>
      </c>
      <c r="AA235" s="5">
        <f>VLOOKUP($A235,'SegEnds_NonXtal_Prot#'!$A:$AL,30,FALSE)</f>
        <v>241</v>
      </c>
      <c r="AB235" s="5">
        <f>VLOOKUP($A235,'SegEnds_NonXtal_Prot#'!$A:$AL,33,FALSE)</f>
        <v>279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93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322</v>
      </c>
      <c r="AP235" s="5">
        <f t="shared" si="88"/>
        <v>27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38</v>
      </c>
      <c r="AY235" s="4">
        <f t="shared" si="97"/>
        <v>31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'SegEnds_NonXtal_Prot#'!A223</f>
        <v>pe2r1_human</v>
      </c>
      <c r="B236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AVPPSGASPALPIFSMTLGAVSNLLALALLAQA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</v>
      </c>
      <c r="R236" s="5">
        <f>VLOOKUP($A236,'SegEnds_NonXtal_Prot#'!$A:$AL,3,FALSE)</f>
        <v>28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202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60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367</v>
      </c>
      <c r="AP236" s="5">
        <f t="shared" si="88"/>
        <v>32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38</v>
      </c>
      <c r="AY236" s="4">
        <f t="shared" si="97"/>
        <v>37</v>
      </c>
      <c r="AZ236" s="4">
        <f t="shared" si="98"/>
        <v>25</v>
      </c>
      <c r="BA236" s="4">
        <f t="shared" si="99"/>
        <v>12</v>
      </c>
    </row>
    <row r="237" spans="1:53" x14ac:dyDescent="0.2">
      <c r="A237" s="1" t="str">
        <f>'SegEnds_NonXtal_Prot#'!A224</f>
        <v>pe2r2_human</v>
      </c>
      <c r="B237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WLPPGESPAISSVMFSAGVLGNLIALALLARR</v>
      </c>
      <c r="G237" s="4" t="str">
        <f t="shared" si="77"/>
        <v>CSAG</v>
      </c>
      <c r="H237" s="4" t="str">
        <f t="shared" si="78"/>
        <v>RRSSLSLFHVLVTELVFTDLLGTCLISPVVLASYARN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SRSGGLAVLPVIYAVSLLFCSLPLLDY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</v>
      </c>
      <c r="R237" s="5">
        <f>VLOOKUP($A237,'SegEnds_NonXtal_Prot#'!$A:$AL,3,FALSE)</f>
        <v>18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49</v>
      </c>
      <c r="AE237" s="5">
        <f>VLOOKUP($A237,'SegEnds_NonXtal_Prot#'!$A:$AL,8,FALSE)</f>
        <v>59</v>
      </c>
      <c r="AF237" s="5">
        <f>VLOOKUP($A237,'SegEnds_NonXtal_Prot#'!$A:$AL,11,FALSE)</f>
        <v>96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175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330</v>
      </c>
      <c r="AP237" s="5">
        <f t="shared" si="88"/>
        <v>31</v>
      </c>
      <c r="AQ237" s="4">
        <f t="shared" si="89"/>
        <v>3</v>
      </c>
      <c r="AR237" s="4">
        <f t="shared" si="90"/>
        <v>36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11</v>
      </c>
    </row>
    <row r="238" spans="1:53" x14ac:dyDescent="0.2">
      <c r="A238" s="1" t="str">
        <f>'SegEnds_NonXtal_Prot#'!A225</f>
        <v>pe2r3_human</v>
      </c>
      <c r="B238" s="1" t="str">
        <f t="shared" si="75"/>
        <v>SGEDCGSVSVAFPITMLLTGFVGNALAMLLVSRSKSFLLCIGWLALTDLVGQLLTTPVVIVVYLSIDPSGRLCTFFGLTMTVFGLSSLFIASAMAVERALAIRAKTRATRAVLLGVWLAVLAFALLPVLGNLFFASAFAFLGLLALTVTFSCNLATIKALVSRCRAKATAQWGRITTETAIQLMGIMCVLSVCWSPLLIMMLKMIFNQTSTHTEKQKECNFFLIAVRLASLNQILDPWVYLLLRKILLRKFCQIRYHTNNYASSST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SGEDCGSVSVAFPITMLLTGFVGNALAMLLVSRS</v>
      </c>
      <c r="G238" s="4" t="str">
        <f t="shared" si="77"/>
        <v/>
      </c>
      <c r="H238" s="4" t="str">
        <f t="shared" si="78"/>
        <v>KSFLLCIGWLALTDLVGQLLTTPVVIVVYLS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THTEKQKECNFFLIAVRLASLNQILDPWVYLLL</v>
      </c>
      <c r="Q238" s="4" t="str">
        <f t="shared" si="87"/>
        <v>RKILLRKFCQIRYHTNNYASSST</v>
      </c>
      <c r="R238" s="5">
        <f>VLOOKUP($A238,'SegEnds_NonXtal_Prot#'!$A:$AL,3,FALSE)</f>
        <v>43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227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350</v>
      </c>
      <c r="AD238" s="5">
        <f>VLOOKUP($A238,'SegEnds_NonXtal_Prot#'!$A:$AL,5,FALSE)</f>
        <v>76</v>
      </c>
      <c r="AE238" s="5" t="str">
        <f>VLOOKUP($A238,'SegEnds_NonXtal_Prot#'!$A:$AL,8,FALSE)</f>
        <v>-</v>
      </c>
      <c r="AF238" s="5">
        <f>VLOOKUP($A238,'SegEnds_NonXtal_Prot#'!$A:$AL,11,FALSE)</f>
        <v>116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349</v>
      </c>
      <c r="AO238" s="5">
        <f>VLOOKUP($A238,'SegEnds_NonXtal_Prot#'!$A:$AL,38,FALSE)</f>
        <v>372</v>
      </c>
      <c r="AP238" s="5">
        <f t="shared" si="88"/>
        <v>33</v>
      </c>
      <c r="AQ238" s="4" t="str">
        <f t="shared" si="89"/>
        <v>-</v>
      </c>
      <c r="AR238" s="4">
        <f t="shared" si="90"/>
        <v>30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40</v>
      </c>
      <c r="AZ238" s="4">
        <f t="shared" si="98"/>
        <v>32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NSPVTIPAVMFIFGVVGNLVAIVVLCKSTTFYTLVCGLAVTDLLGTLLVSPVTIATYMKGGQPLCEYSTFILLFFSLSGLSIICAMSVERYLAINHDKRLAGLTLFAVYASNVLFCALPNMGLGSSAAYSYMYAGFSSFLILATVLCNVLVCGALLRMHRQFMRRTSLRRIAGAEIQMVILLIATSLVVLICSIPLVVRVFVNQLYREVSKNPDLQAIRIASVNPILDPWIYILLRKTVLSKAIEKIKC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NSPVTIPAVMFIFGVVGNLVAIVVLCKS</v>
      </c>
      <c r="G239" s="4" t="str">
        <f t="shared" si="77"/>
        <v/>
      </c>
      <c r="H239" s="4" t="str">
        <f t="shared" si="78"/>
        <v>TTFYTLVCGLAVTDLLGTLLVSPVTIATYMKG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DKRLAGLTLFAVYASNVLFCALPNMGLGSS</v>
      </c>
      <c r="M239" s="4" t="str">
        <f t="shared" si="83"/>
        <v>CFI</v>
      </c>
      <c r="N239" s="4" t="str">
        <f t="shared" si="84"/>
        <v>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182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45</v>
      </c>
      <c r="AE239" s="5" t="str">
        <f>VLOOKUP($A239,'SegEnds_NonXtal_Prot#'!$A:$AL,8,FALSE)</f>
        <v>-</v>
      </c>
      <c r="AF239" s="5">
        <f>VLOOKUP($A239,'SegEnds_NonXtal_Prot#'!$A:$AL,11,FALSE)</f>
        <v>83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161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27</v>
      </c>
      <c r="AQ239" s="4" t="str">
        <f t="shared" si="89"/>
        <v>-</v>
      </c>
      <c r="AR239" s="4">
        <f t="shared" si="90"/>
        <v>31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29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QTENRLSVFFSVIFMTVGILSNSLAIAILMKAQKSKASFLLLASGLVITDFFGHLINGAIAVFVYASFDQSNVLCSIFGICMVFSGLCPLLLGSVMAIERCIGVTKTSKHVKMMLSGVCLFAVFIALLPILGHRFYLLLFSFLGLLALGVSLLCNAITGITLLRVKFKSQQHHLEMVIQLLAIMCVSCICWSPFLVTMANIGINTCETTLFALRMATWNQILDPWVYILLRKAVLKNLYK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QTENRLSVFFSVIFMTVGILSNSLAIAILMKA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TSKHVKMMLSGVCLFAVFIALLPILGH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</v>
      </c>
      <c r="R240" s="5">
        <f>VLOOKUP($A240,'SegEnds_NonXtal_Prot#'!$A:$AL,3,FALSE)</f>
        <v>23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54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174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317</v>
      </c>
      <c r="AP240" s="5">
        <f t="shared" si="88"/>
        <v>31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26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9</v>
      </c>
    </row>
    <row r="241" spans="1:53" x14ac:dyDescent="0.2">
      <c r="A241" s="1" t="str">
        <f>'SegEnds_NonXtal_Prot#'!A229</f>
        <v>psyr_human</v>
      </c>
      <c r="B241" s="1" t="str">
        <f t="shared" si="75"/>
        <v>QHDLDHYLFPIVYIFVIIVSIPANIGSLCVSFLQASELGIYLFSLSLSDLLYALTLPLWIDYTWNKSPALCKGSAFLMYMNFYSSTAFLTCIAVDRYLAVVYTRRFALMVSLSIWILETIFNAVMLWEKWQINLNLFRTCTGYAIPLVTILICNRKVYQAVRHENKEKKRIIKLLVSITVTFVLCFTPFHVMLLIRCILEHAHSNSGKRTYTMYRITVALTSLNCVADPILYCFVTETGRYDMWNILKFCTG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QHDLDHYLFPIVYIFVIIVSIPANIGSLCVSFLQA</v>
      </c>
      <c r="G241" s="4" t="str">
        <f t="shared" si="77"/>
        <v/>
      </c>
      <c r="H241" s="4" t="str">
        <f t="shared" si="78"/>
        <v>SELGIYLFSLSLSDLLYALTLPLWIDYTWNK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</v>
      </c>
      <c r="M241" s="4" t="str">
        <f t="shared" si="83"/>
        <v>CYD</v>
      </c>
      <c r="N241" s="4" t="str">
        <f t="shared" si="84"/>
        <v>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HSNSGKRTYTMYRITVALTSLNCVADPILYCFVTET</v>
      </c>
      <c r="Q241" s="4" t="str">
        <f t="shared" si="87"/>
        <v>GRYDMWNILKFCTG</v>
      </c>
      <c r="R241" s="5">
        <f>VLOOKUP($A241,'SegEnds_NonXtal_Prot#'!$A:$AL,3,FALSE)</f>
        <v>9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178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297</v>
      </c>
      <c r="AD241" s="5">
        <f>VLOOKUP($A241,'SegEnds_NonXtal_Prot#'!$A:$AL,5,FALSE)</f>
        <v>43</v>
      </c>
      <c r="AE241" s="5" t="str">
        <f>VLOOKUP($A241,'SegEnds_NonXtal_Prot#'!$A:$AL,8,FALSE)</f>
        <v>-</v>
      </c>
      <c r="AF241" s="5">
        <f>VLOOKUP($A241,'SegEnds_NonXtal_Prot#'!$A:$AL,11,FALSE)</f>
        <v>77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152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296</v>
      </c>
      <c r="AO241" s="5">
        <f>VLOOKUP($A241,'SegEnds_NonXtal_Prot#'!$A:$AL,38,FALSE)</f>
        <v>310</v>
      </c>
      <c r="AP241" s="5">
        <f t="shared" si="88"/>
        <v>34</v>
      </c>
      <c r="AQ241" s="4" t="str">
        <f t="shared" si="89"/>
        <v>-</v>
      </c>
      <c r="AR241" s="4">
        <f t="shared" si="90"/>
        <v>30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34</v>
      </c>
      <c r="AY241" s="4">
        <f t="shared" si="97"/>
        <v>38</v>
      </c>
      <c r="AZ241" s="4">
        <f t="shared" si="98"/>
        <v>35</v>
      </c>
      <c r="BA241" s="4">
        <f t="shared" si="99"/>
        <v>13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APMPVKFLALRLMVALAYGLVGAIGLLGNLAVLWVLSNCGPPSDTFVFNLALADLGLALTLPFWAAESALGGALCKMVLTATVLNVYASIFLITALSVARYWVVAMSLFWARIATLAVWAAAALVTVPTAVFGSRYWLGAYQLQRVVLAFMVPLGVITTSYLLLLAFLQRQDSRVVARSVRILVASFFLCWFPNHVVTLWGVLVKFDNSTFYTIQTYVFPVTTCLAHSNSCLNPVLYCLLRREPRQALAGTFRD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APMPVKFLALRLMVALAYGLVGAIGLLGNLAVLWVLSNC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</v>
      </c>
      <c r="R244" s="5">
        <f>VLOOKUP($A244,'SegEnds_NonXtal_Prot#'!$A:$AL,3,FALSE)</f>
        <v>29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197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326</v>
      </c>
      <c r="AP244" s="5">
        <f t="shared" si="88"/>
        <v>38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36</v>
      </c>
      <c r="AY244" s="4">
        <f t="shared" si="97"/>
        <v>36</v>
      </c>
      <c r="AZ244" s="4">
        <f t="shared" si="98"/>
        <v>32</v>
      </c>
      <c r="BA244" s="4">
        <f t="shared" si="99"/>
        <v>13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AGMVAIQCIYALVCLVGLVGNALVIFVILRYTATNIYLLNLAVADELFMLSVPFVASSAALGSVLCRAVLSVDGLNMFTSVFCLTVLSVDRYVAVVHRPSVAKLINLGVWLASLLVTLPIAIFAPHPAWSAVFVVYTFLLGFLLPVLAIGLCYLLIVGKMRAVWQQRRRSEKKITRLVLMVVVVFVLCWMPFYVVQLLNLFVATVNHVSLILSYANSCANPILYGFLSDNFRRFFQRVLC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</v>
      </c>
      <c r="R249" s="5">
        <f>VLOOKUP($A249,'SegEnds_NonXtal_Prot#'!$A:$AL,3,FALSE)</f>
        <v>45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327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12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IASPWFAASFCVVGLASNLLALSVLAGASSFLTFLCGLVLTDFLGLLVTGTIVVSQHAAVDPGCRLCRFMGVVMIFFGLSPLLLGAAMASERYLGITRSQRRAWATVGLVWAAALALGLLPLLGVGRYLGGLSVGLSFLLNTVSVATLCHVYHGQEAAQQRPEVEMMAQLLGIMVVASVCWLPLLVFIAQTVLRNPPAGQLSRTTEKELLIYLRVATWNQILDPWVYILFRRAVLRRLQPRLST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IASPWFAASFCVVGLASNLLALSVLAGA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SQRRAWATVGLVWAAALALGLLPLLGVGRY</v>
      </c>
      <c r="M252" s="4" t="str">
        <f t="shared" si="83"/>
        <v>CFL</v>
      </c>
      <c r="N252" s="4" t="str">
        <f t="shared" si="84"/>
        <v>LGGLSVGLSFLLNTVSVATLCHVYHGQEAAQQRP</v>
      </c>
      <c r="O252" s="4" t="str">
        <f t="shared" si="85"/>
        <v>EVEMMAQLLGIMVVASVCWLPLLVFIAQTVLRNPP</v>
      </c>
      <c r="P252" s="4" t="str">
        <f t="shared" si="86"/>
        <v>AGQLSRTTEKELLIYLRVATWNQILDPWVYILF</v>
      </c>
      <c r="Q252" s="4" t="str">
        <f t="shared" si="87"/>
        <v>RRAVLRRLQPRLST</v>
      </c>
      <c r="R252" s="5">
        <f>VLOOKUP($A252,'SegEnds_NonXtal_Prot#'!$A:$AL,3,FALSE)</f>
        <v>25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203</v>
      </c>
      <c r="AA252" s="5">
        <f>VLOOKUP($A252,'SegEnds_NonXtal_Prot#'!$A:$AL,30,FALSE)</f>
        <v>240</v>
      </c>
      <c r="AB252" s="5">
        <f>VLOOKUP($A252,'SegEnds_NonXtal_Prot#'!$A:$AL,33,FALSE)</f>
        <v>279</v>
      </c>
      <c r="AC252" s="5">
        <f>VLOOKUP($A252,'SegEnds_NonXtal_Prot#'!$A:$AL,36,FALSE)</f>
        <v>312</v>
      </c>
      <c r="AD252" s="5">
        <f>VLOOKUP($A252,'SegEnds_NonXtal_Prot#'!$A:$AL,5,FALSE)</f>
        <v>52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174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325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29</v>
      </c>
      <c r="AW252" s="4">
        <f t="shared" si="95"/>
        <v>2</v>
      </c>
      <c r="AX252" s="4">
        <f t="shared" si="96"/>
        <v>33</v>
      </c>
      <c r="AY252" s="4">
        <f t="shared" si="97"/>
        <v>34</v>
      </c>
      <c r="AZ252" s="4">
        <f t="shared" si="98"/>
        <v>32</v>
      </c>
      <c r="BA252" s="4">
        <f t="shared" si="99"/>
        <v>13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NERSLGVRVAMYSFMAGSIFITIFGNLAMIISISYFTPTNFLILSMAITDFLLGFTIMPYSMIRSVEGLTFCKIYYSFDLMLSITSIFHLCSVAIDRFYAICYTIPVIKRLLLLCWSVPGAFAFGVVFSENKLWGTTLFMAGFFTPGSMMVGIYGKIFAVSRKHAHAINNQNNQVKKDKKAAKTLGIVIGVFLLCWFPCFFTILLDPFLPVVLFDALTWFGYFNSTCNPLIYGFFYPWFRRALKYILL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NERSLGVRVAMYSFMAGSIFITIFGNLAMIISISYF</v>
      </c>
      <c r="G254" s="4" t="str">
        <f t="shared" si="77"/>
        <v>KQLH</v>
      </c>
      <c r="H254" s="4" t="str">
        <f t="shared" si="78"/>
        <v>TPTNFLILSMAITDFLLGFTIMPYSMIRSVE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TIPVIKRLLLLCWSVPGAFAFGVVFSE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36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106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182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35</v>
      </c>
      <c r="AQ254" s="4">
        <f t="shared" si="89"/>
        <v>3</v>
      </c>
      <c r="AR254" s="4">
        <f t="shared" si="90"/>
        <v>30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26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104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30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AVAAQALVLLLIFLLSSLGNCAVMGVIVKHTVTNAFILSLSLSDLLTALLCLPAAFLDLFTPAGPWRGFCAASRFFSSCFGIVSTLSVALISLDRYCAIVRGRRRALQLLAGAWLTALGFSLPWELLGQLGAAFSVGLVVACYLLPFLLMCFCHYHICKTVRLSDVRVRARVLRFFSEVRTATTVLIMIVFVICCWGPYCFLVLLAAARMQAPSLLSVVAVWLTWANGAINPVIYAIRNPNISMLLGRNR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102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272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29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40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APASGPPSRRVRLVFLGVILVVAVAGNTTVLCRLCGG</v>
      </c>
      <c r="G280" s="4" t="str">
        <f t="shared" si="102"/>
        <v/>
      </c>
      <c r="H280" s="4" t="str">
        <f t="shared" si="103"/>
        <v>RKMDFLLVQLALADLYACGGTALSQLAWEL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RWHLQVYAFYEAVAGFVAPVTVLGVACGHLLSVWWRHRPQAPA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QAGDCRLRRQLRK</v>
      </c>
      <c r="R280" s="5">
        <f>VLOOKUP($A280,'SegEnds_NonXtal_Prot#'!$A:$AL,3,FALSE)</f>
        <v>34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226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109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36</v>
      </c>
      <c r="AQ280" s="4" t="str">
        <f t="shared" si="114"/>
        <v>-</v>
      </c>
      <c r="AR280" s="4">
        <f t="shared" si="115"/>
        <v>29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42</v>
      </c>
      <c r="AY280" s="4">
        <f t="shared" si="122"/>
        <v>40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'SegEnds_NonXtal_Prot#'!A272</f>
        <v>gp160_human</v>
      </c>
      <c r="B281" s="1" t="str">
        <f t="shared" si="100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QTNQPLDVNYLLFLIILGKILLNILTLGMRRKN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</v>
      </c>
      <c r="R281" s="5">
        <f>VLOOKUP($A281,'SegEnds_NonXtal_Prot#'!$A:$AL,3,FALSE)</f>
        <v>17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306</v>
      </c>
      <c r="AP281" s="5">
        <f t="shared" si="113"/>
        <v>32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10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PAPLRISLAIVMLLMTVVGFLGNTVVCIIVYQRSAINLLLATLAFSDIMLSLCCMPFTAVTLITVGDHFCRLSATLYWFFVLEGVAILLIISVDRFLIIVQNPRRAKVIIAVSWVLSFCIAGPSLTGDRAYVVTLVVAVFFAPFGVMLCAYMCILNTVRKNAVRVHNQSSVDLSFKTKAFTTILILFVGFSLCWLPHSVYSLLSVFSGSSFYATSTCVLWLSYLKSVFNPIVYCWRIKKFREACIELL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PAPLRISLAIVMLLMTVVGFLGNTVVCIIVYQR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NPRRAKVIIAVSWVLSFCIAGPSLTG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</v>
      </c>
      <c r="R284" s="5">
        <f>VLOOKUP($A284,'SegEnds_NonXtal_Prot#'!$A:$AL,3,FALSE)</f>
        <v>30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169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339</v>
      </c>
      <c r="AP284" s="5">
        <f t="shared" si="113"/>
        <v>32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11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QIVLWAAAYTVIVVTSVVGNVVVMWIILAHTVTNYFLVNLAFAEASMAAFNTVVNFTYAVHNGLFYCKFHNFFPIAAVFASIYSMTAVAFDRYMAIIHSATATKVVICVIWVLALLLAFPQGYYSIYEKVYHICVTVLIYFLPLLVIGYAYTVVGITLWASEIPGDRYHEQVSAKRKVVKMMIVVVCTFAICWLPFHIFFLLPYINKKFIQQVYLAIMWLAMSSTMYNPIIYCCLNDRFRLGFKHAF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31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191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29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40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33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191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RIALWSLAYGVVVAVAVLGNLIVIWIILAHTVTNYFLVNLAFSDASMAAFNTLVNFIYALHSGANYCRFQNFFPITAVFASIYSMTAIAVDRYMAIIDSATATKIVIGSIWILAFLLAFPQCLYSKQHFTYHIIVIILVYCFPLLIMGITYTIVGITLWGGEIPGDKYHEQLKAKRKVVKMMIIVVMTFAICWLPYHIYFILTAIYWKYIQQVYLASFWLAMSSTMYNPIIYCCLNKRFRAGFKRAF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84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242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29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40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STLAPLPAPLAVAVPVVYAVICAVGLAGNSAVLYVLLRA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27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38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VAAIFIISYFLIFFLCMMGNTVVCFIVMRNTVTNLFILNLAISDLLVGIFCMPITLLDNIIAGNTMCKISGLVQGISVAASVFTLVAIAVDRFQCVVYTIKTAFVIIMIIWVLAITIMSPSAVMLEMRKIYTTVLFANIYLAPLSLIVIMYGRIGISLFRAAVPHTHVVSRKKQKIIKMLLIVALLFILSWLPLWTLMMLSDYAQIINIYIYPFAHWLAFGNSSVNPIIYGFFNENFRRGFQEAF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VAAIFIISYFLIFFLCMMGNTVVCFIVMRN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146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29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QVVLILAYCSIILLGVIGNSLVIHVVIKF</v>
      </c>
      <c r="G296" s="4" t="str">
        <f t="shared" si="102"/>
        <v>KSMR</v>
      </c>
      <c r="H296" s="4" t="str">
        <f t="shared" si="103"/>
        <v>TVTNFFIANLAVADLLVNTLCLPFTLTYTLM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SIYGTVYSLSSLLILYVLPLGIISFSYTRIWSKLKNHVSPG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50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213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113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28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40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PWGPKAYITWITLAVYIVPVIVLAACYGLISFKIWQNLRLKTAAA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194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44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FFAAKIVIGMALVGIMLVCGIGNFIFIAALVRYNLTNLLIANLAISDFLVAIVCCPFEMDYYVVRGHVLCTSVNYLRTVSLYVSTNALLAIAIDRYLAIVHKCQTATGLIALVWTVSILIAIPSAYFTQQLYYKSYFLFIFGIEFVGPVVTMTLCYARISRELWFKAVPGFQIRKRLRCRRKTVLVLMCILTAYVLCWAPFYGFTIVRDFFEKHYLTAFYIVECIAMSNSMINTLCFVTVNDTVKYFKKIML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FFAAKIVIGMALVGIMLVCGIGNFIFIAALVRY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58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225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32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42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DPVSCKILHFFHQYMMACNYFWMLCEGIYLHTLIVV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215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35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6" s="29" t="str">
        <f>IF(ISERROR(MATCH(A306,'SegEnds_Xtal_Prot#'!B:B, 0)), "NoXtal", "Xtal")</f>
        <v>NoXtal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TQCNVNTHEKVKTALNLFYLTIIGHGLSIASLLISLGIFFYF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NPVSCKVSQFIHLYLMGCNYFWMLCEGIYLHTLIVV</v>
      </c>
      <c r="K306" s="4" t="str">
        <f t="shared" si="106"/>
        <v/>
      </c>
      <c r="L306" s="4" t="str">
        <f t="shared" si="107"/>
        <v>HLMWYYFLGWGFPLIPACIHAIARSLYY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125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208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278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41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35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STVLCKVSVAASHFATMTNFSWLLAEAVYLNCLLAS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119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198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347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35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35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30</v>
      </c>
      <c r="AY310" s="4">
        <f t="shared" si="122"/>
        <v>28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STVECKAVMVFFHYCVVSNYFWLFIEGLYLFTLLVE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143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222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371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35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35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30</v>
      </c>
      <c r="AY315" s="4">
        <f t="shared" si="122"/>
        <v>28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REVFDRLGMIYTVGYSVSLASLTVAVLILAYFCTRNYIHMHLFLSFMLRAVSIFVKDAVLYSGATGYAGCRVAVTFFLYFLATNYYWILVEGLYLHSLIFMEKKYLWGFTVFGWGLPAVFVAVWVSVRATLAKKWIIQVPILASIVLNFILFINIVRVLATKLDTRQQYRKLLKSTLVLMPLFGVHYIVFMAGTLWQVQMHYEMLFNSFQGFFVAIIYCFCNGEVQAEIKKSWSRWTLALDFKRKAR</v>
      </c>
      <c r="C316" s="29" t="str">
        <f>IF(ISERROR(MATCH(A316,'SegEnds_Xtal_Prot#'!B:B, 0)), "NoXtal", "Xtal")</f>
        <v>NoXtal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181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317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426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31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30</v>
      </c>
      <c r="AW316" s="4">
        <f t="shared" si="120"/>
        <v>2</v>
      </c>
      <c r="AX316" s="4">
        <f t="shared" si="121"/>
        <v>30</v>
      </c>
      <c r="AY316" s="4">
        <f t="shared" si="122"/>
        <v>28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QEFFERLYVMYTVGYSISFGSLAVAILIIGYFCTRNYIHMHLFVSFMLRATSIFVKDRVVHAHIGQYIGCKIAVVMFIYFLATNYYWILVEGLYLHNLIFVDTKYLWGFILIGWGFPAAFVAAWAVARATLAIKWIYQAPILAAIGLNFILFLNTVRVLATKIDTRKQYRKLAKSTLVLVLVFGVHYIVFVCGLGWEIRMHCELFFNSFQGFFVSIIYCYCNGEVQAEVKKMWSRWNLSVDWKRTPP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138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272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381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31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30</v>
      </c>
      <c r="AW317" s="4">
        <f t="shared" si="120"/>
        <v>2</v>
      </c>
      <c r="AX317" s="4">
        <f t="shared" si="121"/>
        <v>30</v>
      </c>
      <c r="AY317" s="4">
        <f t="shared" si="122"/>
        <v>28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HSYLLKLKVMYTVGYSSSLVMLLVALGILCAFCTRNYIHMHLFVSFILRALSNFIKDAVLHRAGCKLVMVLFQYCIMANYSWLLVEGLYLHTLLAIERKYLQGFVAFGWGSPAIFVALWAIARHFLEIWWIIRGPVILSILINFILFINILRILMRKLNEVSHYKRLARSTLLLIPLFGIHYIVFAFMEIQLFFELALGSFQGLVVAVLYCFLNGEVQLEVQKKWQQWHLREFPLHPVA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HRAGCKLVMVLFQYCIMANYSWLLVEGLYLHTLLAI</v>
      </c>
      <c r="K318" s="4" t="str">
        <f t="shared" si="106"/>
        <v/>
      </c>
      <c r="L318" s="4" t="str">
        <f t="shared" si="107"/>
        <v>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136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211</v>
      </c>
      <c r="W318" s="5" t="str">
        <f>VLOOKUP($A318,'SegEnds_NonXtal_Prot#'!$A:$AL,18,FALSE)</f>
        <v>-</v>
      </c>
      <c r="X318" s="5">
        <f>VLOOKUP($A318,'SegEnds_NonXtal_Prot#'!$A:$AL,21,FALSE)</f>
        <v>251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360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31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35</v>
      </c>
      <c r="AU318" s="4" t="str">
        <f t="shared" si="118"/>
        <v>-</v>
      </c>
      <c r="AV318" s="4">
        <f t="shared" si="119"/>
        <v>30</v>
      </c>
      <c r="AW318" s="4">
        <f t="shared" si="120"/>
        <v>2</v>
      </c>
      <c r="AX318" s="4">
        <f t="shared" si="121"/>
        <v>30</v>
      </c>
      <c r="AY318" s="4">
        <f t="shared" si="122"/>
        <v>28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TMFYGSVKTGYTIGYGLSLATLLVATAILSLFCTRNYIHMHLFISFILRAAAVFIKDLALGSVGCKAAMVFFQYCVMANFFWLLVEGLYLYTLLAVERKYFWGYILIGWGVPSTFTMVWTIARIHFELWWIIKGPILTSILVNFILFICIIRILLQKLSDSSPYSRLARSTLLLIPLFGVHYIMFAFPEVKMVFELVVGSFQGFVVAILYCFLNGEVQAELRRKWRRWHLQGVLGWNPK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GSVGCKAAMVFFQYCVMANFFWLLVEGLYLYTLLAV</v>
      </c>
      <c r="K319" s="4" t="str">
        <f t="shared" si="106"/>
        <v/>
      </c>
      <c r="L319" s="4" t="str">
        <f t="shared" si="107"/>
        <v>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136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211</v>
      </c>
      <c r="W319" s="5" t="str">
        <f>VLOOKUP($A319,'SegEnds_NonXtal_Prot#'!$A:$AL,18,FALSE)</f>
        <v>-</v>
      </c>
      <c r="X319" s="5">
        <f>VLOOKUP($A319,'SegEnds_NonXtal_Prot#'!$A:$AL,21,FALSE)</f>
        <v>251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359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31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35</v>
      </c>
      <c r="AU319" s="4" t="str">
        <f t="shared" si="118"/>
        <v>-</v>
      </c>
      <c r="AV319" s="4">
        <f t="shared" si="119"/>
        <v>30</v>
      </c>
      <c r="AW319" s="4">
        <f t="shared" si="120"/>
        <v>2</v>
      </c>
      <c r="AX319" s="4">
        <f t="shared" si="121"/>
        <v>30</v>
      </c>
      <c r="AY319" s="4">
        <f t="shared" si="122"/>
        <v>28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116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346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35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30</v>
      </c>
      <c r="AY320" s="4">
        <f t="shared" si="122"/>
        <v>28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IMASGELTMDFSLYIISHVGIIISLVCLVLAIATFLLCNHNTYLHLHLCVCLLLAKTLFLAGIHKMGCAIIAGFLHYLFLACFFWMLVEAVILFLMVRNKMLHICAFGYGLPMLVVVISASVQPQGYETGFIWSFLGPVCTVIVINSLLLTWTLWILRQRLDTRLLTFKAFAQLFILGCSWVLGIFAGVMAYLFTIINSLQGAFIFLIHCLLNGQVREEYKRWITGKTK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709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816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27</v>
      </c>
      <c r="AW327" s="4">
        <f t="shared" si="145"/>
        <v>2</v>
      </c>
      <c r="AX327" s="4">
        <f t="shared" si="146"/>
        <v>33</v>
      </c>
      <c r="AY327" s="4">
        <f t="shared" si="147"/>
        <v>24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MSPFVPSTIFPVVKWITYVGLGISIGSLILCLIIEALFQTSHTRRICMVNIALSLLIADVWFIVGGVCTAAVFFTHFFYLSLFFWMLMLGILLAYRIILLMMAVGFCLGYGCPLIISVITIAVTQPSNGSKPLLAFVVPALAIVAVNFVVVLLVLTKLWRPTTIIRVGKSLLILTPLLGLTWGFGIGNLAWHVIFALLNAFQGFFILCFGILLDSKLRQLLFNKLSALSS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697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809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28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LMSPHTVPEEPALALLTQVGLGASILALLVCLGVYWLVKISYFRHAALLNMVFCLLAADTCFLGAPLCLAAAFLCHFLYLATFFWMLAQALVLAHQLLFRVLPLMVLLGYLCPLGLAGVTLGLYLPQGKGGALYTFVGPVLAIIGVNGLVLAMAMLKLLRPSALLGVIKALLILTPIFGLTWGLGLASTVPHYIFTILNTLQGVFILLFGCLMDRKIQEALRKRFCRAQA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RVLPLMVLLGYLCPLGLAGVTLGLYLPQG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881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909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851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24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377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28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SPALVPAELLAPLTYISLVGCSISIVASLITVLLHFHFDSLTRIHMNLHASVLLLNIAFLLSPAFSACTALAAALHYALLSCLTWMAIEGFNLYLLLGRRYVFKLGVLGWGAPALLVLLSLSVKSSVYPVVHSVLVMGYGGLTSLFNLVVLAWALWTLRRLRRACHDTVTVLGLTVLLGTTWALAFFLLPQLFLFTILNSLYGFFLFLWFCSQRCRSEAEAKAQIEAFSS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475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28</v>
      </c>
      <c r="AW339" s="4">
        <f t="shared" si="145"/>
        <v>2</v>
      </c>
      <c r="AX339" s="4">
        <f t="shared" si="146"/>
        <v>33</v>
      </c>
      <c r="AY339" s="4">
        <f t="shared" si="147"/>
        <v>24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MTFKKDYQYPKSLDILSNVGCALSVTGLALTVIFQIVTTSVTWVLVNLCISMLIFNLLFVFGIENSNINIPNPMCTAIAALLHYFLLVTFTWNALSAAQLYYLLIRPRHFILFISLIGWGVPAIVVAITVGVIYSQNKSPLLWSFIVPVTIILISNVVMFITISIKVLWKNSSMKKIVSTLSVAVVFGITWILAYLSIRIVFSYIFCLFNTTQGLQIFILYTVRTKVFQSEASKVLMLLSS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563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689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30</v>
      </c>
      <c r="AW341" s="4">
        <f t="shared" si="145"/>
        <v>2</v>
      </c>
      <c r="AX341" s="4">
        <f t="shared" si="146"/>
        <v>33</v>
      </c>
      <c r="AY341" s="4">
        <f t="shared" si="147"/>
        <v>24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REIYQGRINELLLSVITWVGIVISLVCLAICISTFCFLTDRNTIHKNLCINLFLAELLFLVGIDKIACPIFAGLLHYFFLAAFSWLCLEGVHLYLLLVESRTKYYYLGGYCFPALVVGIAAAIDYRSYDNYFIWSFIGPVSFVIVVNLVFLMVTLHKMIRSSNIKSWALGAIALLFLLGLTWAFGLLSVVMAYLFTTFNAFQGVFIFVFHCALQKKVHKEYSKCLRHSYC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SRTKYYYLGGYCFPALVVGIAAAIDYRSY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961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28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PMRFYYMLGWGVPAFITGLAVGLDPEGY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2505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27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RRVKSVILVMLLGPLLFLACQLFVINM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149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26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34"/>
  <sheetViews>
    <sheetView topLeftCell="A366" workbookViewId="0">
      <selection activeCell="M378" sqref="M378"/>
    </sheetView>
  </sheetViews>
  <sheetFormatPr baseColWidth="10" defaultColWidth="10.83203125" defaultRowHeight="16" x14ac:dyDescent="0.2"/>
  <cols>
    <col min="1" max="1" width="10.83203125" style="1"/>
    <col min="2" max="2" width="15.1640625" style="1" bestFit="1" customWidth="1"/>
    <col min="3" max="3" width="12.83203125" style="1" bestFit="1" customWidth="1"/>
    <col min="4" max="4" width="14.6640625" style="1" bestFit="1" customWidth="1"/>
    <col min="5" max="5" width="10.83203125" style="28"/>
    <col min="6" max="6" width="10.83203125" style="49"/>
    <col min="7" max="7" width="16.1640625" style="15" bestFit="1" customWidth="1"/>
    <col min="8" max="8" width="8.33203125" style="15" customWidth="1"/>
    <col min="9" max="9" width="11.1640625" customWidth="1"/>
    <col min="10" max="10" width="13.33203125" style="1" bestFit="1" customWidth="1"/>
    <col min="11" max="11" width="13.33203125" style="1" customWidth="1"/>
    <col min="12" max="13" width="13" style="1" customWidth="1"/>
    <col min="14" max="14" width="12.83203125" style="1" bestFit="1" customWidth="1"/>
    <col min="15" max="16384" width="10.83203125" style="1"/>
  </cols>
  <sheetData>
    <row r="1" spans="1:13" s="32" customFormat="1" x14ac:dyDescent="0.2">
      <c r="A1" s="32" t="s">
        <v>1508</v>
      </c>
      <c r="B1" s="32" t="s">
        <v>1158</v>
      </c>
      <c r="C1" s="32" t="s">
        <v>1116</v>
      </c>
      <c r="D1" s="32" t="s">
        <v>1412</v>
      </c>
      <c r="E1" s="33" t="s">
        <v>1228</v>
      </c>
      <c r="F1" s="32" t="s">
        <v>1413</v>
      </c>
      <c r="G1" s="32" t="s">
        <v>1414</v>
      </c>
      <c r="H1" s="85" t="s">
        <v>1375</v>
      </c>
    </row>
    <row r="2" spans="1:13" s="10" customFormat="1" x14ac:dyDescent="0.2">
      <c r="A2" s="10" t="str">
        <f>IF(ISERROR(MATCH(B2,'SegEnds_Xtal_Prot#'!B:B, 0)), "NoXtal", "Xtal")</f>
        <v>NoXtal</v>
      </c>
      <c r="B2" t="s">
        <v>472</v>
      </c>
      <c r="C2" s="3" t="s">
        <v>336</v>
      </c>
      <c r="D2" t="s">
        <v>34</v>
      </c>
      <c r="E2" s="28" t="str">
        <f>VLOOKUP(B2,Classification!$A:$D,2,FALSE)</f>
        <v>T</v>
      </c>
      <c r="F2" s="49" t="str">
        <f>VLOOKUP(C2,Classification!$A:$D,2,FALSE)</f>
        <v>A</v>
      </c>
      <c r="G2" s="15" t="str">
        <f>VLOOKUP(D2,Classification!$A:$D,2,FALSE)</f>
        <v>A</v>
      </c>
      <c r="H2" s="15" t="b">
        <f>OR(E2=G2,AND(E2="T",G2="A"),AND(E2="B2",G2="B1"),E2="O")</f>
        <v>1</v>
      </c>
      <c r="I2"/>
      <c r="J2" s="1"/>
      <c r="K2" s="3"/>
      <c r="L2" s="3"/>
      <c r="M2" s="3"/>
    </row>
    <row r="3" spans="1:13" x14ac:dyDescent="0.2">
      <c r="A3" s="10" t="str">
        <f>IF(ISERROR(MATCH(B3,'SegEnds_Xtal_Prot#'!B:B, 0)), "NoXtal", "Xtal")</f>
        <v>NoXtal</v>
      </c>
      <c r="B3" t="s">
        <v>457</v>
      </c>
      <c r="C3" s="1" t="s">
        <v>160</v>
      </c>
      <c r="D3" t="s">
        <v>35</v>
      </c>
      <c r="E3" s="28" t="str">
        <f>VLOOKUP(B3,Classification!$A:$D,2,FALSE)</f>
        <v>T</v>
      </c>
      <c r="F3" s="49" t="str">
        <f>VLOOKUP(C3,Classification!$A:$D,2,FALSE)</f>
        <v>A</v>
      </c>
      <c r="G3" s="15" t="str">
        <f>VLOOKUP(D3,Classification!$A:$D,2,FALSE)</f>
        <v>A</v>
      </c>
      <c r="H3" s="15" t="b">
        <f t="shared" ref="H3:H66" si="0">OR(E3=G3,AND(E3="T",G3="A"),AND(E3="B2",G3="B1"),E3="O")</f>
        <v>1</v>
      </c>
      <c r="K3" s="3"/>
    </row>
    <row r="4" spans="1:13" x14ac:dyDescent="0.2">
      <c r="A4" s="10" t="str">
        <f>IF(ISERROR(MATCH(B4,'SegEnds_Xtal_Prot#'!B:B, 0)), "NoXtal", "Xtal")</f>
        <v>NoXtal</v>
      </c>
      <c r="B4" t="s">
        <v>476</v>
      </c>
      <c r="C4" s="1" t="s">
        <v>34</v>
      </c>
      <c r="D4" t="s">
        <v>147</v>
      </c>
      <c r="E4" s="28" t="str">
        <f>VLOOKUP(B4,Classification!$A:$D,2,FALSE)</f>
        <v>T</v>
      </c>
      <c r="F4" s="49" t="str">
        <f>VLOOKUP(C4,Classification!$A:$D,2,FALSE)</f>
        <v>A</v>
      </c>
      <c r="G4" s="15" t="str">
        <f>VLOOKUP(D4,Classification!$A:$D,2,FALSE)</f>
        <v>A</v>
      </c>
      <c r="H4" s="15" t="b">
        <f t="shared" si="0"/>
        <v>1</v>
      </c>
      <c r="K4" s="3"/>
    </row>
    <row r="5" spans="1:13" x14ac:dyDescent="0.2">
      <c r="A5" s="10" t="str">
        <f>IF(ISERROR(MATCH(B5,'SegEnds_Xtal_Prot#'!B:B, 0)), "NoXtal", "Xtal")</f>
        <v>NoXtal</v>
      </c>
      <c r="B5" t="s">
        <v>465</v>
      </c>
      <c r="C5" s="1" t="s">
        <v>158</v>
      </c>
      <c r="D5" t="s">
        <v>910</v>
      </c>
      <c r="E5" s="28" t="str">
        <f>VLOOKUP(B5,Classification!$A:$D,2,FALSE)</f>
        <v>T</v>
      </c>
      <c r="F5" s="49" t="str">
        <f>VLOOKUP(C5,Classification!$A:$D,2,FALSE)</f>
        <v>A</v>
      </c>
      <c r="G5" s="15" t="str">
        <f>VLOOKUP(D5,Classification!$A:$D,2,FALSE)</f>
        <v>A</v>
      </c>
      <c r="H5" s="15" t="b">
        <f t="shared" si="0"/>
        <v>1</v>
      </c>
      <c r="K5" s="3"/>
    </row>
    <row r="6" spans="1:13" x14ac:dyDescent="0.2">
      <c r="A6" s="10" t="str">
        <f>IF(ISERROR(MATCH(B6,'SegEnds_Xtal_Prot#'!B:B, 0)), "NoXtal", "Xtal")</f>
        <v>NoXtal</v>
      </c>
      <c r="B6" t="s">
        <v>485</v>
      </c>
      <c r="C6" s="1" t="s">
        <v>139</v>
      </c>
      <c r="D6" t="s">
        <v>158</v>
      </c>
      <c r="E6" s="28" t="str">
        <f>VLOOKUP(B6,Classification!$A:$D,2,FALSE)</f>
        <v>O</v>
      </c>
      <c r="F6" s="49" t="str">
        <f>VLOOKUP(C6,Classification!$A:$D,2,FALSE)</f>
        <v>A</v>
      </c>
      <c r="G6" s="15" t="str">
        <f>VLOOKUP(D6,Classification!$A:$D,2,FALSE)</f>
        <v>A</v>
      </c>
      <c r="H6" s="15" t="b">
        <f t="shared" si="0"/>
        <v>1</v>
      </c>
      <c r="K6" s="3"/>
    </row>
    <row r="7" spans="1:13" x14ac:dyDescent="0.2">
      <c r="A7" s="10" t="str">
        <f>IF(ISERROR(MATCH(B7,'SegEnds_Xtal_Prot#'!B:B, 0)), "NoXtal", "Xtal")</f>
        <v>NoXtal</v>
      </c>
      <c r="B7" t="s">
        <v>460</v>
      </c>
      <c r="C7" s="1" t="s">
        <v>133</v>
      </c>
      <c r="D7" t="s">
        <v>158</v>
      </c>
      <c r="E7" s="28" t="str">
        <f>VLOOKUP(B7,Classification!$A:$D,2,FALSE)</f>
        <v>T</v>
      </c>
      <c r="F7" s="49" t="str">
        <f>VLOOKUP(C7,Classification!$A:$D,2,FALSE)</f>
        <v>A</v>
      </c>
      <c r="G7" s="15" t="str">
        <f>VLOOKUP(D7,Classification!$A:$D,2,FALSE)</f>
        <v>A</v>
      </c>
      <c r="H7" s="15" t="b">
        <f t="shared" si="0"/>
        <v>1</v>
      </c>
      <c r="K7" s="3"/>
    </row>
    <row r="8" spans="1:13" x14ac:dyDescent="0.2">
      <c r="A8" s="10" t="str">
        <f>IF(ISERROR(MATCH(B8,'SegEnds_Xtal_Prot#'!B:B, 0)), "NoXtal", "Xtal")</f>
        <v>NoXtal</v>
      </c>
      <c r="B8" t="s">
        <v>930</v>
      </c>
      <c r="C8" s="1" t="s">
        <v>133</v>
      </c>
      <c r="D8" t="s">
        <v>158</v>
      </c>
      <c r="E8" s="28" t="str">
        <f>VLOOKUP(B8,Classification!$A:$D,2,FALSE)</f>
        <v>T</v>
      </c>
      <c r="F8" s="49" t="str">
        <f>VLOOKUP(C8,Classification!$A:$D,2,FALSE)</f>
        <v>A</v>
      </c>
      <c r="G8" s="15" t="str">
        <f>VLOOKUP(D8,Classification!$A:$D,2,FALSE)</f>
        <v>A</v>
      </c>
      <c r="H8" s="15" t="b">
        <f t="shared" si="0"/>
        <v>1</v>
      </c>
      <c r="K8" s="3"/>
    </row>
    <row r="9" spans="1:13" x14ac:dyDescent="0.2">
      <c r="A9" s="10" t="str">
        <f>IF(ISERROR(MATCH(B9,'SegEnds_Xtal_Prot#'!B:B, 0)), "NoXtal", "Xtal")</f>
        <v>NoXtal</v>
      </c>
      <c r="B9" t="s">
        <v>471</v>
      </c>
      <c r="C9" s="1" t="s">
        <v>191</v>
      </c>
      <c r="D9" t="s">
        <v>158</v>
      </c>
      <c r="E9" s="28" t="str">
        <f>VLOOKUP(B9,Classification!$A:$D,2,FALSE)</f>
        <v>T</v>
      </c>
      <c r="F9" s="49" t="str">
        <f>VLOOKUP(C9,Classification!$A:$D,2,FALSE)</f>
        <v>A</v>
      </c>
      <c r="G9" s="15" t="str">
        <f>VLOOKUP(D9,Classification!$A:$D,2,FALSE)</f>
        <v>A</v>
      </c>
      <c r="H9" s="15" t="b">
        <f t="shared" si="0"/>
        <v>1</v>
      </c>
      <c r="K9" s="3"/>
    </row>
    <row r="10" spans="1:13" x14ac:dyDescent="0.2">
      <c r="A10" s="10" t="str">
        <f>IF(ISERROR(MATCH(B10,'SegEnds_Xtal_Prot#'!B:B, 0)), "NoXtal", "Xtal")</f>
        <v>NoXtal</v>
      </c>
      <c r="B10" t="s">
        <v>467</v>
      </c>
      <c r="C10" s="1" t="s">
        <v>191</v>
      </c>
      <c r="D10" t="s">
        <v>158</v>
      </c>
      <c r="E10" s="28" t="str">
        <f>VLOOKUP(B10,Classification!$A:$D,2,FALSE)</f>
        <v>T</v>
      </c>
      <c r="F10" s="49" t="str">
        <f>VLOOKUP(C10,Classification!$A:$D,2,FALSE)</f>
        <v>A</v>
      </c>
      <c r="G10" s="15" t="str">
        <f>VLOOKUP(D10,Classification!$A:$D,2,FALSE)</f>
        <v>A</v>
      </c>
      <c r="H10" s="15" t="b">
        <f t="shared" si="0"/>
        <v>1</v>
      </c>
      <c r="K10" s="3"/>
    </row>
    <row r="11" spans="1:13" x14ac:dyDescent="0.2">
      <c r="A11" s="10" t="str">
        <f>IF(ISERROR(MATCH(B11,'SegEnds_Xtal_Prot#'!B:B, 0)), "NoXtal", "Xtal")</f>
        <v>NoXtal</v>
      </c>
      <c r="B11" t="s">
        <v>479</v>
      </c>
      <c r="C11" s="1" t="s">
        <v>191</v>
      </c>
      <c r="D11" t="s">
        <v>158</v>
      </c>
      <c r="E11" s="28" t="str">
        <f>VLOOKUP(B11,Classification!$A:$D,2,FALSE)</f>
        <v>T</v>
      </c>
      <c r="F11" s="49" t="str">
        <f>VLOOKUP(C11,Classification!$A:$D,2,FALSE)</f>
        <v>A</v>
      </c>
      <c r="G11" s="15" t="str">
        <f>VLOOKUP(D11,Classification!$A:$D,2,FALSE)</f>
        <v>A</v>
      </c>
      <c r="H11" s="15" t="b">
        <f t="shared" si="0"/>
        <v>1</v>
      </c>
      <c r="K11" s="3"/>
    </row>
    <row r="12" spans="1:13" x14ac:dyDescent="0.2">
      <c r="A12" s="10" t="str">
        <f>IF(ISERROR(MATCH(B12,'SegEnds_Xtal_Prot#'!B:B, 0)), "NoXtal", "Xtal")</f>
        <v>NoXtal</v>
      </c>
      <c r="B12" t="s">
        <v>461</v>
      </c>
      <c r="C12" s="1" t="s">
        <v>133</v>
      </c>
      <c r="D12" t="s">
        <v>158</v>
      </c>
      <c r="E12" s="28" t="str">
        <f>VLOOKUP(B12,Classification!$A:$D,2,FALSE)</f>
        <v>T</v>
      </c>
      <c r="F12" s="49" t="str">
        <f>VLOOKUP(C12,Classification!$A:$D,2,FALSE)</f>
        <v>A</v>
      </c>
      <c r="G12" s="15" t="str">
        <f>VLOOKUP(D12,Classification!$A:$D,2,FALSE)</f>
        <v>A</v>
      </c>
      <c r="H12" s="15" t="b">
        <f t="shared" si="0"/>
        <v>1</v>
      </c>
      <c r="K12" s="3"/>
    </row>
    <row r="13" spans="1:13" x14ac:dyDescent="0.2">
      <c r="A13" s="10" t="str">
        <f>IF(ISERROR(MATCH(B13,'SegEnds_Xtal_Prot#'!B:B, 0)), "NoXtal", "Xtal")</f>
        <v>NoXtal</v>
      </c>
      <c r="B13" t="s">
        <v>463</v>
      </c>
      <c r="C13" s="1" t="s">
        <v>158</v>
      </c>
      <c r="D13" t="s">
        <v>158</v>
      </c>
      <c r="E13" s="28" t="str">
        <f>VLOOKUP(B13,Classification!$A:$D,2,FALSE)</f>
        <v>T</v>
      </c>
      <c r="F13" s="49" t="str">
        <f>VLOOKUP(C13,Classification!$A:$D,2,FALSE)</f>
        <v>A</v>
      </c>
      <c r="G13" s="15" t="str">
        <f>VLOOKUP(D13,Classification!$A:$D,2,FALSE)</f>
        <v>A</v>
      </c>
      <c r="H13" s="15" t="b">
        <f t="shared" si="0"/>
        <v>1</v>
      </c>
      <c r="K13" s="3"/>
    </row>
    <row r="14" spans="1:13" x14ac:dyDescent="0.2">
      <c r="A14" s="10" t="str">
        <f>IF(ISERROR(MATCH(B14,'SegEnds_Xtal_Prot#'!B:B, 0)), "NoXtal", "Xtal")</f>
        <v>NoXtal</v>
      </c>
      <c r="B14" t="s">
        <v>468</v>
      </c>
      <c r="C14" s="1" t="s">
        <v>278</v>
      </c>
      <c r="D14" t="s">
        <v>158</v>
      </c>
      <c r="E14" s="28" t="str">
        <f>VLOOKUP(B14,Classification!$A:$D,2,FALSE)</f>
        <v>T</v>
      </c>
      <c r="F14" s="49" t="str">
        <f>VLOOKUP(C14,Classification!$A:$D,2,FALSE)</f>
        <v>A</v>
      </c>
      <c r="G14" s="15" t="str">
        <f>VLOOKUP(D14,Classification!$A:$D,2,FALSE)</f>
        <v>A</v>
      </c>
      <c r="H14" s="15" t="b">
        <f t="shared" si="0"/>
        <v>1</v>
      </c>
      <c r="K14" s="3"/>
    </row>
    <row r="15" spans="1:13" x14ac:dyDescent="0.2">
      <c r="A15" s="10" t="str">
        <f>IF(ISERROR(MATCH(B15,'SegEnds_Xtal_Prot#'!B:B, 0)), "NoXtal", "Xtal")</f>
        <v>NoXtal</v>
      </c>
      <c r="B15" t="s">
        <v>469</v>
      </c>
      <c r="C15" s="1" t="s">
        <v>191</v>
      </c>
      <c r="D15" t="s">
        <v>158</v>
      </c>
      <c r="E15" s="28" t="str">
        <f>VLOOKUP(B15,Classification!$A:$D,2,FALSE)</f>
        <v>T</v>
      </c>
      <c r="F15" s="49" t="str">
        <f>VLOOKUP(C15,Classification!$A:$D,2,FALSE)</f>
        <v>A</v>
      </c>
      <c r="G15" s="15" t="str">
        <f>VLOOKUP(D15,Classification!$A:$D,2,FALSE)</f>
        <v>A</v>
      </c>
      <c r="H15" s="15" t="b">
        <f t="shared" si="0"/>
        <v>1</v>
      </c>
      <c r="K15" s="3"/>
    </row>
    <row r="16" spans="1:13" x14ac:dyDescent="0.2">
      <c r="A16" s="10" t="str">
        <f>IF(ISERROR(MATCH(B16,'SegEnds_Xtal_Prot#'!B:B, 0)), "NoXtal", "Xtal")</f>
        <v>NoXtal</v>
      </c>
      <c r="B16" t="s">
        <v>470</v>
      </c>
      <c r="C16" s="1" t="s">
        <v>133</v>
      </c>
      <c r="D16" t="s">
        <v>158</v>
      </c>
      <c r="E16" s="28" t="str">
        <f>VLOOKUP(B16,Classification!$A:$D,2,FALSE)</f>
        <v>T</v>
      </c>
      <c r="F16" s="49" t="str">
        <f>VLOOKUP(C16,Classification!$A:$D,2,FALSE)</f>
        <v>A</v>
      </c>
      <c r="G16" s="15" t="str">
        <f>VLOOKUP(D16,Classification!$A:$D,2,FALSE)</f>
        <v>A</v>
      </c>
      <c r="H16" s="15" t="b">
        <f t="shared" si="0"/>
        <v>1</v>
      </c>
      <c r="K16" s="3"/>
    </row>
    <row r="17" spans="1:11" x14ac:dyDescent="0.2">
      <c r="A17" s="10" t="str">
        <f>IF(ISERROR(MATCH(B17,'SegEnds_Xtal_Prot#'!B:B, 0)), "NoXtal", "Xtal")</f>
        <v>NoXtal</v>
      </c>
      <c r="B17" t="s">
        <v>480</v>
      </c>
      <c r="C17" s="1" t="s">
        <v>158</v>
      </c>
      <c r="D17" t="s">
        <v>158</v>
      </c>
      <c r="E17" s="28" t="str">
        <f>VLOOKUP(B17,Classification!$A:$D,2,FALSE)</f>
        <v>T</v>
      </c>
      <c r="F17" s="49" t="str">
        <f>VLOOKUP(C17,Classification!$A:$D,2,FALSE)</f>
        <v>A</v>
      </c>
      <c r="G17" s="15" t="str">
        <f>VLOOKUP(D17,Classification!$A:$D,2,FALSE)</f>
        <v>A</v>
      </c>
      <c r="H17" s="15" t="b">
        <f t="shared" si="0"/>
        <v>1</v>
      </c>
      <c r="K17" s="3"/>
    </row>
    <row r="18" spans="1:11" x14ac:dyDescent="0.2">
      <c r="A18" s="10" t="str">
        <f>IF(ISERROR(MATCH(B18,'SegEnds_Xtal_Prot#'!B:B, 0)), "NoXtal", "Xtal")</f>
        <v>NoXtal</v>
      </c>
      <c r="B18" t="s">
        <v>475</v>
      </c>
      <c r="C18" s="1" t="s">
        <v>158</v>
      </c>
      <c r="D18" t="s">
        <v>158</v>
      </c>
      <c r="E18" s="28" t="str">
        <f>VLOOKUP(B18,Classification!$A:$D,2,FALSE)</f>
        <v>T</v>
      </c>
      <c r="F18" s="49" t="str">
        <f>VLOOKUP(C18,Classification!$A:$D,2,FALSE)</f>
        <v>A</v>
      </c>
      <c r="G18" s="15" t="str">
        <f>VLOOKUP(D18,Classification!$A:$D,2,FALSE)</f>
        <v>A</v>
      </c>
      <c r="H18" s="15" t="b">
        <f t="shared" si="0"/>
        <v>1</v>
      </c>
      <c r="K18" s="3"/>
    </row>
    <row r="19" spans="1:11" x14ac:dyDescent="0.2">
      <c r="A19" s="10" t="str">
        <f>IF(ISERROR(MATCH(B19,'SegEnds_Xtal_Prot#'!B:B, 0)), "NoXtal", "Xtal")</f>
        <v>NoXtal</v>
      </c>
      <c r="B19" t="s">
        <v>478</v>
      </c>
      <c r="C19" s="1" t="s">
        <v>191</v>
      </c>
      <c r="D19" t="s">
        <v>158</v>
      </c>
      <c r="E19" s="28" t="str">
        <f>VLOOKUP(B19,Classification!$A:$D,2,FALSE)</f>
        <v>T</v>
      </c>
      <c r="F19" s="49" t="str">
        <f>VLOOKUP(C19,Classification!$A:$D,2,FALSE)</f>
        <v>A</v>
      </c>
      <c r="G19" s="15" t="str">
        <f>VLOOKUP(D19,Classification!$A:$D,2,FALSE)</f>
        <v>A</v>
      </c>
      <c r="H19" s="15" t="b">
        <f t="shared" si="0"/>
        <v>1</v>
      </c>
      <c r="K19" s="3"/>
    </row>
    <row r="20" spans="1:11" x14ac:dyDescent="0.2">
      <c r="A20" s="10" t="str">
        <f>IF(ISERROR(MATCH(B20,'SegEnds_Xtal_Prot#'!B:B, 0)), "NoXtal", "Xtal")</f>
        <v>NoXtal</v>
      </c>
      <c r="B20" t="s">
        <v>464</v>
      </c>
      <c r="C20" s="1" t="s">
        <v>158</v>
      </c>
      <c r="D20" t="s">
        <v>158</v>
      </c>
      <c r="E20" s="28" t="str">
        <f>VLOOKUP(B20,Classification!$A:$D,2,FALSE)</f>
        <v>T</v>
      </c>
      <c r="F20" s="49" t="str">
        <f>VLOOKUP(C20,Classification!$A:$D,2,FALSE)</f>
        <v>A</v>
      </c>
      <c r="G20" s="15" t="str">
        <f>VLOOKUP(D20,Classification!$A:$D,2,FALSE)</f>
        <v>A</v>
      </c>
      <c r="H20" s="15" t="b">
        <f t="shared" si="0"/>
        <v>1</v>
      </c>
      <c r="K20" s="3"/>
    </row>
    <row r="21" spans="1:11" x14ac:dyDescent="0.2">
      <c r="A21" s="10" t="str">
        <f>IF(ISERROR(MATCH(B21,'SegEnds_Xtal_Prot#'!B:B, 0)), "NoXtal", "Xtal")</f>
        <v>NoXtal</v>
      </c>
      <c r="B21" t="s">
        <v>462</v>
      </c>
      <c r="C21" s="1" t="s">
        <v>133</v>
      </c>
      <c r="D21" t="s">
        <v>158</v>
      </c>
      <c r="E21" s="28" t="str">
        <f>VLOOKUP(B21,Classification!$A:$D,2,FALSE)</f>
        <v>T</v>
      </c>
      <c r="F21" s="49" t="str">
        <f>VLOOKUP(C21,Classification!$A:$D,2,FALSE)</f>
        <v>A</v>
      </c>
      <c r="G21" s="15" t="str">
        <f>VLOOKUP(D21,Classification!$A:$D,2,FALSE)</f>
        <v>A</v>
      </c>
      <c r="H21" s="15" t="b">
        <f t="shared" si="0"/>
        <v>1</v>
      </c>
      <c r="K21" s="3"/>
    </row>
    <row r="22" spans="1:11" x14ac:dyDescent="0.2">
      <c r="A22" s="10" t="str">
        <f>IF(ISERROR(MATCH(B22,'SegEnds_Xtal_Prot#'!B:B, 0)), "NoXtal", "Xtal")</f>
        <v>NoXtal</v>
      </c>
      <c r="B22" t="s">
        <v>1187</v>
      </c>
      <c r="C22" s="1" t="s">
        <v>406</v>
      </c>
      <c r="D22" t="s">
        <v>38</v>
      </c>
      <c r="E22" s="28" t="str">
        <f>VLOOKUP(B22,Classification!$A:$D,2,FALSE)</f>
        <v>B2</v>
      </c>
      <c r="F22" s="49" t="str">
        <f>VLOOKUP(C22,Classification!$A:$D,2,FALSE)</f>
        <v>B1</v>
      </c>
      <c r="G22" s="15" t="str">
        <f>VLOOKUP(D22,Classification!$A:$D,2,FALSE)</f>
        <v>B1</v>
      </c>
      <c r="H22" s="15" t="b">
        <f t="shared" si="0"/>
        <v>1</v>
      </c>
      <c r="K22" s="3"/>
    </row>
    <row r="23" spans="1:11" x14ac:dyDescent="0.2">
      <c r="A23" s="10" t="str">
        <f>IF(ISERROR(MATCH(B23,'SegEnds_Xtal_Prot#'!B:B, 0)), "NoXtal", "Xtal")</f>
        <v>NoXtal</v>
      </c>
      <c r="B23" t="s">
        <v>1197</v>
      </c>
      <c r="C23" s="1" t="s">
        <v>32</v>
      </c>
      <c r="D23" t="s">
        <v>38</v>
      </c>
      <c r="E23" s="28" t="str">
        <f>VLOOKUP(B23,Classification!$A:$D,2,FALSE)</f>
        <v>B2</v>
      </c>
      <c r="F23" s="49" t="str">
        <f>VLOOKUP(C23,Classification!$A:$D,2,FALSE)</f>
        <v>B1</v>
      </c>
      <c r="G23" s="15" t="str">
        <f>VLOOKUP(D23,Classification!$A:$D,2,FALSE)</f>
        <v>B1</v>
      </c>
      <c r="H23" s="15" t="b">
        <f t="shared" si="0"/>
        <v>1</v>
      </c>
      <c r="K23" s="3"/>
    </row>
    <row r="24" spans="1:11" x14ac:dyDescent="0.2">
      <c r="A24" s="10" t="str">
        <f>IF(ISERROR(MATCH(B24,'SegEnds_Xtal_Prot#'!B:B, 0)), "NoXtal", "Xtal")</f>
        <v>NoXtal</v>
      </c>
      <c r="B24" t="s">
        <v>1202</v>
      </c>
      <c r="C24" s="1" t="s">
        <v>38</v>
      </c>
      <c r="D24" t="s">
        <v>38</v>
      </c>
      <c r="E24" s="28" t="str">
        <f>VLOOKUP(B24,Classification!$A:$D,2,FALSE)</f>
        <v>B2</v>
      </c>
      <c r="F24" s="49" t="str">
        <f>VLOOKUP(C24,Classification!$A:$D,2,FALSE)</f>
        <v>B1</v>
      </c>
      <c r="G24" s="15" t="str">
        <f>VLOOKUP(D24,Classification!$A:$D,2,FALSE)</f>
        <v>B1</v>
      </c>
      <c r="H24" s="15" t="b">
        <f t="shared" si="0"/>
        <v>1</v>
      </c>
      <c r="K24" s="3"/>
    </row>
    <row r="25" spans="1:11" x14ac:dyDescent="0.2">
      <c r="A25" s="10" t="str">
        <f>IF(ISERROR(MATCH(B25,'SegEnds_Xtal_Prot#'!B:B, 0)), "NoXtal", "Xtal")</f>
        <v>NoXtal</v>
      </c>
      <c r="B25" t="s">
        <v>1195</v>
      </c>
      <c r="C25" s="1" t="s">
        <v>38</v>
      </c>
      <c r="D25" t="s">
        <v>38</v>
      </c>
      <c r="E25" s="28" t="str">
        <f>VLOOKUP(B25,Classification!$A:$D,2,FALSE)</f>
        <v>B2</v>
      </c>
      <c r="F25" s="49" t="str">
        <f>VLOOKUP(C25,Classification!$A:$D,2,FALSE)</f>
        <v>B1</v>
      </c>
      <c r="G25" s="15" t="str">
        <f>VLOOKUP(D25,Classification!$A:$D,2,FALSE)</f>
        <v>B1</v>
      </c>
      <c r="H25" s="15" t="b">
        <f t="shared" si="0"/>
        <v>1</v>
      </c>
      <c r="K25" s="3"/>
    </row>
    <row r="26" spans="1:11" x14ac:dyDescent="0.2">
      <c r="A26" s="10" t="str">
        <f>IF(ISERROR(MATCH(B26,'SegEnds_Xtal_Prot#'!B:B, 0)), "NoXtal", "Xtal")</f>
        <v>NoXtal</v>
      </c>
      <c r="B26" t="s">
        <v>1193</v>
      </c>
      <c r="C26" s="1" t="s">
        <v>38</v>
      </c>
      <c r="D26" t="s">
        <v>38</v>
      </c>
      <c r="E26" s="28" t="str">
        <f>VLOOKUP(B26,Classification!$A:$D,2,FALSE)</f>
        <v>B2</v>
      </c>
      <c r="F26" s="49" t="str">
        <f>VLOOKUP(C26,Classification!$A:$D,2,FALSE)</f>
        <v>B1</v>
      </c>
      <c r="G26" s="15" t="str">
        <f>VLOOKUP(D26,Classification!$A:$D,2,FALSE)</f>
        <v>B1</v>
      </c>
      <c r="H26" s="15" t="b">
        <f t="shared" si="0"/>
        <v>1</v>
      </c>
      <c r="I26" s="10"/>
      <c r="K26" s="3"/>
    </row>
    <row r="27" spans="1:11" x14ac:dyDescent="0.2">
      <c r="A27" s="10" t="str">
        <f>IF(ISERROR(MATCH(B27,'SegEnds_Xtal_Prot#'!B:B, 0)), "NoXtal", "Xtal")</f>
        <v>NoXtal</v>
      </c>
      <c r="B27" t="s">
        <v>1184</v>
      </c>
      <c r="C27" s="1" t="s">
        <v>401</v>
      </c>
      <c r="D27" t="s">
        <v>38</v>
      </c>
      <c r="E27" s="28" t="str">
        <f>VLOOKUP(B27,Classification!$A:$D,2,FALSE)</f>
        <v>B2</v>
      </c>
      <c r="F27" s="49" t="str">
        <f>VLOOKUP(C27,Classification!$A:$D,2,FALSE)</f>
        <v>B1</v>
      </c>
      <c r="G27" s="15" t="str">
        <f>VLOOKUP(D27,Classification!$A:$D,2,FALSE)</f>
        <v>B1</v>
      </c>
      <c r="H27" s="15" t="b">
        <f t="shared" si="0"/>
        <v>1</v>
      </c>
      <c r="K27" s="3"/>
    </row>
    <row r="28" spans="1:11" x14ac:dyDescent="0.2">
      <c r="A28" s="10" t="str">
        <f>IF(ISERROR(MATCH(B28,'SegEnds_Xtal_Prot#'!B:B, 0)), "NoXtal", "Xtal")</f>
        <v>NoXtal</v>
      </c>
      <c r="B28" t="s">
        <v>1191</v>
      </c>
      <c r="C28" s="1" t="s">
        <v>38</v>
      </c>
      <c r="D28" t="s">
        <v>38</v>
      </c>
      <c r="E28" s="28" t="str">
        <f>VLOOKUP(B28,Classification!$A:$D,2,FALSE)</f>
        <v>B2</v>
      </c>
      <c r="F28" s="49" t="str">
        <f>VLOOKUP(C28,Classification!$A:$D,2,FALSE)</f>
        <v>B1</v>
      </c>
      <c r="G28" s="15" t="str">
        <f>VLOOKUP(D28,Classification!$A:$D,2,FALSE)</f>
        <v>B1</v>
      </c>
      <c r="H28" s="15" t="b">
        <f t="shared" si="0"/>
        <v>1</v>
      </c>
      <c r="K28" s="3"/>
    </row>
    <row r="29" spans="1:11" x14ac:dyDescent="0.2">
      <c r="A29" s="10" t="str">
        <f>IF(ISERROR(MATCH(B29,'SegEnds_Xtal_Prot#'!B:B, 0)), "NoXtal", "Xtal")</f>
        <v>NoXtal</v>
      </c>
      <c r="B29" t="s">
        <v>1185</v>
      </c>
      <c r="C29" s="1" t="s">
        <v>406</v>
      </c>
      <c r="D29" t="s">
        <v>38</v>
      </c>
      <c r="E29" s="28" t="str">
        <f>VLOOKUP(B29,Classification!$A:$D,2,FALSE)</f>
        <v>B2</v>
      </c>
      <c r="F29" s="49" t="str">
        <f>VLOOKUP(C29,Classification!$A:$D,2,FALSE)</f>
        <v>B1</v>
      </c>
      <c r="G29" s="15" t="str">
        <f>VLOOKUP(D29,Classification!$A:$D,2,FALSE)</f>
        <v>B1</v>
      </c>
      <c r="H29" s="15" t="b">
        <f t="shared" si="0"/>
        <v>1</v>
      </c>
      <c r="K29" s="3"/>
    </row>
    <row r="30" spans="1:11" x14ac:dyDescent="0.2">
      <c r="A30" s="10" t="str">
        <f>IF(ISERROR(MATCH(B30,'SegEnds_Xtal_Prot#'!B:B, 0)), "NoXtal", "Xtal")</f>
        <v>NoXtal</v>
      </c>
      <c r="B30" t="s">
        <v>1186</v>
      </c>
      <c r="C30" s="1" t="s">
        <v>38</v>
      </c>
      <c r="D30" t="s">
        <v>38</v>
      </c>
      <c r="E30" s="28" t="str">
        <f>VLOOKUP(B30,Classification!$A:$D,2,FALSE)</f>
        <v>B2</v>
      </c>
      <c r="F30" s="49" t="str">
        <f>VLOOKUP(C30,Classification!$A:$D,2,FALSE)</f>
        <v>B1</v>
      </c>
      <c r="G30" s="15" t="str">
        <f>VLOOKUP(D30,Classification!$A:$D,2,FALSE)</f>
        <v>B1</v>
      </c>
      <c r="H30" s="15" t="b">
        <f t="shared" si="0"/>
        <v>1</v>
      </c>
      <c r="K30" s="3"/>
    </row>
    <row r="31" spans="1:11" x14ac:dyDescent="0.2">
      <c r="A31" s="10" t="str">
        <f>IF(ISERROR(MATCH(B31,'SegEnds_Xtal_Prot#'!B:B, 0)), "NoXtal", "Xtal")</f>
        <v>NoXtal</v>
      </c>
      <c r="B31" t="s">
        <v>1190</v>
      </c>
      <c r="C31" s="1" t="s">
        <v>38</v>
      </c>
      <c r="D31" t="s">
        <v>38</v>
      </c>
      <c r="E31" s="28" t="str">
        <f>VLOOKUP(B31,Classification!$A:$D,2,FALSE)</f>
        <v>B2</v>
      </c>
      <c r="F31" s="49" t="str">
        <f>VLOOKUP(C31,Classification!$A:$D,2,FALSE)</f>
        <v>B1</v>
      </c>
      <c r="G31" s="15" t="str">
        <f>VLOOKUP(D31,Classification!$A:$D,2,FALSE)</f>
        <v>B1</v>
      </c>
      <c r="H31" s="15" t="b">
        <f t="shared" si="0"/>
        <v>1</v>
      </c>
      <c r="K31" s="3"/>
    </row>
    <row r="32" spans="1:11" x14ac:dyDescent="0.2">
      <c r="A32" s="10" t="str">
        <f>IF(ISERROR(MATCH(B32,'SegEnds_Xtal_Prot#'!B:B, 0)), "NoXtal", "Xtal")</f>
        <v>NoXtal</v>
      </c>
      <c r="B32" t="s">
        <v>1183</v>
      </c>
      <c r="C32" s="1" t="s">
        <v>406</v>
      </c>
      <c r="D32" t="s">
        <v>38</v>
      </c>
      <c r="E32" s="28" t="str">
        <f>VLOOKUP(B32,Classification!$A:$D,2,FALSE)</f>
        <v>B2</v>
      </c>
      <c r="F32" s="49" t="str">
        <f>VLOOKUP(C32,Classification!$A:$D,2,FALSE)</f>
        <v>B1</v>
      </c>
      <c r="G32" s="15" t="str">
        <f>VLOOKUP(D32,Classification!$A:$D,2,FALSE)</f>
        <v>B1</v>
      </c>
      <c r="H32" s="15" t="b">
        <f t="shared" si="0"/>
        <v>1</v>
      </c>
      <c r="K32" s="3"/>
    </row>
    <row r="33" spans="1:11" x14ac:dyDescent="0.2">
      <c r="A33" s="10" t="str">
        <f>IF(ISERROR(MATCH(B33,'SegEnds_Xtal_Prot#'!B:B, 0)), "NoXtal", "Xtal")</f>
        <v>NoXtal</v>
      </c>
      <c r="B33" t="s">
        <v>1182</v>
      </c>
      <c r="C33" s="1" t="s">
        <v>38</v>
      </c>
      <c r="D33" t="s">
        <v>38</v>
      </c>
      <c r="E33" s="28" t="str">
        <f>VLOOKUP(B33,Classification!$A:$D,2,FALSE)</f>
        <v>B2</v>
      </c>
      <c r="F33" s="49" t="str">
        <f>VLOOKUP(C33,Classification!$A:$D,2,FALSE)</f>
        <v>B1</v>
      </c>
      <c r="G33" s="15" t="str">
        <f>VLOOKUP(D33,Classification!$A:$D,2,FALSE)</f>
        <v>B1</v>
      </c>
      <c r="H33" s="15" t="b">
        <f t="shared" si="0"/>
        <v>1</v>
      </c>
      <c r="K33" s="3"/>
    </row>
    <row r="34" spans="1:11" x14ac:dyDescent="0.2">
      <c r="A34" s="10" t="str">
        <f>IF(ISERROR(MATCH(B34,'SegEnds_Xtal_Prot#'!B:B, 0)), "NoXtal", "Xtal")</f>
        <v>NoXtal</v>
      </c>
      <c r="B34" t="s">
        <v>1188</v>
      </c>
      <c r="C34" s="1" t="s">
        <v>38</v>
      </c>
      <c r="D34" t="s">
        <v>38</v>
      </c>
      <c r="E34" s="28" t="str">
        <f>VLOOKUP(B34,Classification!$A:$D,2,FALSE)</f>
        <v>B2</v>
      </c>
      <c r="F34" s="49" t="str">
        <f>VLOOKUP(C34,Classification!$A:$D,2,FALSE)</f>
        <v>B1</v>
      </c>
      <c r="G34" s="15" t="str">
        <f>VLOOKUP(D34,Classification!$A:$D,2,FALSE)</f>
        <v>B1</v>
      </c>
      <c r="H34" s="15" t="b">
        <f t="shared" si="0"/>
        <v>1</v>
      </c>
      <c r="K34" s="3"/>
    </row>
    <row r="35" spans="1:11" x14ac:dyDescent="0.2">
      <c r="A35" s="10" t="str">
        <f>IF(ISERROR(MATCH(B35,'SegEnds_Xtal_Prot#'!B:B, 0)), "NoXtal", "Xtal")</f>
        <v>NoXtal</v>
      </c>
      <c r="B35" t="s">
        <v>1198</v>
      </c>
      <c r="C35" s="1" t="s">
        <v>406</v>
      </c>
      <c r="D35" t="s">
        <v>38</v>
      </c>
      <c r="E35" s="28" t="str">
        <f>VLOOKUP(B35,Classification!$A:$D,2,FALSE)</f>
        <v>B2</v>
      </c>
      <c r="F35" s="49" t="str">
        <f>VLOOKUP(C35,Classification!$A:$D,2,FALSE)</f>
        <v>B1</v>
      </c>
      <c r="G35" s="15" t="str">
        <f>VLOOKUP(D35,Classification!$A:$D,2,FALSE)</f>
        <v>B1</v>
      </c>
      <c r="H35" s="15" t="b">
        <f t="shared" si="0"/>
        <v>1</v>
      </c>
      <c r="K35" s="3"/>
    </row>
    <row r="36" spans="1:11" x14ac:dyDescent="0.2">
      <c r="A36" s="10" t="str">
        <f>IF(ISERROR(MATCH(B36,'SegEnds_Xtal_Prot#'!B:B, 0)), "NoXtal", "Xtal")</f>
        <v>NoXtal</v>
      </c>
      <c r="B36" t="s">
        <v>1192</v>
      </c>
      <c r="C36" s="1" t="s">
        <v>38</v>
      </c>
      <c r="D36" t="s">
        <v>38</v>
      </c>
      <c r="E36" s="28" t="str">
        <f>VLOOKUP(B36,Classification!$A:$D,2,FALSE)</f>
        <v>B2</v>
      </c>
      <c r="F36" s="49" t="str">
        <f>VLOOKUP(C36,Classification!$A:$D,2,FALSE)</f>
        <v>B1</v>
      </c>
      <c r="G36" s="15" t="str">
        <f>VLOOKUP(D36,Classification!$A:$D,2,FALSE)</f>
        <v>B1</v>
      </c>
      <c r="H36" s="15" t="b">
        <f t="shared" si="0"/>
        <v>1</v>
      </c>
      <c r="K36" s="3"/>
    </row>
    <row r="37" spans="1:11" x14ac:dyDescent="0.2">
      <c r="A37" s="10" t="str">
        <f>IF(ISERROR(MATCH(B37,'SegEnds_Xtal_Prot#'!B:B, 0)), "NoXtal", "Xtal")</f>
        <v>NoXtal</v>
      </c>
      <c r="B37" t="s">
        <v>1196</v>
      </c>
      <c r="C37" s="1" t="s">
        <v>38</v>
      </c>
      <c r="D37" t="s">
        <v>38</v>
      </c>
      <c r="E37" s="28" t="str">
        <f>VLOOKUP(B37,Classification!$A:$D,2,FALSE)</f>
        <v>B2</v>
      </c>
      <c r="F37" s="49" t="str">
        <f>VLOOKUP(C37,Classification!$A:$D,2,FALSE)</f>
        <v>B1</v>
      </c>
      <c r="G37" s="15" t="str">
        <f>VLOOKUP(D37,Classification!$A:$D,2,FALSE)</f>
        <v>B1</v>
      </c>
      <c r="H37" s="15" t="b">
        <f t="shared" si="0"/>
        <v>1</v>
      </c>
      <c r="K37" s="3"/>
    </row>
    <row r="38" spans="1:11" x14ac:dyDescent="0.2">
      <c r="A38" s="10" t="str">
        <f>IF(ISERROR(MATCH(B38,'SegEnds_Xtal_Prot#'!B:B, 0)), "NoXtal", "Xtal")</f>
        <v>NoXtal</v>
      </c>
      <c r="B38" t="s">
        <v>1423</v>
      </c>
      <c r="C38" s="1" t="s">
        <v>38</v>
      </c>
      <c r="D38" t="s">
        <v>38</v>
      </c>
      <c r="E38" s="28" t="str">
        <f>VLOOKUP(B38,Classification!$A:$D,2,FALSE)</f>
        <v>B2</v>
      </c>
      <c r="F38" s="49" t="str">
        <f>VLOOKUP(C38,Classification!$A:$D,2,FALSE)</f>
        <v>B1</v>
      </c>
      <c r="G38" s="15" t="str">
        <f>VLOOKUP(D38,Classification!$A:$D,2,FALSE)</f>
        <v>B1</v>
      </c>
      <c r="H38" s="15" t="b">
        <f t="shared" si="0"/>
        <v>1</v>
      </c>
      <c r="K38" s="3"/>
    </row>
    <row r="39" spans="1:11" x14ac:dyDescent="0.2">
      <c r="A39" s="10" t="str">
        <f>IF(ISERROR(MATCH(B39,'SegEnds_Xtal_Prot#'!B:B, 0)), "NoXtal", "Xtal")</f>
        <v>NoXtal</v>
      </c>
      <c r="B39" t="s">
        <v>1194</v>
      </c>
      <c r="C39" s="1" t="s">
        <v>38</v>
      </c>
      <c r="D39" t="s">
        <v>38</v>
      </c>
      <c r="E39" s="28" t="str">
        <f>VLOOKUP(B39,Classification!$A:$D,2,FALSE)</f>
        <v>B2</v>
      </c>
      <c r="F39" s="49" t="str">
        <f>VLOOKUP(C39,Classification!$A:$D,2,FALSE)</f>
        <v>B1</v>
      </c>
      <c r="G39" s="15" t="str">
        <f>VLOOKUP(D39,Classification!$A:$D,2,FALSE)</f>
        <v>B1</v>
      </c>
      <c r="H39" s="15" t="b">
        <f t="shared" si="0"/>
        <v>1</v>
      </c>
      <c r="K39" s="3"/>
    </row>
    <row r="40" spans="1:11" x14ac:dyDescent="0.2">
      <c r="A40" s="10" t="str">
        <f>IF(ISERROR(MATCH(B40,'SegEnds_Xtal_Prot#'!B:B, 0)), "NoXtal", "Xtal")</f>
        <v>NoXtal</v>
      </c>
      <c r="B40" t="s">
        <v>442</v>
      </c>
      <c r="C40" s="1" t="s">
        <v>38</v>
      </c>
      <c r="D40" t="s">
        <v>38</v>
      </c>
      <c r="E40" s="28" t="str">
        <f>VLOOKUP(B40,Classification!$A:$D,2,FALSE)</f>
        <v>B2</v>
      </c>
      <c r="F40" s="49" t="str">
        <f>VLOOKUP(C40,Classification!$A:$D,2,FALSE)</f>
        <v>B1</v>
      </c>
      <c r="G40" s="15" t="str">
        <f>VLOOKUP(D40,Classification!$A:$D,2,FALSE)</f>
        <v>B1</v>
      </c>
      <c r="H40" s="15" t="b">
        <f t="shared" si="0"/>
        <v>1</v>
      </c>
      <c r="K40" s="3"/>
    </row>
    <row r="41" spans="1:11" x14ac:dyDescent="0.2">
      <c r="A41" s="10" t="str">
        <f>IF(ISERROR(MATCH(B41,'SegEnds_Xtal_Prot#'!B:B, 0)), "NoXtal", "Xtal")</f>
        <v>NoXtal</v>
      </c>
      <c r="B41" t="s">
        <v>1177</v>
      </c>
      <c r="C41" s="1" t="s">
        <v>38</v>
      </c>
      <c r="D41" t="s">
        <v>38</v>
      </c>
      <c r="E41" s="28" t="str">
        <f>VLOOKUP(B41,Classification!$A:$D,2,FALSE)</f>
        <v>B2</v>
      </c>
      <c r="F41" s="49" t="str">
        <f>VLOOKUP(C41,Classification!$A:$D,2,FALSE)</f>
        <v>B1</v>
      </c>
      <c r="G41" s="15" t="str">
        <f>VLOOKUP(D41,Classification!$A:$D,2,FALSE)</f>
        <v>B1</v>
      </c>
      <c r="H41" s="15" t="b">
        <f t="shared" si="0"/>
        <v>1</v>
      </c>
      <c r="K41" s="3"/>
    </row>
    <row r="42" spans="1:11" x14ac:dyDescent="0.2">
      <c r="A42" s="10" t="str">
        <f>IF(ISERROR(MATCH(B42,'SegEnds_Xtal_Prot#'!B:B, 0)), "NoXtal", "Xtal")</f>
        <v>NoXtal</v>
      </c>
      <c r="B42" t="s">
        <v>1178</v>
      </c>
      <c r="C42" s="1" t="s">
        <v>38</v>
      </c>
      <c r="D42" t="s">
        <v>38</v>
      </c>
      <c r="E42" s="28" t="str">
        <f>VLOOKUP(B42,Classification!$A:$D,2,FALSE)</f>
        <v>B2</v>
      </c>
      <c r="F42" s="49" t="str">
        <f>VLOOKUP(C42,Classification!$A:$D,2,FALSE)</f>
        <v>B1</v>
      </c>
      <c r="G42" s="15" t="str">
        <f>VLOOKUP(D42,Classification!$A:$D,2,FALSE)</f>
        <v>B1</v>
      </c>
      <c r="H42" s="15" t="b">
        <f t="shared" si="0"/>
        <v>1</v>
      </c>
      <c r="K42" s="3"/>
    </row>
    <row r="43" spans="1:11" x14ac:dyDescent="0.2">
      <c r="A43" s="10" t="str">
        <f>IF(ISERROR(MATCH(B43,'SegEnds_Xtal_Prot#'!B:B, 0)), "NoXtal", "Xtal")</f>
        <v>NoXtal</v>
      </c>
      <c r="B43" t="s">
        <v>1179</v>
      </c>
      <c r="C43" s="1" t="s">
        <v>38</v>
      </c>
      <c r="D43" t="s">
        <v>38</v>
      </c>
      <c r="E43" s="28" t="str">
        <f>VLOOKUP(B43,Classification!$A:$D,2,FALSE)</f>
        <v>B2</v>
      </c>
      <c r="F43" s="49" t="str">
        <f>VLOOKUP(C43,Classification!$A:$D,2,FALSE)</f>
        <v>B1</v>
      </c>
      <c r="G43" s="15" t="str">
        <f>VLOOKUP(D43,Classification!$A:$D,2,FALSE)</f>
        <v>B1</v>
      </c>
      <c r="H43" s="15" t="b">
        <f t="shared" si="0"/>
        <v>1</v>
      </c>
      <c r="K43" s="3"/>
    </row>
    <row r="44" spans="1:11" x14ac:dyDescent="0.2">
      <c r="A44" s="10" t="str">
        <f>IF(ISERROR(MATCH(B44,'SegEnds_Xtal_Prot#'!B:B, 0)), "NoXtal", "Xtal")</f>
        <v>NoXtal</v>
      </c>
      <c r="B44" t="s">
        <v>418</v>
      </c>
      <c r="C44" s="1" t="s">
        <v>401</v>
      </c>
      <c r="D44" t="s">
        <v>38</v>
      </c>
      <c r="E44" s="28" t="str">
        <f>VLOOKUP(B44,Classification!$A:$D,2,FALSE)</f>
        <v>B2</v>
      </c>
      <c r="F44" s="49" t="str">
        <f>VLOOKUP(C44,Classification!$A:$D,2,FALSE)</f>
        <v>B1</v>
      </c>
      <c r="G44" s="15" t="str">
        <f>VLOOKUP(D44,Classification!$A:$D,2,FALSE)</f>
        <v>B1</v>
      </c>
      <c r="H44" s="15" t="b">
        <f t="shared" si="0"/>
        <v>1</v>
      </c>
      <c r="K44" s="3"/>
    </row>
    <row r="45" spans="1:11" x14ac:dyDescent="0.2">
      <c r="A45" s="10" t="str">
        <f>IF(ISERROR(MATCH(B45,'SegEnds_Xtal_Prot#'!B:B, 0)), "NoXtal", "Xtal")</f>
        <v>NoXtal</v>
      </c>
      <c r="B45" t="s">
        <v>419</v>
      </c>
      <c r="C45" s="1" t="s">
        <v>401</v>
      </c>
      <c r="D45" t="s">
        <v>38</v>
      </c>
      <c r="E45" s="28" t="str">
        <f>VLOOKUP(B45,Classification!$A:$D,2,FALSE)</f>
        <v>B2</v>
      </c>
      <c r="F45" s="49" t="str">
        <f>VLOOKUP(C45,Classification!$A:$D,2,FALSE)</f>
        <v>B1</v>
      </c>
      <c r="G45" s="15" t="str">
        <f>VLOOKUP(D45,Classification!$A:$D,2,FALSE)</f>
        <v>B1</v>
      </c>
      <c r="H45" s="15" t="b">
        <f t="shared" si="0"/>
        <v>1</v>
      </c>
      <c r="K45" s="3"/>
    </row>
    <row r="46" spans="1:11" x14ac:dyDescent="0.2">
      <c r="A46" s="10" t="str">
        <f>IF(ISERROR(MATCH(B46,'SegEnds_Xtal_Prot#'!B:B, 0)), "NoXtal", "Xtal")</f>
        <v>NoXtal</v>
      </c>
      <c r="B46" t="s">
        <v>1201</v>
      </c>
      <c r="C46" s="1" t="s">
        <v>38</v>
      </c>
      <c r="D46" t="s">
        <v>38</v>
      </c>
      <c r="E46" s="28" t="str">
        <f>VLOOKUP(B46,Classification!$A:$D,2,FALSE)</f>
        <v>B2</v>
      </c>
      <c r="F46" s="49" t="str">
        <f>VLOOKUP(C46,Classification!$A:$D,2,FALSE)</f>
        <v>B1</v>
      </c>
      <c r="G46" s="15" t="str">
        <f>VLOOKUP(D46,Classification!$A:$D,2,FALSE)</f>
        <v>B1</v>
      </c>
      <c r="H46" s="15" t="b">
        <f t="shared" si="0"/>
        <v>1</v>
      </c>
      <c r="K46" s="3"/>
    </row>
    <row r="47" spans="1:11" x14ac:dyDescent="0.2">
      <c r="A47" s="10" t="str">
        <f>IF(ISERROR(MATCH(B47,'SegEnds_Xtal_Prot#'!B:B, 0)), "NoXtal", "Xtal")</f>
        <v>NoXtal</v>
      </c>
      <c r="B47" t="s">
        <v>1200</v>
      </c>
      <c r="C47" s="1" t="s">
        <v>401</v>
      </c>
      <c r="D47" t="s">
        <v>38</v>
      </c>
      <c r="E47" s="28" t="str">
        <f>VLOOKUP(B47,Classification!$A:$D,2,FALSE)</f>
        <v>B2</v>
      </c>
      <c r="F47" s="49" t="str">
        <f>VLOOKUP(C47,Classification!$A:$D,2,FALSE)</f>
        <v>B1</v>
      </c>
      <c r="G47" s="15" t="str">
        <f>VLOOKUP(D47,Classification!$A:$D,2,FALSE)</f>
        <v>B1</v>
      </c>
      <c r="H47" s="15" t="b">
        <f t="shared" si="0"/>
        <v>1</v>
      </c>
      <c r="K47" s="3"/>
    </row>
    <row r="48" spans="1:11" x14ac:dyDescent="0.2">
      <c r="A48" s="10" t="str">
        <f>IF(ISERROR(MATCH(B48,'SegEnds_Xtal_Prot#'!B:B, 0)), "NoXtal", "Xtal")</f>
        <v>NoXtal</v>
      </c>
      <c r="B48" t="s">
        <v>1181</v>
      </c>
      <c r="C48" s="1" t="s">
        <v>38</v>
      </c>
      <c r="D48" t="s">
        <v>38</v>
      </c>
      <c r="E48" s="28" t="str">
        <f>VLOOKUP(B48,Classification!$A:$D,2,FALSE)</f>
        <v>B2</v>
      </c>
      <c r="F48" s="49" t="str">
        <f>VLOOKUP(C48,Classification!$A:$D,2,FALSE)</f>
        <v>B1</v>
      </c>
      <c r="G48" s="15" t="str">
        <f>VLOOKUP(D48,Classification!$A:$D,2,FALSE)</f>
        <v>B1</v>
      </c>
      <c r="H48" s="15" t="b">
        <f t="shared" si="0"/>
        <v>1</v>
      </c>
      <c r="K48" s="3"/>
    </row>
    <row r="49" spans="1:11" x14ac:dyDescent="0.2">
      <c r="A49" s="10" t="str">
        <f>IF(ISERROR(MATCH(B49,'SegEnds_Xtal_Prot#'!B:B, 0)), "NoXtal", "Xtal")</f>
        <v>NoXtal</v>
      </c>
      <c r="B49" t="s">
        <v>1199</v>
      </c>
      <c r="C49" s="1" t="s">
        <v>38</v>
      </c>
      <c r="D49" t="s">
        <v>38</v>
      </c>
      <c r="E49" s="28" t="str">
        <f>VLOOKUP(B49,Classification!$A:$D,2,FALSE)</f>
        <v>B2</v>
      </c>
      <c r="F49" s="49" t="str">
        <f>VLOOKUP(C49,Classification!$A:$D,2,FALSE)</f>
        <v>B1</v>
      </c>
      <c r="G49" s="15" t="str">
        <f>VLOOKUP(D49,Classification!$A:$D,2,FALSE)</f>
        <v>B1</v>
      </c>
      <c r="H49" s="15" t="b">
        <f t="shared" si="0"/>
        <v>1</v>
      </c>
      <c r="K49" s="3"/>
    </row>
    <row r="50" spans="1:11" x14ac:dyDescent="0.2">
      <c r="A50" s="10" t="str">
        <f>IF(ISERROR(MATCH(B50,'SegEnds_Xtal_Prot#'!B:B, 0)), "NoXtal", "Xtal")</f>
        <v>NoXtal</v>
      </c>
      <c r="B50" t="s">
        <v>1180</v>
      </c>
      <c r="C50" s="1" t="s">
        <v>38</v>
      </c>
      <c r="D50" t="s">
        <v>38</v>
      </c>
      <c r="E50" s="28" t="str">
        <f>VLOOKUP(B50,Classification!$A:$D,2,FALSE)</f>
        <v>B2</v>
      </c>
      <c r="F50" s="49" t="str">
        <f>VLOOKUP(C50,Classification!$A:$D,2,FALSE)</f>
        <v>B1</v>
      </c>
      <c r="G50" s="15" t="str">
        <f>VLOOKUP(D50,Classification!$A:$D,2,FALSE)</f>
        <v>B1</v>
      </c>
      <c r="H50" s="15" t="b">
        <f t="shared" si="0"/>
        <v>1</v>
      </c>
      <c r="K50" s="3"/>
    </row>
    <row r="51" spans="1:11" x14ac:dyDescent="0.2">
      <c r="A51" s="10" t="str">
        <f>IF(ISERROR(MATCH(B51,'SegEnds_Xtal_Prot#'!B:B, 0)), "NoXtal", "Xtal")</f>
        <v>NoXtal</v>
      </c>
      <c r="B51" t="s">
        <v>414</v>
      </c>
      <c r="C51" s="1" t="s">
        <v>38</v>
      </c>
      <c r="D51" t="s">
        <v>38</v>
      </c>
      <c r="E51" s="28" t="str">
        <f>VLOOKUP(B51,Classification!$A:$D,2,FALSE)</f>
        <v>B2</v>
      </c>
      <c r="F51" s="49" t="str">
        <f>VLOOKUP(C51,Classification!$A:$D,2,FALSE)</f>
        <v>B1</v>
      </c>
      <c r="G51" s="15" t="str">
        <f>VLOOKUP(D51,Classification!$A:$D,2,FALSE)</f>
        <v>B1</v>
      </c>
      <c r="H51" s="15" t="b">
        <f t="shared" si="0"/>
        <v>1</v>
      </c>
      <c r="K51" s="3"/>
    </row>
    <row r="52" spans="1:11" x14ac:dyDescent="0.2">
      <c r="A52" s="10" t="str">
        <f>IF(ISERROR(MATCH(B52,'SegEnds_Xtal_Prot#'!B:B, 0)), "NoXtal", "Xtal")</f>
        <v>NoXtal</v>
      </c>
      <c r="B52" t="s">
        <v>1189</v>
      </c>
      <c r="C52" s="1" t="s">
        <v>401</v>
      </c>
      <c r="D52" t="s">
        <v>38</v>
      </c>
      <c r="E52" s="28" t="str">
        <f>VLOOKUP(B52,Classification!$A:$D,2,FALSE)</f>
        <v>B2</v>
      </c>
      <c r="F52" s="49" t="str">
        <f>VLOOKUP(C52,Classification!$A:$D,2,FALSE)</f>
        <v>B1</v>
      </c>
      <c r="G52" s="15" t="str">
        <f>VLOOKUP(D52,Classification!$A:$D,2,FALSE)</f>
        <v>B1</v>
      </c>
      <c r="H52" s="15" t="b">
        <f t="shared" si="0"/>
        <v>1</v>
      </c>
      <c r="K52" s="3"/>
    </row>
    <row r="53" spans="1:11" x14ac:dyDescent="0.2">
      <c r="A53" s="10" t="str">
        <f>IF(ISERROR(MATCH(B53,'SegEnds_Xtal_Prot#'!B:B, 0)), "NoXtal", "Xtal")</f>
        <v>NoXtal</v>
      </c>
      <c r="B53" t="s">
        <v>481</v>
      </c>
      <c r="C53" s="1" t="s">
        <v>158</v>
      </c>
      <c r="D53" t="s">
        <v>1172</v>
      </c>
      <c r="E53" s="28" t="str">
        <f>VLOOKUP(B53,Classification!$A:$D,2,FALSE)</f>
        <v>O</v>
      </c>
      <c r="F53" s="49" t="str">
        <f>VLOOKUP(C53,Classification!$A:$D,2,FALSE)</f>
        <v>A</v>
      </c>
      <c r="G53" s="15" t="str">
        <f>VLOOKUP(D53,Classification!$A:$D,2,FALSE)</f>
        <v>A</v>
      </c>
      <c r="H53" s="15" t="b">
        <f t="shared" si="0"/>
        <v>1</v>
      </c>
      <c r="K53" s="3"/>
    </row>
    <row r="54" spans="1:11" x14ac:dyDescent="0.2">
      <c r="A54" s="10" t="str">
        <f>IF(ISERROR(MATCH(B54,'SegEnds_Xtal_Prot#'!B:B, 0)), "NoXtal", "Xtal")</f>
        <v>NoXtal</v>
      </c>
      <c r="B54" t="s">
        <v>484</v>
      </c>
      <c r="C54" s="1" t="s">
        <v>336</v>
      </c>
      <c r="D54" t="s">
        <v>1172</v>
      </c>
      <c r="E54" s="28" t="str">
        <f>VLOOKUP(B54,Classification!$A:$D,2,FALSE)</f>
        <v>O</v>
      </c>
      <c r="F54" s="49" t="str">
        <f>VLOOKUP(C54,Classification!$A:$D,2,FALSE)</f>
        <v>A</v>
      </c>
      <c r="G54" s="15" t="str">
        <f>VLOOKUP(D54,Classification!$A:$D,2,FALSE)</f>
        <v>A</v>
      </c>
      <c r="H54" s="15" t="b">
        <f t="shared" si="0"/>
        <v>1</v>
      </c>
      <c r="K54" s="3"/>
    </row>
    <row r="55" spans="1:11" x14ac:dyDescent="0.2">
      <c r="A55" s="10" t="str">
        <f>IF(ISERROR(MATCH(B55,'SegEnds_Xtal_Prot#'!B:B, 0)), "NoXtal", "Xtal")</f>
        <v>NoXtal</v>
      </c>
      <c r="B55" t="s">
        <v>417</v>
      </c>
      <c r="C55" s="1" t="s">
        <v>406</v>
      </c>
      <c r="D55" t="s">
        <v>32</v>
      </c>
      <c r="E55" s="28" t="str">
        <f>VLOOKUP(B55,Classification!$A:$D,2,FALSE)</f>
        <v>B2</v>
      </c>
      <c r="F55" s="49" t="str">
        <f>VLOOKUP(C55,Classification!$A:$D,2,FALSE)</f>
        <v>B1</v>
      </c>
      <c r="G55" s="15" t="str">
        <f>VLOOKUP(D55,Classification!$A:$D,2,FALSE)</f>
        <v>B1</v>
      </c>
      <c r="H55" s="15" t="b">
        <f t="shared" si="0"/>
        <v>1</v>
      </c>
      <c r="K55" s="3"/>
    </row>
    <row r="56" spans="1:11" x14ac:dyDescent="0.2">
      <c r="A56" s="10" t="str">
        <f>IF(ISERROR(MATCH(B56,'SegEnds_Xtal_Prot#'!B:B, 0)), "NoXtal", "Xtal")</f>
        <v>NoXtal</v>
      </c>
      <c r="B56" t="s">
        <v>420</v>
      </c>
      <c r="C56" s="1" t="s">
        <v>38</v>
      </c>
      <c r="D56" t="s">
        <v>32</v>
      </c>
      <c r="E56" s="28" t="str">
        <f>VLOOKUP(B56,Classification!$A:$D,2,FALSE)</f>
        <v>B2</v>
      </c>
      <c r="F56" s="49" t="str">
        <f>VLOOKUP(C56,Classification!$A:$D,2,FALSE)</f>
        <v>B1</v>
      </c>
      <c r="G56" s="15" t="str">
        <f>VLOOKUP(D56,Classification!$A:$D,2,FALSE)</f>
        <v>B1</v>
      </c>
      <c r="H56" s="15" t="b">
        <f t="shared" si="0"/>
        <v>1</v>
      </c>
      <c r="K56" s="3"/>
    </row>
    <row r="57" spans="1:11" x14ac:dyDescent="0.2">
      <c r="A57" s="10" t="str">
        <f>IF(ISERROR(MATCH(B57,'SegEnds_Xtal_Prot#'!B:B, 0)), "NoXtal", "Xtal")</f>
        <v>NoXtal</v>
      </c>
      <c r="B57" t="s">
        <v>486</v>
      </c>
      <c r="C57" s="1" t="s">
        <v>133</v>
      </c>
      <c r="D57" t="s">
        <v>40</v>
      </c>
      <c r="E57" s="28" t="str">
        <f>VLOOKUP(B57,Classification!$A:$D,2,FALSE)</f>
        <v>O</v>
      </c>
      <c r="F57" s="49" t="str">
        <f>VLOOKUP(C57,Classification!$A:$D,2,FALSE)</f>
        <v>A</v>
      </c>
      <c r="G57" s="15" t="str">
        <f>VLOOKUP(D57,Classification!$A:$D,2,FALSE)</f>
        <v>C</v>
      </c>
      <c r="H57" s="15" t="b">
        <f t="shared" si="0"/>
        <v>1</v>
      </c>
      <c r="K57" s="3"/>
    </row>
    <row r="58" spans="1:11" x14ac:dyDescent="0.2">
      <c r="A58" s="10" t="str">
        <f>IF(ISERROR(MATCH(B58,'SegEnds_Xtal_Prot#'!B:B, 0)), "NoXtal", "Xtal")</f>
        <v>NoXtal</v>
      </c>
      <c r="B58" t="s">
        <v>466</v>
      </c>
      <c r="C58" s="1" t="s">
        <v>1172</v>
      </c>
      <c r="D58" t="s">
        <v>918</v>
      </c>
      <c r="E58" s="28" t="str">
        <f>VLOOKUP(B58,Classification!$A:$D,2,FALSE)</f>
        <v>T</v>
      </c>
      <c r="F58" s="49" t="str">
        <f>VLOOKUP(C58,Classification!$A:$D,2,FALSE)</f>
        <v>A</v>
      </c>
      <c r="G58" s="15" t="str">
        <f>VLOOKUP(D58,Classification!$A:$D,2,FALSE)</f>
        <v>A</v>
      </c>
      <c r="H58" s="15" t="b">
        <f t="shared" si="0"/>
        <v>1</v>
      </c>
      <c r="K58" s="3"/>
    </row>
    <row r="59" spans="1:11" x14ac:dyDescent="0.2">
      <c r="A59" s="10" t="str">
        <f>IF(ISERROR(MATCH(B59,'SegEnds_Xtal_Prot#'!B:B, 0)), "NoXtal", "Xtal")</f>
        <v>NoXtal</v>
      </c>
      <c r="B59" t="s">
        <v>474</v>
      </c>
      <c r="C59" s="1" t="s">
        <v>1172</v>
      </c>
      <c r="D59" t="s">
        <v>339</v>
      </c>
      <c r="E59" s="28" t="str">
        <f>VLOOKUP(B59,Classification!$A:$D,2,FALSE)</f>
        <v>T</v>
      </c>
      <c r="F59" s="49" t="str">
        <f>VLOOKUP(C59,Classification!$A:$D,2,FALSE)</f>
        <v>A</v>
      </c>
      <c r="G59" s="15" t="str">
        <f>VLOOKUP(D59,Classification!$A:$D,2,FALSE)</f>
        <v>A</v>
      </c>
      <c r="H59" s="15" t="b">
        <f t="shared" si="0"/>
        <v>1</v>
      </c>
      <c r="K59" s="3"/>
    </row>
    <row r="60" spans="1:11" x14ac:dyDescent="0.2">
      <c r="A60" s="10" t="str">
        <f>IF(ISERROR(MATCH(B60,'SegEnds_Xtal_Prot#'!B:B, 0)), "NoXtal", "Xtal")</f>
        <v>NoXtal</v>
      </c>
      <c r="B60" t="s">
        <v>459</v>
      </c>
      <c r="C60" s="1" t="s">
        <v>1172</v>
      </c>
      <c r="D60" t="s">
        <v>1176</v>
      </c>
      <c r="E60" s="28" t="str">
        <f>VLOOKUP(B60,Classification!$A:$D,2,FALSE)</f>
        <v>T</v>
      </c>
      <c r="F60" s="49" t="str">
        <f>VLOOKUP(C60,Classification!$A:$D,2,FALSE)</f>
        <v>A</v>
      </c>
      <c r="G60" s="15" t="str">
        <f>VLOOKUP(D60,Classification!$A:$D,2,FALSE)</f>
        <v>A</v>
      </c>
      <c r="H60" s="15" t="b">
        <f t="shared" si="0"/>
        <v>1</v>
      </c>
      <c r="K60" s="3"/>
    </row>
    <row r="61" spans="1:11" x14ac:dyDescent="0.2">
      <c r="A61" s="10" t="str">
        <f>IF(ISERROR(MATCH(B61,'SegEnds_Xtal_Prot#'!B:B, 0)), "NoXtal", "Xtal")</f>
        <v>NoXtal</v>
      </c>
      <c r="B61" t="s">
        <v>458</v>
      </c>
      <c r="C61" s="1" t="s">
        <v>133</v>
      </c>
      <c r="D61" t="s">
        <v>345</v>
      </c>
      <c r="E61" s="28" t="str">
        <f>VLOOKUP(B61,Classification!$A:$D,2,FALSE)</f>
        <v>T</v>
      </c>
      <c r="F61" s="49" t="str">
        <f>VLOOKUP(C61,Classification!$A:$D,2,FALSE)</f>
        <v>A</v>
      </c>
      <c r="G61" s="15" t="str">
        <f>VLOOKUP(D61,Classification!$A:$D,2,FALSE)</f>
        <v>A</v>
      </c>
      <c r="H61" s="15" t="b">
        <f t="shared" si="0"/>
        <v>1</v>
      </c>
      <c r="K61" s="3"/>
    </row>
    <row r="62" spans="1:11" x14ac:dyDescent="0.2">
      <c r="A62" s="10" t="str">
        <f>IF(ISERROR(MATCH(B62,'SegEnds_Xtal_Prot#'!B:B, 0)), "NoXtal", "Xtal")</f>
        <v>NoXtal</v>
      </c>
      <c r="B62" t="s">
        <v>482</v>
      </c>
      <c r="C62" s="1" t="s">
        <v>177</v>
      </c>
      <c r="D62" t="s">
        <v>352</v>
      </c>
      <c r="E62" s="28" t="str">
        <f>VLOOKUP(B62,Classification!$A:$D,2,FALSE)</f>
        <v>O</v>
      </c>
      <c r="F62" s="49" t="str">
        <f>VLOOKUP(C62,Classification!$A:$D,2,FALSE)</f>
        <v>A</v>
      </c>
      <c r="G62" s="15" t="str">
        <f>VLOOKUP(D62,Classification!$A:$D,2,FALSE)</f>
        <v>A</v>
      </c>
      <c r="H62" s="15" t="b">
        <f t="shared" si="0"/>
        <v>1</v>
      </c>
      <c r="K62" s="3"/>
    </row>
    <row r="63" spans="1:11" x14ac:dyDescent="0.2">
      <c r="A63" s="10" t="str">
        <f>IF(ISERROR(MATCH(B63,'SegEnds_Xtal_Prot#'!B:B, 0)), "NoXtal", "Xtal")</f>
        <v>NoXtal</v>
      </c>
      <c r="B63" t="s">
        <v>456</v>
      </c>
      <c r="C63" s="1" t="s">
        <v>191</v>
      </c>
      <c r="D63" t="s">
        <v>104</v>
      </c>
      <c r="E63" s="28" t="str">
        <f>VLOOKUP(B63,Classification!$A:$D,2,FALSE)</f>
        <v>T</v>
      </c>
      <c r="F63" s="49" t="str">
        <f>VLOOKUP(C63,Classification!$A:$D,2,FALSE)</f>
        <v>A</v>
      </c>
      <c r="G63" s="15" t="str">
        <f>VLOOKUP(D63,Classification!$A:$D,2,FALSE)</f>
        <v>A</v>
      </c>
      <c r="H63" s="15" t="b">
        <f t="shared" si="0"/>
        <v>1</v>
      </c>
      <c r="K63" s="3"/>
    </row>
    <row r="64" spans="1:11" x14ac:dyDescent="0.2">
      <c r="A64" s="10" t="str">
        <f>IF(ISERROR(MATCH(B64,'SegEnds_Xtal_Prot#'!B:B, 0)), "NoXtal", "Xtal")</f>
        <v>NoXtal</v>
      </c>
      <c r="B64" t="s">
        <v>477</v>
      </c>
      <c r="C64" s="1" t="s">
        <v>278</v>
      </c>
      <c r="D64" t="s">
        <v>924</v>
      </c>
      <c r="E64" s="28" t="str">
        <f>VLOOKUP(B64,Classification!$A:$D,2,FALSE)</f>
        <v>T</v>
      </c>
      <c r="F64" s="49" t="str">
        <f>VLOOKUP(C64,Classification!$A:$D,2,FALSE)</f>
        <v>A</v>
      </c>
      <c r="G64" s="15" t="str">
        <f>VLOOKUP(D64,Classification!$A:$D,2,FALSE)</f>
        <v>A</v>
      </c>
      <c r="H64" s="15" t="b">
        <f t="shared" si="0"/>
        <v>1</v>
      </c>
      <c r="K64" s="3"/>
    </row>
    <row r="65" spans="1:11" x14ac:dyDescent="0.2">
      <c r="A65" s="10" t="str">
        <f>IF(ISERROR(MATCH(B65,'SegEnds_Xtal_Prot#'!B:B, 0)), "NoXtal", "Xtal")</f>
        <v>NoXtal</v>
      </c>
      <c r="B65" t="s">
        <v>131</v>
      </c>
      <c r="C65" s="1" t="s">
        <v>34</v>
      </c>
      <c r="D65" t="s">
        <v>34</v>
      </c>
      <c r="E65" s="28" t="str">
        <f>VLOOKUP(B65,Classification!$A:$D,2,FALSE)</f>
        <v>A</v>
      </c>
      <c r="F65" s="49" t="str">
        <f>VLOOKUP(C65,Classification!$A:$D,2,FALSE)</f>
        <v>A</v>
      </c>
      <c r="G65" s="15" t="str">
        <f>VLOOKUP(D65,Classification!$A:$D,2,FALSE)</f>
        <v>A</v>
      </c>
      <c r="H65" s="15" t="b">
        <f t="shared" si="0"/>
        <v>1</v>
      </c>
      <c r="K65" s="3"/>
    </row>
    <row r="66" spans="1:11" x14ac:dyDescent="0.2">
      <c r="A66" s="10" t="str">
        <f>IF(ISERROR(MATCH(B66,'SegEnds_Xtal_Prot#'!B:B, 0)), "NoXtal", "Xtal")</f>
        <v>NoXtal</v>
      </c>
      <c r="B66" t="s">
        <v>135</v>
      </c>
      <c r="C66" s="1" t="s">
        <v>34</v>
      </c>
      <c r="D66" t="s">
        <v>34</v>
      </c>
      <c r="E66" s="28" t="str">
        <f>VLOOKUP(B66,Classification!$A:$D,2,FALSE)</f>
        <v>A</v>
      </c>
      <c r="F66" s="49" t="str">
        <f>VLOOKUP(C66,Classification!$A:$D,2,FALSE)</f>
        <v>A</v>
      </c>
      <c r="G66" s="15" t="str">
        <f>VLOOKUP(D66,Classification!$A:$D,2,FALSE)</f>
        <v>A</v>
      </c>
      <c r="H66" s="15" t="b">
        <f t="shared" si="0"/>
        <v>1</v>
      </c>
      <c r="K66" s="3"/>
    </row>
    <row r="67" spans="1:11" x14ac:dyDescent="0.2">
      <c r="A67" s="10" t="str">
        <f>IF(ISERROR(MATCH(B67,'SegEnds_Xtal_Prot#'!B:B, 0)), "NoXtal", "Xtal")</f>
        <v>NoXtal</v>
      </c>
      <c r="B67" t="s">
        <v>130</v>
      </c>
      <c r="C67" s="1" t="s">
        <v>34</v>
      </c>
      <c r="D67" t="s">
        <v>34</v>
      </c>
      <c r="E67" s="28" t="str">
        <f>VLOOKUP(B67,Classification!$A:$D,2,FALSE)</f>
        <v>A</v>
      </c>
      <c r="F67" s="49" t="str">
        <f>VLOOKUP(C67,Classification!$A:$D,2,FALSE)</f>
        <v>A</v>
      </c>
      <c r="G67" s="15" t="str">
        <f>VLOOKUP(D67,Classification!$A:$D,2,FALSE)</f>
        <v>A</v>
      </c>
      <c r="H67" s="15" t="b">
        <f t="shared" ref="H67:H130" si="1">OR(E67=G67,AND(E67="T",G67="A"),AND(E67="B2",G67="B1"),E67="O")</f>
        <v>1</v>
      </c>
      <c r="K67" s="3"/>
    </row>
    <row r="68" spans="1:11" x14ac:dyDescent="0.2">
      <c r="A68" s="10" t="str">
        <f>IF(ISERROR(MATCH(B68,'SegEnds_Xtal_Prot#'!B:B, 0)), "NoXtal", "Xtal")</f>
        <v>NoXtal</v>
      </c>
      <c r="B68" t="s">
        <v>129</v>
      </c>
      <c r="C68" s="1" t="s">
        <v>34</v>
      </c>
      <c r="D68" t="s">
        <v>34</v>
      </c>
      <c r="E68" s="28" t="str">
        <f>VLOOKUP(B68,Classification!$A:$D,2,FALSE)</f>
        <v>A</v>
      </c>
      <c r="F68" s="49" t="str">
        <f>VLOOKUP(C68,Classification!$A:$D,2,FALSE)</f>
        <v>A</v>
      </c>
      <c r="G68" s="15" t="str">
        <f>VLOOKUP(D68,Classification!$A:$D,2,FALSE)</f>
        <v>A</v>
      </c>
      <c r="H68" s="15" t="b">
        <f t="shared" si="1"/>
        <v>1</v>
      </c>
      <c r="K68" s="3"/>
    </row>
    <row r="69" spans="1:11" x14ac:dyDescent="0.2">
      <c r="A69" s="10" t="str">
        <f>IF(ISERROR(MATCH(B69,'SegEnds_Xtal_Prot#'!B:B, 0)), "NoXtal", "Xtal")</f>
        <v>Xtal</v>
      </c>
      <c r="B69" t="s">
        <v>34</v>
      </c>
      <c r="C69" s="1" t="s">
        <v>34</v>
      </c>
      <c r="D69" t="s">
        <v>34</v>
      </c>
      <c r="E69" s="28" t="str">
        <f>VLOOKUP(B69,Classification!$A:$D,2,FALSE)</f>
        <v>A</v>
      </c>
      <c r="F69" s="49" t="str">
        <f>VLOOKUP(C69,Classification!$A:$D,2,FALSE)</f>
        <v>A</v>
      </c>
      <c r="G69" s="15" t="str">
        <f>VLOOKUP(D69,Classification!$A:$D,2,FALSE)</f>
        <v>A</v>
      </c>
      <c r="H69" s="15" t="b">
        <f t="shared" si="1"/>
        <v>1</v>
      </c>
      <c r="K69" s="3"/>
    </row>
    <row r="70" spans="1:11" x14ac:dyDescent="0.2">
      <c r="A70" s="10" t="str">
        <f>IF(ISERROR(MATCH(B70,'SegEnds_Xtal_Prot#'!B:B, 0)), "NoXtal", "Xtal")</f>
        <v>NoXtal</v>
      </c>
      <c r="B70" t="s">
        <v>128</v>
      </c>
      <c r="C70" s="1" t="s">
        <v>34</v>
      </c>
      <c r="D70" t="s">
        <v>34</v>
      </c>
      <c r="E70" s="28" t="str">
        <f>VLOOKUP(B70,Classification!$A:$D,2,FALSE)</f>
        <v>A</v>
      </c>
      <c r="F70" s="49" t="str">
        <f>VLOOKUP(C70,Classification!$A:$D,2,FALSE)</f>
        <v>A</v>
      </c>
      <c r="G70" s="15" t="str">
        <f>VLOOKUP(D70,Classification!$A:$D,2,FALSE)</f>
        <v>A</v>
      </c>
      <c r="H70" s="15" t="b">
        <f t="shared" si="1"/>
        <v>1</v>
      </c>
      <c r="K70" s="3"/>
    </row>
    <row r="71" spans="1:11" x14ac:dyDescent="0.2">
      <c r="A71" s="10" t="str">
        <f>IF(ISERROR(MATCH(B71,'SegEnds_Xtal_Prot#'!B:B, 0)), "NoXtal", "Xtal")</f>
        <v>NoXtal</v>
      </c>
      <c r="B71" t="s">
        <v>155</v>
      </c>
      <c r="C71" s="1" t="s">
        <v>191</v>
      </c>
      <c r="D71" t="s">
        <v>34</v>
      </c>
      <c r="E71" s="28" t="str">
        <f>VLOOKUP(B71,Classification!$A:$D,2,FALSE)</f>
        <v>A</v>
      </c>
      <c r="F71" s="49" t="str">
        <f>VLOOKUP(C71,Classification!$A:$D,2,FALSE)</f>
        <v>A</v>
      </c>
      <c r="G71" s="15" t="str">
        <f>VLOOKUP(D71,Classification!$A:$D,2,FALSE)</f>
        <v>A</v>
      </c>
      <c r="H71" s="15" t="b">
        <f t="shared" si="1"/>
        <v>1</v>
      </c>
      <c r="K71" s="3"/>
    </row>
    <row r="72" spans="1:11" x14ac:dyDescent="0.2">
      <c r="A72" s="10" t="str">
        <f>IF(ISERROR(MATCH(B72,'SegEnds_Xtal_Prot#'!B:B, 0)), "NoXtal", "Xtal")</f>
        <v>NoXtal</v>
      </c>
      <c r="B72" t="s">
        <v>157</v>
      </c>
      <c r="C72" s="1" t="s">
        <v>191</v>
      </c>
      <c r="D72" t="s">
        <v>34</v>
      </c>
      <c r="E72" s="28" t="str">
        <f>VLOOKUP(B72,Classification!$A:$D,2,FALSE)</f>
        <v>A</v>
      </c>
      <c r="F72" s="49" t="str">
        <f>VLOOKUP(C72,Classification!$A:$D,2,FALSE)</f>
        <v>A</v>
      </c>
      <c r="G72" s="15" t="str">
        <f>VLOOKUP(D72,Classification!$A:$D,2,FALSE)</f>
        <v>A</v>
      </c>
      <c r="H72" s="15" t="b">
        <f t="shared" si="1"/>
        <v>1</v>
      </c>
      <c r="K72" s="3"/>
    </row>
    <row r="73" spans="1:11" x14ac:dyDescent="0.2">
      <c r="A73" s="10" t="str">
        <f>IF(ISERROR(MATCH(B73,'SegEnds_Xtal_Prot#'!B:B, 0)), "NoXtal", "Xtal")</f>
        <v>NoXtal</v>
      </c>
      <c r="B73" t="s">
        <v>392</v>
      </c>
      <c r="C73" s="1" t="s">
        <v>34</v>
      </c>
      <c r="D73" t="s">
        <v>34</v>
      </c>
      <c r="E73" s="28" t="str">
        <f>VLOOKUP(B73,Classification!$A:$D,2,FALSE)</f>
        <v>A</v>
      </c>
      <c r="F73" s="49" t="str">
        <f>VLOOKUP(C73,Classification!$A:$D,2,FALSE)</f>
        <v>A</v>
      </c>
      <c r="G73" s="15" t="str">
        <f>VLOOKUP(D73,Classification!$A:$D,2,FALSE)</f>
        <v>A</v>
      </c>
      <c r="H73" s="15" t="b">
        <f t="shared" si="1"/>
        <v>1</v>
      </c>
      <c r="K73" s="3"/>
    </row>
    <row r="74" spans="1:11" x14ac:dyDescent="0.2">
      <c r="A74" s="10" t="str">
        <f>IF(ISERROR(MATCH(B74,'SegEnds_Xtal_Prot#'!B:B, 0)), "NoXtal", "Xtal")</f>
        <v>NoXtal</v>
      </c>
      <c r="B74" t="s">
        <v>390</v>
      </c>
      <c r="C74" s="1" t="s">
        <v>34</v>
      </c>
      <c r="D74" t="s">
        <v>34</v>
      </c>
      <c r="E74" s="28" t="str">
        <f>VLOOKUP(B74,Classification!$A:$D,2,FALSE)</f>
        <v>A</v>
      </c>
      <c r="F74" s="49" t="str">
        <f>VLOOKUP(C74,Classification!$A:$D,2,FALSE)</f>
        <v>A</v>
      </c>
      <c r="G74" s="15" t="str">
        <f>VLOOKUP(D74,Classification!$A:$D,2,FALSE)</f>
        <v>A</v>
      </c>
      <c r="H74" s="15" t="b">
        <f t="shared" si="1"/>
        <v>1</v>
      </c>
      <c r="K74" s="3"/>
    </row>
    <row r="75" spans="1:11" x14ac:dyDescent="0.2">
      <c r="A75" s="10" t="str">
        <f>IF(ISERROR(MATCH(B75,'SegEnds_Xtal_Prot#'!B:B, 0)), "NoXtal", "Xtal")</f>
        <v>NoXtal</v>
      </c>
      <c r="B75" t="s">
        <v>389</v>
      </c>
      <c r="C75" s="1" t="s">
        <v>191</v>
      </c>
      <c r="D75" t="s">
        <v>34</v>
      </c>
      <c r="E75" s="28" t="str">
        <f>VLOOKUP(B75,Classification!$A:$D,2,FALSE)</f>
        <v>A</v>
      </c>
      <c r="F75" s="49" t="str">
        <f>VLOOKUP(C75,Classification!$A:$D,2,FALSE)</f>
        <v>A</v>
      </c>
      <c r="G75" s="15" t="str">
        <f>VLOOKUP(D75,Classification!$A:$D,2,FALSE)</f>
        <v>A</v>
      </c>
      <c r="H75" s="15" t="b">
        <f t="shared" si="1"/>
        <v>1</v>
      </c>
      <c r="K75" s="3"/>
    </row>
    <row r="76" spans="1:11" x14ac:dyDescent="0.2">
      <c r="A76" s="10" t="str">
        <f>IF(ISERROR(MATCH(B76,'SegEnds_Xtal_Prot#'!B:B, 0)), "NoXtal", "Xtal")</f>
        <v>NoXtal</v>
      </c>
      <c r="B76" t="s">
        <v>391</v>
      </c>
      <c r="C76" s="1" t="s">
        <v>34</v>
      </c>
      <c r="D76" t="s">
        <v>34</v>
      </c>
      <c r="E76" s="28" t="str">
        <f>VLOOKUP(B76,Classification!$A:$D,2,FALSE)</f>
        <v>A</v>
      </c>
      <c r="F76" s="49" t="str">
        <f>VLOOKUP(C76,Classification!$A:$D,2,FALSE)</f>
        <v>A</v>
      </c>
      <c r="G76" s="15" t="str">
        <f>VLOOKUP(D76,Classification!$A:$D,2,FALSE)</f>
        <v>A</v>
      </c>
      <c r="H76" s="15" t="b">
        <f t="shared" si="1"/>
        <v>1</v>
      </c>
      <c r="K76" s="3"/>
    </row>
    <row r="77" spans="1:11" x14ac:dyDescent="0.2">
      <c r="A77" s="10" t="str">
        <f>IF(ISERROR(MATCH(B77,'SegEnds_Xtal_Prot#'!B:B, 0)), "NoXtal", "Xtal")</f>
        <v>NoXtal</v>
      </c>
      <c r="B77" t="s">
        <v>220</v>
      </c>
      <c r="C77" s="1" t="s">
        <v>34</v>
      </c>
      <c r="D77" t="s">
        <v>34</v>
      </c>
      <c r="E77" s="28" t="str">
        <f>VLOOKUP(B77,Classification!$A:$D,2,FALSE)</f>
        <v>A</v>
      </c>
      <c r="F77" s="49" t="str">
        <f>VLOOKUP(C77,Classification!$A:$D,2,FALSE)</f>
        <v>A</v>
      </c>
      <c r="G77" s="15" t="str">
        <f>VLOOKUP(D77,Classification!$A:$D,2,FALSE)</f>
        <v>A</v>
      </c>
      <c r="H77" s="15" t="b">
        <f t="shared" si="1"/>
        <v>1</v>
      </c>
      <c r="K77" s="3"/>
    </row>
    <row r="78" spans="1:11" x14ac:dyDescent="0.2">
      <c r="A78" s="10" t="str">
        <f>IF(ISERROR(MATCH(B78,'SegEnds_Xtal_Prot#'!B:B, 0)), "NoXtal", "Xtal")</f>
        <v>NoXtal</v>
      </c>
      <c r="B78" t="s">
        <v>388</v>
      </c>
      <c r="C78" s="1" t="s">
        <v>126</v>
      </c>
      <c r="D78" t="s">
        <v>34</v>
      </c>
      <c r="E78" s="28" t="str">
        <f>VLOOKUP(B78,Classification!$A:$D,2,FALSE)</f>
        <v>A</v>
      </c>
      <c r="F78" s="49" t="str">
        <f>VLOOKUP(C78,Classification!$A:$D,2,FALSE)</f>
        <v>A</v>
      </c>
      <c r="G78" s="15" t="str">
        <f>VLOOKUP(D78,Classification!$A:$D,2,FALSE)</f>
        <v>A</v>
      </c>
      <c r="H78" s="15" t="b">
        <f t="shared" si="1"/>
        <v>1</v>
      </c>
      <c r="K78" s="3"/>
    </row>
    <row r="79" spans="1:11" x14ac:dyDescent="0.2">
      <c r="A79" s="10" t="str">
        <f>IF(ISERROR(MATCH(B79,'SegEnds_Xtal_Prot#'!B:B, 0)), "NoXtal", "Xtal")</f>
        <v>NoXtal</v>
      </c>
      <c r="B79" t="s">
        <v>393</v>
      </c>
      <c r="C79" s="1" t="s">
        <v>34</v>
      </c>
      <c r="D79" t="s">
        <v>34</v>
      </c>
      <c r="E79" s="28" t="str">
        <f>VLOOKUP(B79,Classification!$A:$D,2,FALSE)</f>
        <v>A</v>
      </c>
      <c r="F79" s="49" t="str">
        <f>VLOOKUP(C79,Classification!$A:$D,2,FALSE)</f>
        <v>A</v>
      </c>
      <c r="G79" s="15" t="str">
        <f>VLOOKUP(D79,Classification!$A:$D,2,FALSE)</f>
        <v>A</v>
      </c>
      <c r="H79" s="15" t="b">
        <f t="shared" si="1"/>
        <v>1</v>
      </c>
      <c r="K79" s="3"/>
    </row>
    <row r="80" spans="1:11" x14ac:dyDescent="0.2">
      <c r="A80" s="10" t="str">
        <f>IF(ISERROR(MATCH(B80,'SegEnds_Xtal_Prot#'!B:B, 0)), "NoXtal", "Xtal")</f>
        <v>NoXtal</v>
      </c>
      <c r="B80" t="s">
        <v>265</v>
      </c>
      <c r="C80" s="1" t="s">
        <v>133</v>
      </c>
      <c r="D80" t="s">
        <v>34</v>
      </c>
      <c r="E80" s="28" t="str">
        <f>VLOOKUP(B80,Classification!$A:$D,2,FALSE)</f>
        <v>A</v>
      </c>
      <c r="F80" s="49" t="str">
        <f>VLOOKUP(C80,Classification!$A:$D,2,FALSE)</f>
        <v>A</v>
      </c>
      <c r="G80" s="15" t="str">
        <f>VLOOKUP(D80,Classification!$A:$D,2,FALSE)</f>
        <v>A</v>
      </c>
      <c r="H80" s="15" t="b">
        <f t="shared" si="1"/>
        <v>1</v>
      </c>
      <c r="K80" s="3"/>
    </row>
    <row r="81" spans="1:11" x14ac:dyDescent="0.2">
      <c r="A81" s="10" t="str">
        <f>IF(ISERROR(MATCH(B81,'SegEnds_Xtal_Prot#'!B:B, 0)), "NoXtal", "Xtal")</f>
        <v>NoXtal</v>
      </c>
      <c r="B81" t="s">
        <v>137</v>
      </c>
      <c r="C81" s="1" t="s">
        <v>34</v>
      </c>
      <c r="D81" t="s">
        <v>34</v>
      </c>
      <c r="E81" s="28" t="str">
        <f>VLOOKUP(B81,Classification!$A:$D,2,FALSE)</f>
        <v>A</v>
      </c>
      <c r="F81" s="49" t="str">
        <f>VLOOKUP(C81,Classification!$A:$D,2,FALSE)</f>
        <v>A</v>
      </c>
      <c r="G81" s="15" t="str">
        <f>VLOOKUP(D81,Classification!$A:$D,2,FALSE)</f>
        <v>A</v>
      </c>
      <c r="H81" s="15" t="b">
        <f t="shared" si="1"/>
        <v>1</v>
      </c>
      <c r="K81" s="3"/>
    </row>
    <row r="82" spans="1:11" x14ac:dyDescent="0.2">
      <c r="A82" s="10" t="str">
        <f>IF(ISERROR(MATCH(B82,'SegEnds_Xtal_Prot#'!B:B, 0)), "NoXtal", "Xtal")</f>
        <v>NoXtal</v>
      </c>
      <c r="B82" t="s">
        <v>152</v>
      </c>
      <c r="C82" s="1" t="s">
        <v>126</v>
      </c>
      <c r="D82" t="s">
        <v>34</v>
      </c>
      <c r="E82" s="28" t="str">
        <f>VLOOKUP(B82,Classification!$A:$D,2,FALSE)</f>
        <v>A</v>
      </c>
      <c r="F82" s="49" t="str">
        <f>VLOOKUP(C82,Classification!$A:$D,2,FALSE)</f>
        <v>A</v>
      </c>
      <c r="G82" s="15" t="str">
        <f>VLOOKUP(D82,Classification!$A:$D,2,FALSE)</f>
        <v>A</v>
      </c>
      <c r="H82" s="15" t="b">
        <f t="shared" si="1"/>
        <v>1</v>
      </c>
      <c r="K82" s="3"/>
    </row>
    <row r="83" spans="1:11" x14ac:dyDescent="0.2">
      <c r="A83" s="10" t="str">
        <f>IF(ISERROR(MATCH(B83,'SegEnds_Xtal_Prot#'!B:B, 0)), "NoXtal", "Xtal")</f>
        <v>NoXtal</v>
      </c>
      <c r="B83" t="s">
        <v>227</v>
      </c>
      <c r="C83" s="1" t="s">
        <v>34</v>
      </c>
      <c r="D83" t="s">
        <v>34</v>
      </c>
      <c r="E83" s="28" t="str">
        <f>VLOOKUP(B83,Classification!$A:$D,2,FALSE)</f>
        <v>A</v>
      </c>
      <c r="F83" s="49" t="str">
        <f>VLOOKUP(C83,Classification!$A:$D,2,FALSE)</f>
        <v>A</v>
      </c>
      <c r="G83" s="15" t="str">
        <f>VLOOKUP(D83,Classification!$A:$D,2,FALSE)</f>
        <v>A</v>
      </c>
      <c r="H83" s="15" t="b">
        <f t="shared" si="1"/>
        <v>1</v>
      </c>
      <c r="K83" s="3"/>
    </row>
    <row r="84" spans="1:11" x14ac:dyDescent="0.2">
      <c r="A84" s="10" t="str">
        <f>IF(ISERROR(MATCH(B84,'SegEnds_Xtal_Prot#'!B:B, 0)), "NoXtal", "Xtal")</f>
        <v>NoXtal</v>
      </c>
      <c r="B84" t="s">
        <v>271</v>
      </c>
      <c r="C84" s="1" t="s">
        <v>133</v>
      </c>
      <c r="D84" t="s">
        <v>35</v>
      </c>
      <c r="E84" s="28" t="str">
        <f>VLOOKUP(B84,Classification!$A:$D,2,FALSE)</f>
        <v>A</v>
      </c>
      <c r="F84" s="49" t="str">
        <f>VLOOKUP(C84,Classification!$A:$D,2,FALSE)</f>
        <v>A</v>
      </c>
      <c r="G84" s="15" t="str">
        <f>VLOOKUP(D84,Classification!$A:$D,2,FALSE)</f>
        <v>A</v>
      </c>
      <c r="H84" s="15" t="b">
        <f t="shared" si="1"/>
        <v>1</v>
      </c>
      <c r="K84" s="3"/>
    </row>
    <row r="85" spans="1:11" x14ac:dyDescent="0.2">
      <c r="A85" s="10" t="str">
        <f>IF(ISERROR(MATCH(B85,'SegEnds_Xtal_Prot#'!B:B, 0)), "NoXtal", "Xtal")</f>
        <v>NoXtal</v>
      </c>
      <c r="B85" t="s">
        <v>230</v>
      </c>
      <c r="C85" s="1" t="s">
        <v>1175</v>
      </c>
      <c r="D85" t="s">
        <v>35</v>
      </c>
      <c r="E85" s="28" t="str">
        <f>VLOOKUP(B85,Classification!$A:$D,2,FALSE)</f>
        <v>A</v>
      </c>
      <c r="F85" s="49" t="str">
        <f>VLOOKUP(C85,Classification!$A:$D,2,FALSE)</f>
        <v>A</v>
      </c>
      <c r="G85" s="15" t="str">
        <f>VLOOKUP(D85,Classification!$A:$D,2,FALSE)</f>
        <v>A</v>
      </c>
      <c r="H85" s="15" t="b">
        <f t="shared" si="1"/>
        <v>1</v>
      </c>
      <c r="K85" s="3"/>
    </row>
    <row r="86" spans="1:11" x14ac:dyDescent="0.2">
      <c r="A86" s="10" t="str">
        <f>IF(ISERROR(MATCH(B86,'SegEnds_Xtal_Prot#'!B:B, 0)), "NoXtal", "Xtal")</f>
        <v>NoXtal</v>
      </c>
      <c r="B86" t="s">
        <v>248</v>
      </c>
      <c r="C86" s="1" t="s">
        <v>1175</v>
      </c>
      <c r="D86" t="s">
        <v>35</v>
      </c>
      <c r="E86" s="28" t="str">
        <f>VLOOKUP(B86,Classification!$A:$D,2,FALSE)</f>
        <v>A</v>
      </c>
      <c r="F86" s="49" t="str">
        <f>VLOOKUP(C86,Classification!$A:$D,2,FALSE)</f>
        <v>A</v>
      </c>
      <c r="G86" s="15" t="str">
        <f>VLOOKUP(D86,Classification!$A:$D,2,FALSE)</f>
        <v>A</v>
      </c>
      <c r="H86" s="15" t="b">
        <f t="shared" si="1"/>
        <v>1</v>
      </c>
      <c r="K86" s="3"/>
    </row>
    <row r="87" spans="1:11" x14ac:dyDescent="0.2">
      <c r="A87" s="10" t="str">
        <f>IF(ISERROR(MATCH(B87,'SegEnds_Xtal_Prot#'!B:B, 0)), "NoXtal", "Xtal")</f>
        <v>Xtal</v>
      </c>
      <c r="B87" t="s">
        <v>133</v>
      </c>
      <c r="C87" s="1" t="s">
        <v>133</v>
      </c>
      <c r="D87" t="s">
        <v>35</v>
      </c>
      <c r="E87" s="28" t="str">
        <f>VLOOKUP(B87,Classification!$A:$D,2,FALSE)</f>
        <v>A</v>
      </c>
      <c r="F87" s="49" t="str">
        <f>VLOOKUP(C87,Classification!$A:$D,2,FALSE)</f>
        <v>A</v>
      </c>
      <c r="G87" s="15" t="str">
        <f>VLOOKUP(D87,Classification!$A:$D,2,FALSE)</f>
        <v>A</v>
      </c>
      <c r="H87" s="15" t="b">
        <f t="shared" si="1"/>
        <v>1</v>
      </c>
      <c r="K87" s="3"/>
    </row>
    <row r="88" spans="1:11" x14ac:dyDescent="0.2">
      <c r="A88" s="10" t="str">
        <f>IF(ISERROR(MATCH(B88,'SegEnds_Xtal_Prot#'!B:B, 0)), "NoXtal", "Xtal")</f>
        <v>NoXtal</v>
      </c>
      <c r="B88" t="s">
        <v>132</v>
      </c>
      <c r="C88" s="1" t="s">
        <v>133</v>
      </c>
      <c r="D88" t="s">
        <v>35</v>
      </c>
      <c r="E88" s="28" t="str">
        <f>VLOOKUP(B88,Classification!$A:$D,2,FALSE)</f>
        <v>A</v>
      </c>
      <c r="F88" s="49" t="str">
        <f>VLOOKUP(C88,Classification!$A:$D,2,FALSE)</f>
        <v>A</v>
      </c>
      <c r="G88" s="15" t="str">
        <f>VLOOKUP(D88,Classification!$A:$D,2,FALSE)</f>
        <v>A</v>
      </c>
      <c r="H88" s="15" t="b">
        <f t="shared" si="1"/>
        <v>1</v>
      </c>
      <c r="K88" s="3"/>
    </row>
    <row r="89" spans="1:11" x14ac:dyDescent="0.2">
      <c r="A89" s="10" t="str">
        <f>IF(ISERROR(MATCH(B89,'SegEnds_Xtal_Prot#'!B:B, 0)), "NoXtal", "Xtal")</f>
        <v>Xtal</v>
      </c>
      <c r="B89" t="s">
        <v>35</v>
      </c>
      <c r="C89" s="1" t="s">
        <v>35</v>
      </c>
      <c r="D89" t="s">
        <v>35</v>
      </c>
      <c r="E89" s="28" t="str">
        <f>VLOOKUP(B89,Classification!$A:$D,2,FALSE)</f>
        <v>A</v>
      </c>
      <c r="F89" s="49" t="str">
        <f>VLOOKUP(C89,Classification!$A:$D,2,FALSE)</f>
        <v>A</v>
      </c>
      <c r="G89" s="15" t="str">
        <f>VLOOKUP(D89,Classification!$A:$D,2,FALSE)</f>
        <v>A</v>
      </c>
      <c r="H89" s="15" t="b">
        <f t="shared" si="1"/>
        <v>1</v>
      </c>
      <c r="K89" s="3"/>
    </row>
    <row r="90" spans="1:11" x14ac:dyDescent="0.2">
      <c r="A90" s="10" t="str">
        <f>IF(ISERROR(MATCH(B90,'SegEnds_Xtal_Prot#'!B:B, 0)), "NoXtal", "Xtal")</f>
        <v>NoXtal</v>
      </c>
      <c r="B90" t="s">
        <v>298</v>
      </c>
      <c r="C90" s="1" t="s">
        <v>103</v>
      </c>
      <c r="D90" t="s">
        <v>139</v>
      </c>
      <c r="E90" s="28" t="str">
        <f>VLOOKUP(B90,Classification!$A:$D,2,FALSE)</f>
        <v>A</v>
      </c>
      <c r="F90" s="49" t="str">
        <f>VLOOKUP(C90,Classification!$A:$D,2,FALSE)</f>
        <v>A</v>
      </c>
      <c r="G90" s="15" t="str">
        <f>VLOOKUP(D90,Classification!$A:$D,2,FALSE)</f>
        <v>A</v>
      </c>
      <c r="H90" s="15" t="b">
        <f t="shared" si="1"/>
        <v>1</v>
      </c>
      <c r="K90" s="3"/>
    </row>
    <row r="91" spans="1:11" x14ac:dyDescent="0.2">
      <c r="A91" s="10" t="str">
        <f>IF(ISERROR(MATCH(B91,'SegEnds_Xtal_Prot#'!B:B, 0)), "NoXtal", "Xtal")</f>
        <v>NoXtal</v>
      </c>
      <c r="B91" t="s">
        <v>141</v>
      </c>
      <c r="C91" s="1" t="s">
        <v>138</v>
      </c>
      <c r="D91" t="s">
        <v>138</v>
      </c>
      <c r="E91" s="28" t="str">
        <f>VLOOKUP(B91,Classification!$A:$D,2,FALSE)</f>
        <v>A</v>
      </c>
      <c r="F91" s="49" t="str">
        <f>VLOOKUP(C91,Classification!$A:$D,2,FALSE)</f>
        <v>A</v>
      </c>
      <c r="G91" s="15" t="str">
        <f>VLOOKUP(D91,Classification!$A:$D,2,FALSE)</f>
        <v>A</v>
      </c>
      <c r="H91" s="15" t="b">
        <f t="shared" si="1"/>
        <v>1</v>
      </c>
      <c r="K91" s="3"/>
    </row>
    <row r="92" spans="1:11" x14ac:dyDescent="0.2">
      <c r="A92" s="10" t="str">
        <f>IF(ISERROR(MATCH(B92,'SegEnds_Xtal_Prot#'!B:B, 0)), "NoXtal", "Xtal")</f>
        <v>Xtal</v>
      </c>
      <c r="B92" t="s">
        <v>138</v>
      </c>
      <c r="C92" s="1" t="s">
        <v>138</v>
      </c>
      <c r="D92" t="s">
        <v>138</v>
      </c>
      <c r="E92" s="28" t="str">
        <f>VLOOKUP(B92,Classification!$A:$D,2,FALSE)</f>
        <v>A</v>
      </c>
      <c r="F92" s="49" t="str">
        <f>VLOOKUP(C92,Classification!$A:$D,2,FALSE)</f>
        <v>A</v>
      </c>
      <c r="G92" s="15" t="str">
        <f>VLOOKUP(D92,Classification!$A:$D,2,FALSE)</f>
        <v>A</v>
      </c>
      <c r="H92" s="15" t="b">
        <f t="shared" si="1"/>
        <v>1</v>
      </c>
      <c r="K92" s="3"/>
    </row>
    <row r="93" spans="1:11" x14ac:dyDescent="0.2">
      <c r="A93" s="10" t="str">
        <f>IF(ISERROR(MATCH(B93,'SegEnds_Xtal_Prot#'!B:B, 0)), "NoXtal", "Xtal")</f>
        <v>NoXtal</v>
      </c>
      <c r="B93" t="s">
        <v>140</v>
      </c>
      <c r="C93" s="1" t="s">
        <v>139</v>
      </c>
      <c r="D93" t="s">
        <v>139</v>
      </c>
      <c r="E93" s="28" t="str">
        <f>VLOOKUP(B93,Classification!$A:$D,2,FALSE)</f>
        <v>A</v>
      </c>
      <c r="F93" s="49" t="str">
        <f>VLOOKUP(C93,Classification!$A:$D,2,FALSE)</f>
        <v>A</v>
      </c>
      <c r="G93" s="15" t="str">
        <f>VLOOKUP(D93,Classification!$A:$D,2,FALSE)</f>
        <v>A</v>
      </c>
      <c r="H93" s="15" t="b">
        <f t="shared" si="1"/>
        <v>1</v>
      </c>
      <c r="K93" s="3"/>
    </row>
    <row r="94" spans="1:11" x14ac:dyDescent="0.2">
      <c r="A94" s="10" t="str">
        <f>IF(ISERROR(MATCH(B94,'SegEnds_Xtal_Prot#'!B:B, 0)), "NoXtal", "Xtal")</f>
        <v>NoXtal</v>
      </c>
      <c r="B94" t="s">
        <v>361</v>
      </c>
      <c r="C94" s="1" t="s">
        <v>182</v>
      </c>
      <c r="D94" t="s">
        <v>139</v>
      </c>
      <c r="E94" s="28" t="str">
        <f>VLOOKUP(B94,Classification!$A:$D,2,FALSE)</f>
        <v>A</v>
      </c>
      <c r="F94" s="49" t="str">
        <f>VLOOKUP(C94,Classification!$A:$D,2,FALSE)</f>
        <v>A</v>
      </c>
      <c r="G94" s="15" t="str">
        <f>VLOOKUP(D94,Classification!$A:$D,2,FALSE)</f>
        <v>A</v>
      </c>
      <c r="H94" s="15" t="b">
        <f t="shared" si="1"/>
        <v>1</v>
      </c>
      <c r="K94" s="3"/>
    </row>
    <row r="95" spans="1:11" x14ac:dyDescent="0.2">
      <c r="A95" s="10" t="str">
        <f>IF(ISERROR(MATCH(B95,'SegEnds_Xtal_Prot#'!B:B, 0)), "NoXtal", "Xtal")</f>
        <v>NoXtal</v>
      </c>
      <c r="B95" t="s">
        <v>204</v>
      </c>
      <c r="C95" s="1" t="s">
        <v>139</v>
      </c>
      <c r="D95" t="s">
        <v>139</v>
      </c>
      <c r="E95" s="28" t="str">
        <f>VLOOKUP(B95,Classification!$A:$D,2,FALSE)</f>
        <v>A</v>
      </c>
      <c r="F95" s="49" t="str">
        <f>VLOOKUP(C95,Classification!$A:$D,2,FALSE)</f>
        <v>A</v>
      </c>
      <c r="G95" s="15" t="str">
        <f>VLOOKUP(D95,Classification!$A:$D,2,FALSE)</f>
        <v>A</v>
      </c>
      <c r="H95" s="15" t="b">
        <f t="shared" si="1"/>
        <v>1</v>
      </c>
      <c r="K95" s="3"/>
    </row>
    <row r="96" spans="1:11" x14ac:dyDescent="0.2">
      <c r="A96" s="10" t="str">
        <f>IF(ISERROR(MATCH(B96,'SegEnds_Xtal_Prot#'!B:B, 0)), "NoXtal", "Xtal")</f>
        <v>NoXtal</v>
      </c>
      <c r="B96" t="s">
        <v>291</v>
      </c>
      <c r="C96" s="1" t="s">
        <v>278</v>
      </c>
      <c r="D96" t="s">
        <v>139</v>
      </c>
      <c r="E96" s="28" t="str">
        <f>VLOOKUP(B96,Classification!$A:$D,2,FALSE)</f>
        <v>A</v>
      </c>
      <c r="F96" s="49" t="str">
        <f>VLOOKUP(C96,Classification!$A:$D,2,FALSE)</f>
        <v>A</v>
      </c>
      <c r="G96" s="15" t="str">
        <f>VLOOKUP(D96,Classification!$A:$D,2,FALSE)</f>
        <v>A</v>
      </c>
      <c r="H96" s="15" t="b">
        <f t="shared" si="1"/>
        <v>1</v>
      </c>
      <c r="K96" s="3"/>
    </row>
    <row r="97" spans="1:11" x14ac:dyDescent="0.2">
      <c r="A97" s="10" t="str">
        <f>IF(ISERROR(MATCH(B97,'SegEnds_Xtal_Prot#'!B:B, 0)), "NoXtal", "Xtal")</f>
        <v>NoXtal</v>
      </c>
      <c r="B97" t="s">
        <v>395</v>
      </c>
      <c r="C97" s="1" t="s">
        <v>139</v>
      </c>
      <c r="D97" t="s">
        <v>139</v>
      </c>
      <c r="E97" s="28" t="str">
        <f>VLOOKUP(B97,Classification!$A:$D,2,FALSE)</f>
        <v>A</v>
      </c>
      <c r="F97" s="49" t="str">
        <f>VLOOKUP(C97,Classification!$A:$D,2,FALSE)</f>
        <v>A</v>
      </c>
      <c r="G97" s="15" t="str">
        <f>VLOOKUP(D97,Classification!$A:$D,2,FALSE)</f>
        <v>A</v>
      </c>
      <c r="H97" s="15" t="b">
        <f t="shared" si="1"/>
        <v>1</v>
      </c>
      <c r="K97" s="3"/>
    </row>
    <row r="98" spans="1:11" x14ac:dyDescent="0.2">
      <c r="A98" s="10" t="str">
        <f>IF(ISERROR(MATCH(B98,'SegEnds_Xtal_Prot#'!B:B, 0)), "NoXtal", "Xtal")</f>
        <v>NoXtal</v>
      </c>
      <c r="B98" t="s">
        <v>284</v>
      </c>
      <c r="C98" s="1" t="s">
        <v>139</v>
      </c>
      <c r="D98" t="s">
        <v>139</v>
      </c>
      <c r="E98" s="28" t="str">
        <f>VLOOKUP(B98,Classification!$A:$D,2,FALSE)</f>
        <v>A</v>
      </c>
      <c r="F98" s="49" t="str">
        <f>VLOOKUP(C98,Classification!$A:$D,2,FALSE)</f>
        <v>A</v>
      </c>
      <c r="G98" s="15" t="str">
        <f>VLOOKUP(D98,Classification!$A:$D,2,FALSE)</f>
        <v>A</v>
      </c>
      <c r="H98" s="15" t="b">
        <f t="shared" si="1"/>
        <v>1</v>
      </c>
      <c r="K98" s="3"/>
    </row>
    <row r="99" spans="1:11" x14ac:dyDescent="0.2">
      <c r="A99" s="10" t="str">
        <f>IF(ISERROR(MATCH(B99,'SegEnds_Xtal_Prot#'!B:B, 0)), "NoXtal", "Xtal")</f>
        <v>Xtal</v>
      </c>
      <c r="B99" t="s">
        <v>139</v>
      </c>
      <c r="C99" s="1" t="s">
        <v>139</v>
      </c>
      <c r="D99" t="s">
        <v>139</v>
      </c>
      <c r="E99" s="28" t="str">
        <f>VLOOKUP(B99,Classification!$A:$D,2,FALSE)</f>
        <v>A</v>
      </c>
      <c r="F99" s="49" t="str">
        <f>VLOOKUP(C99,Classification!$A:$D,2,FALSE)</f>
        <v>A</v>
      </c>
      <c r="G99" s="15" t="str">
        <f>VLOOKUP(D99,Classification!$A:$D,2,FALSE)</f>
        <v>A</v>
      </c>
      <c r="H99" s="15" t="b">
        <f t="shared" si="1"/>
        <v>1</v>
      </c>
      <c r="K99" s="3"/>
    </row>
    <row r="100" spans="1:11" x14ac:dyDescent="0.2">
      <c r="A100" s="10" t="str">
        <f>IF(ISERROR(MATCH(B100,'SegEnds_Xtal_Prot#'!B:B, 0)), "NoXtal", "Xtal")</f>
        <v>NoXtal</v>
      </c>
      <c r="B100" t="s">
        <v>280</v>
      </c>
      <c r="C100" s="1" t="s">
        <v>278</v>
      </c>
      <c r="D100" t="s">
        <v>146</v>
      </c>
      <c r="E100" s="28" t="str">
        <f>VLOOKUP(B100,Classification!$A:$D,2,FALSE)</f>
        <v>A</v>
      </c>
      <c r="F100" s="49" t="str">
        <f>VLOOKUP(C100,Classification!$A:$D,2,FALSE)</f>
        <v>A</v>
      </c>
      <c r="G100" s="15" t="str">
        <f>VLOOKUP(D100,Classification!$A:$D,2,FALSE)</f>
        <v>A</v>
      </c>
      <c r="H100" s="15" t="b">
        <f t="shared" si="1"/>
        <v>1</v>
      </c>
      <c r="K100" s="3"/>
    </row>
    <row r="101" spans="1:11" x14ac:dyDescent="0.2">
      <c r="A101" s="10" t="str">
        <f>IF(ISERROR(MATCH(B101,'SegEnds_Xtal_Prot#'!B:B, 0)), "NoXtal", "Xtal")</f>
        <v>Xtal</v>
      </c>
      <c r="B101" t="s">
        <v>146</v>
      </c>
      <c r="C101" s="1" t="s">
        <v>146</v>
      </c>
      <c r="D101" t="s">
        <v>146</v>
      </c>
      <c r="E101" s="28" t="str">
        <f>VLOOKUP(B101,Classification!$A:$D,2,FALSE)</f>
        <v>A</v>
      </c>
      <c r="F101" s="49" t="str">
        <f>VLOOKUP(C101,Classification!$A:$D,2,FALSE)</f>
        <v>A</v>
      </c>
      <c r="G101" s="15" t="str">
        <f>VLOOKUP(D101,Classification!$A:$D,2,FALSE)</f>
        <v>A</v>
      </c>
      <c r="H101" s="15" t="b">
        <f t="shared" si="1"/>
        <v>1</v>
      </c>
      <c r="K101" s="3"/>
    </row>
    <row r="102" spans="1:11" x14ac:dyDescent="0.2">
      <c r="A102" s="10" t="str">
        <f>IF(ISERROR(MATCH(B102,'SegEnds_Xtal_Prot#'!B:B, 0)), "NoXtal", "Xtal")</f>
        <v>NoXtal</v>
      </c>
      <c r="B102" t="s">
        <v>235</v>
      </c>
      <c r="C102" s="1" t="s">
        <v>103</v>
      </c>
      <c r="D102" t="s">
        <v>146</v>
      </c>
      <c r="E102" s="28" t="str">
        <f>VLOOKUP(B102,Classification!$A:$D,2,FALSE)</f>
        <v>A</v>
      </c>
      <c r="F102" s="49" t="str">
        <f>VLOOKUP(C102,Classification!$A:$D,2,FALSE)</f>
        <v>A</v>
      </c>
      <c r="G102" s="15" t="str">
        <f>VLOOKUP(D102,Classification!$A:$D,2,FALSE)</f>
        <v>A</v>
      </c>
      <c r="H102" s="15" t="b">
        <f t="shared" si="1"/>
        <v>1</v>
      </c>
      <c r="K102" s="3"/>
    </row>
    <row r="103" spans="1:11" x14ac:dyDescent="0.2">
      <c r="A103" s="10" t="str">
        <f>IF(ISERROR(MATCH(B103,'SegEnds_Xtal_Prot#'!B:B, 0)), "NoXtal", "Xtal")</f>
        <v>Xtal</v>
      </c>
      <c r="B103" t="s">
        <v>147</v>
      </c>
      <c r="C103" s="1" t="s">
        <v>147</v>
      </c>
      <c r="D103" t="s">
        <v>147</v>
      </c>
      <c r="E103" s="28" t="str">
        <f>VLOOKUP(B103,Classification!$A:$D,2,FALSE)</f>
        <v>A</v>
      </c>
      <c r="F103" s="49" t="str">
        <f>VLOOKUP(C103,Classification!$A:$D,2,FALSE)</f>
        <v>A</v>
      </c>
      <c r="G103" s="15" t="str">
        <f>VLOOKUP(D103,Classification!$A:$D,2,FALSE)</f>
        <v>A</v>
      </c>
      <c r="H103" s="15" t="b">
        <f t="shared" si="1"/>
        <v>1</v>
      </c>
      <c r="K103" s="3"/>
    </row>
    <row r="104" spans="1:11" x14ac:dyDescent="0.2">
      <c r="A104" s="10" t="str">
        <f>IF(ISERROR(MATCH(B104,'SegEnds_Xtal_Prot#'!B:B, 0)), "NoXtal", "Xtal")</f>
        <v>NoXtal</v>
      </c>
      <c r="B104" t="s">
        <v>281</v>
      </c>
      <c r="C104" s="1" t="s">
        <v>910</v>
      </c>
      <c r="D104" t="s">
        <v>910</v>
      </c>
      <c r="E104" s="28" t="str">
        <f>VLOOKUP(B104,Classification!$A:$D,2,FALSE)</f>
        <v>A</v>
      </c>
      <c r="F104" s="49" t="str">
        <f>VLOOKUP(C104,Classification!$A:$D,2,FALSE)</f>
        <v>A</v>
      </c>
      <c r="G104" s="15" t="str">
        <f>VLOOKUP(D104,Classification!$A:$D,2,FALSE)</f>
        <v>A</v>
      </c>
      <c r="H104" s="15" t="b">
        <f t="shared" si="1"/>
        <v>1</v>
      </c>
      <c r="K104" s="3"/>
    </row>
    <row r="105" spans="1:11" x14ac:dyDescent="0.2">
      <c r="A105" s="10" t="str">
        <f>IF(ISERROR(MATCH(B105,'SegEnds_Xtal_Prot#'!B:B, 0)), "NoXtal", "Xtal")</f>
        <v>NoXtal</v>
      </c>
      <c r="B105" t="s">
        <v>150</v>
      </c>
      <c r="C105" s="1" t="s">
        <v>910</v>
      </c>
      <c r="D105" t="s">
        <v>910</v>
      </c>
      <c r="E105" s="28" t="str">
        <f>VLOOKUP(B105,Classification!$A:$D,2,FALSE)</f>
        <v>A</v>
      </c>
      <c r="F105" s="49" t="str">
        <f>VLOOKUP(C105,Classification!$A:$D,2,FALSE)</f>
        <v>A</v>
      </c>
      <c r="G105" s="15" t="str">
        <f>VLOOKUP(D105,Classification!$A:$D,2,FALSE)</f>
        <v>A</v>
      </c>
      <c r="H105" s="15" t="b">
        <f t="shared" si="1"/>
        <v>1</v>
      </c>
      <c r="K105" s="3"/>
    </row>
    <row r="106" spans="1:11" x14ac:dyDescent="0.2">
      <c r="A106" s="10" t="str">
        <f>IF(ISERROR(MATCH(B106,'SegEnds_Xtal_Prot#'!B:B, 0)), "NoXtal", "Xtal")</f>
        <v>Xtal</v>
      </c>
      <c r="B106" t="s">
        <v>910</v>
      </c>
      <c r="C106" s="1" t="s">
        <v>910</v>
      </c>
      <c r="D106" t="s">
        <v>910</v>
      </c>
      <c r="E106" s="28" t="str">
        <f>VLOOKUP(B106,Classification!$A:$D,2,FALSE)</f>
        <v>A</v>
      </c>
      <c r="F106" s="49" t="str">
        <f>VLOOKUP(C106,Classification!$A:$D,2,FALSE)</f>
        <v>A</v>
      </c>
      <c r="G106" s="15" t="str">
        <f>VLOOKUP(D106,Classification!$A:$D,2,FALSE)</f>
        <v>A</v>
      </c>
      <c r="H106" s="15" t="b">
        <f t="shared" si="1"/>
        <v>1</v>
      </c>
      <c r="K106" s="3"/>
    </row>
    <row r="107" spans="1:11" x14ac:dyDescent="0.2">
      <c r="A107" s="10" t="str">
        <f>IF(ISERROR(MATCH(B107,'SegEnds_Xtal_Prot#'!B:B, 0)), "NoXtal", "Xtal")</f>
        <v>NoXtal</v>
      </c>
      <c r="B107" t="s">
        <v>148</v>
      </c>
      <c r="C107" s="1" t="s">
        <v>910</v>
      </c>
      <c r="D107" t="s">
        <v>910</v>
      </c>
      <c r="E107" s="28" t="str">
        <f>VLOOKUP(B107,Classification!$A:$D,2,FALSE)</f>
        <v>A</v>
      </c>
      <c r="F107" s="49" t="str">
        <f>VLOOKUP(C107,Classification!$A:$D,2,FALSE)</f>
        <v>A</v>
      </c>
      <c r="G107" s="15" t="str">
        <f>VLOOKUP(D107,Classification!$A:$D,2,FALSE)</f>
        <v>A</v>
      </c>
      <c r="H107" s="15" t="b">
        <f t="shared" si="1"/>
        <v>1</v>
      </c>
      <c r="K107" s="3"/>
    </row>
    <row r="108" spans="1:11" x14ac:dyDescent="0.2">
      <c r="A108" s="10" t="str">
        <f>IF(ISERROR(MATCH(B108,'SegEnds_Xtal_Prot#'!B:B, 0)), "NoXtal", "Xtal")</f>
        <v>Xtal</v>
      </c>
      <c r="B108" t="s">
        <v>149</v>
      </c>
      <c r="C108" s="1" t="s">
        <v>149</v>
      </c>
      <c r="D108" t="s">
        <v>149</v>
      </c>
      <c r="E108" s="28" t="str">
        <f>VLOOKUP(B108,Classification!$A:$D,2,FALSE)</f>
        <v>A</v>
      </c>
      <c r="F108" s="49" t="str">
        <f>VLOOKUP(C108,Classification!$A:$D,2,FALSE)</f>
        <v>A</v>
      </c>
      <c r="G108" s="15" t="str">
        <f>VLOOKUP(D108,Classification!$A:$D,2,FALSE)</f>
        <v>A</v>
      </c>
      <c r="H108" s="15" t="b">
        <f t="shared" si="1"/>
        <v>1</v>
      </c>
      <c r="K108" s="3"/>
    </row>
    <row r="109" spans="1:11" x14ac:dyDescent="0.2">
      <c r="A109" s="10" t="str">
        <f>IF(ISERROR(MATCH(B109,'SegEnds_Xtal_Prot#'!B:B, 0)), "NoXtal", "Xtal")</f>
        <v>NoXtal</v>
      </c>
      <c r="B109" t="s">
        <v>228</v>
      </c>
      <c r="C109" s="1" t="s">
        <v>325</v>
      </c>
      <c r="D109" t="s">
        <v>149</v>
      </c>
      <c r="E109" s="28" t="str">
        <f>VLOOKUP(B109,Classification!$A:$D,2,FALSE)</f>
        <v>A</v>
      </c>
      <c r="F109" s="49" t="str">
        <f>VLOOKUP(C109,Classification!$A:$D,2,FALSE)</f>
        <v>A</v>
      </c>
      <c r="G109" s="15" t="str">
        <f>VLOOKUP(D109,Classification!$A:$D,2,FALSE)</f>
        <v>A</v>
      </c>
      <c r="H109" s="15" t="b">
        <f t="shared" si="1"/>
        <v>1</v>
      </c>
      <c r="K109" s="3"/>
    </row>
    <row r="110" spans="1:11" x14ac:dyDescent="0.2">
      <c r="A110" s="10" t="str">
        <f>IF(ISERROR(MATCH(B110,'SegEnds_Xtal_Prot#'!B:B, 0)), "NoXtal", "Xtal")</f>
        <v>NoXtal</v>
      </c>
      <c r="B110" t="s">
        <v>387</v>
      </c>
      <c r="C110" s="1" t="s">
        <v>191</v>
      </c>
      <c r="D110" t="s">
        <v>912</v>
      </c>
      <c r="E110" s="28" t="str">
        <f>VLOOKUP(B110,Classification!$A:$D,2,FALSE)</f>
        <v>A</v>
      </c>
      <c r="F110" s="49" t="str">
        <f>VLOOKUP(C110,Classification!$A:$D,2,FALSE)</f>
        <v>A</v>
      </c>
      <c r="G110" s="15" t="str">
        <f>VLOOKUP(D110,Classification!$A:$D,2,FALSE)</f>
        <v>A</v>
      </c>
      <c r="H110" s="15" t="b">
        <f t="shared" si="1"/>
        <v>1</v>
      </c>
      <c r="K110" s="3"/>
    </row>
    <row r="111" spans="1:11" x14ac:dyDescent="0.2">
      <c r="A111" s="10" t="str">
        <f>IF(ISERROR(MATCH(B111,'SegEnds_Xtal_Prot#'!B:B, 0)), "NoXtal", "Xtal")</f>
        <v>NoXtal</v>
      </c>
      <c r="B111" t="s">
        <v>259</v>
      </c>
      <c r="C111" s="1" t="s">
        <v>34</v>
      </c>
      <c r="D111" t="s">
        <v>912</v>
      </c>
      <c r="E111" s="28" t="str">
        <f>VLOOKUP(B111,Classification!$A:$D,2,FALSE)</f>
        <v>A</v>
      </c>
      <c r="F111" s="49" t="str">
        <f>VLOOKUP(C111,Classification!$A:$D,2,FALSE)</f>
        <v>A</v>
      </c>
      <c r="G111" s="15" t="str">
        <f>VLOOKUP(D111,Classification!$A:$D,2,FALSE)</f>
        <v>A</v>
      </c>
      <c r="H111" s="15" t="b">
        <f t="shared" si="1"/>
        <v>1</v>
      </c>
      <c r="K111" s="3"/>
    </row>
    <row r="112" spans="1:11" x14ac:dyDescent="0.2">
      <c r="A112" s="10" t="str">
        <f>IF(ISERROR(MATCH(B112,'SegEnds_Xtal_Prot#'!B:B, 0)), "NoXtal", "Xtal")</f>
        <v>NoXtal</v>
      </c>
      <c r="B112" t="s">
        <v>212</v>
      </c>
      <c r="C112" s="1" t="s">
        <v>173</v>
      </c>
      <c r="D112" t="s">
        <v>912</v>
      </c>
      <c r="E112" s="28" t="str">
        <f>VLOOKUP(B112,Classification!$A:$D,2,FALSE)</f>
        <v>A</v>
      </c>
      <c r="F112" s="49" t="str">
        <f>VLOOKUP(C112,Classification!$A:$D,2,FALSE)</f>
        <v>A</v>
      </c>
      <c r="G112" s="15" t="str">
        <f>VLOOKUP(D112,Classification!$A:$D,2,FALSE)</f>
        <v>A</v>
      </c>
      <c r="H112" s="15" t="b">
        <f t="shared" si="1"/>
        <v>1</v>
      </c>
      <c r="K112" s="3"/>
    </row>
    <row r="113" spans="1:11" x14ac:dyDescent="0.2">
      <c r="A113" s="10" t="str">
        <f>IF(ISERROR(MATCH(B113,'SegEnds_Xtal_Prot#'!B:B, 0)), "NoXtal", "Xtal")</f>
        <v>NoXtal</v>
      </c>
      <c r="B113" t="s">
        <v>311</v>
      </c>
      <c r="C113" s="1" t="s">
        <v>325</v>
      </c>
      <c r="D113" t="s">
        <v>912</v>
      </c>
      <c r="E113" s="28" t="str">
        <f>VLOOKUP(B113,Classification!$A:$D,2,FALSE)</f>
        <v>A</v>
      </c>
      <c r="F113" s="49" t="str">
        <f>VLOOKUP(C113,Classification!$A:$D,2,FALSE)</f>
        <v>A</v>
      </c>
      <c r="G113" s="15" t="str">
        <f>VLOOKUP(D113,Classification!$A:$D,2,FALSE)</f>
        <v>A</v>
      </c>
      <c r="H113" s="15" t="b">
        <f t="shared" si="1"/>
        <v>1</v>
      </c>
      <c r="K113" s="3"/>
    </row>
    <row r="114" spans="1:11" x14ac:dyDescent="0.2">
      <c r="A114" s="10" t="str">
        <f>IF(ISERROR(MATCH(B114,'SegEnds_Xtal_Prot#'!B:B, 0)), "NoXtal", "Xtal")</f>
        <v>NoXtal</v>
      </c>
      <c r="B114" t="s">
        <v>102</v>
      </c>
      <c r="C114" s="1" t="s">
        <v>126</v>
      </c>
      <c r="D114" t="s">
        <v>912</v>
      </c>
      <c r="E114" s="28" t="str">
        <f>VLOOKUP(B114,Classification!$A:$D,2,FALSE)</f>
        <v>A</v>
      </c>
      <c r="F114" s="49" t="str">
        <f>VLOOKUP(C114,Classification!$A:$D,2,FALSE)</f>
        <v>A</v>
      </c>
      <c r="G114" s="15" t="str">
        <f>VLOOKUP(D114,Classification!$A:$D,2,FALSE)</f>
        <v>A</v>
      </c>
      <c r="H114" s="15" t="b">
        <f t="shared" si="1"/>
        <v>1</v>
      </c>
      <c r="K114" s="3"/>
    </row>
    <row r="115" spans="1:11" x14ac:dyDescent="0.2">
      <c r="A115" s="10" t="str">
        <f>IF(ISERROR(MATCH(B115,'SegEnds_Xtal_Prot#'!B:B, 0)), "NoXtal", "Xtal")</f>
        <v>NoXtal</v>
      </c>
      <c r="B115" t="s">
        <v>376</v>
      </c>
      <c r="C115" s="1" t="s">
        <v>138</v>
      </c>
      <c r="D115" t="s">
        <v>912</v>
      </c>
      <c r="E115" s="28" t="str">
        <f>VLOOKUP(B115,Classification!$A:$D,2,FALSE)</f>
        <v>A</v>
      </c>
      <c r="F115" s="49" t="str">
        <f>VLOOKUP(C115,Classification!$A:$D,2,FALSE)</f>
        <v>A</v>
      </c>
      <c r="G115" s="15" t="str">
        <f>VLOOKUP(D115,Classification!$A:$D,2,FALSE)</f>
        <v>A</v>
      </c>
      <c r="H115" s="15" t="b">
        <f t="shared" si="1"/>
        <v>1</v>
      </c>
      <c r="K115" s="3"/>
    </row>
    <row r="116" spans="1:11" x14ac:dyDescent="0.2">
      <c r="A116" s="10" t="str">
        <f>IF(ISERROR(MATCH(B116,'SegEnds_Xtal_Prot#'!B:B, 0)), "NoXtal", "Xtal")</f>
        <v>NoXtal</v>
      </c>
      <c r="B116" t="s">
        <v>279</v>
      </c>
      <c r="C116" s="1" t="s">
        <v>126</v>
      </c>
      <c r="D116" t="s">
        <v>912</v>
      </c>
      <c r="E116" s="28" t="str">
        <f>VLOOKUP(B116,Classification!$A:$D,2,FALSE)</f>
        <v>A</v>
      </c>
      <c r="F116" s="49" t="str">
        <f>VLOOKUP(C116,Classification!$A:$D,2,FALSE)</f>
        <v>A</v>
      </c>
      <c r="G116" s="15" t="str">
        <f>VLOOKUP(D116,Classification!$A:$D,2,FALSE)</f>
        <v>A</v>
      </c>
      <c r="H116" s="15" t="b">
        <f t="shared" si="1"/>
        <v>1</v>
      </c>
      <c r="K116" s="3"/>
    </row>
    <row r="117" spans="1:11" x14ac:dyDescent="0.2">
      <c r="A117" s="10" t="str">
        <f>IF(ISERROR(MATCH(B117,'SegEnds_Xtal_Prot#'!B:B, 0)), "NoXtal", "Xtal")</f>
        <v>NoXtal</v>
      </c>
      <c r="B117" t="s">
        <v>134</v>
      </c>
      <c r="C117" s="1" t="s">
        <v>126</v>
      </c>
      <c r="D117" t="s">
        <v>912</v>
      </c>
      <c r="E117" s="28" t="str">
        <f>VLOOKUP(B117,Classification!$A:$D,2,FALSE)</f>
        <v>A</v>
      </c>
      <c r="F117" s="49" t="str">
        <f>VLOOKUP(C117,Classification!$A:$D,2,FALSE)</f>
        <v>A</v>
      </c>
      <c r="G117" s="15" t="str">
        <f>VLOOKUP(D117,Classification!$A:$D,2,FALSE)</f>
        <v>A</v>
      </c>
      <c r="H117" s="15" t="b">
        <f t="shared" si="1"/>
        <v>1</v>
      </c>
      <c r="K117" s="3"/>
    </row>
    <row r="118" spans="1:11" x14ac:dyDescent="0.2">
      <c r="A118" s="10" t="str">
        <f>IF(ISERROR(MATCH(B118,'SegEnds_Xtal_Prot#'!B:B, 0)), "NoXtal", "Xtal")</f>
        <v>NoXtal</v>
      </c>
      <c r="B118" t="s">
        <v>125</v>
      </c>
      <c r="C118" s="1" t="s">
        <v>126</v>
      </c>
      <c r="D118" t="s">
        <v>912</v>
      </c>
      <c r="E118" s="28" t="str">
        <f>VLOOKUP(B118,Classification!$A:$D,2,FALSE)</f>
        <v>A</v>
      </c>
      <c r="F118" s="49" t="str">
        <f>VLOOKUP(C118,Classification!$A:$D,2,FALSE)</f>
        <v>A</v>
      </c>
      <c r="G118" s="15" t="str">
        <f>VLOOKUP(D118,Classification!$A:$D,2,FALSE)</f>
        <v>A</v>
      </c>
      <c r="H118" s="15" t="b">
        <f t="shared" si="1"/>
        <v>1</v>
      </c>
      <c r="K118" s="3"/>
    </row>
    <row r="119" spans="1:11" x14ac:dyDescent="0.2">
      <c r="A119" s="10" t="str">
        <f>IF(ISERROR(MATCH(B119,'SegEnds_Xtal_Prot#'!B:B, 0)), "NoXtal", "Xtal")</f>
        <v>NoXtal</v>
      </c>
      <c r="B119" t="s">
        <v>190</v>
      </c>
      <c r="C119" s="1" t="s">
        <v>126</v>
      </c>
      <c r="D119" t="s">
        <v>912</v>
      </c>
      <c r="E119" s="28" t="str">
        <f>VLOOKUP(B119,Classification!$A:$D,2,FALSE)</f>
        <v>A</v>
      </c>
      <c r="F119" s="49" t="str">
        <f>VLOOKUP(C119,Classification!$A:$D,2,FALSE)</f>
        <v>A</v>
      </c>
      <c r="G119" s="15" t="str">
        <f>VLOOKUP(D119,Classification!$A:$D,2,FALSE)</f>
        <v>A</v>
      </c>
      <c r="H119" s="15" t="b">
        <f t="shared" si="1"/>
        <v>1</v>
      </c>
      <c r="K119" s="3"/>
    </row>
    <row r="120" spans="1:11" x14ac:dyDescent="0.2">
      <c r="A120" s="10" t="str">
        <f>IF(ISERROR(MATCH(B120,'SegEnds_Xtal_Prot#'!B:B, 0)), "NoXtal", "Xtal")</f>
        <v>NoXtal</v>
      </c>
      <c r="B120" t="s">
        <v>194</v>
      </c>
      <c r="C120" s="1" t="s">
        <v>126</v>
      </c>
      <c r="D120" t="s">
        <v>912</v>
      </c>
      <c r="E120" s="28" t="str">
        <f>VLOOKUP(B120,Classification!$A:$D,2,FALSE)</f>
        <v>A</v>
      </c>
      <c r="F120" s="49" t="str">
        <f>VLOOKUP(C120,Classification!$A:$D,2,FALSE)</f>
        <v>A</v>
      </c>
      <c r="G120" s="15" t="str">
        <f>VLOOKUP(D120,Classification!$A:$D,2,FALSE)</f>
        <v>A</v>
      </c>
      <c r="H120" s="15" t="b">
        <f t="shared" si="1"/>
        <v>1</v>
      </c>
      <c r="K120" s="3"/>
    </row>
    <row r="121" spans="1:11" x14ac:dyDescent="0.2">
      <c r="A121" s="10" t="str">
        <f>IF(ISERROR(MATCH(B121,'SegEnds_Xtal_Prot#'!B:B, 0)), "NoXtal", "Xtal")</f>
        <v>NoXtal</v>
      </c>
      <c r="B121" t="s">
        <v>136</v>
      </c>
      <c r="C121" s="1" t="s">
        <v>133</v>
      </c>
      <c r="D121" t="s">
        <v>912</v>
      </c>
      <c r="E121" s="28" t="str">
        <f>VLOOKUP(B121,Classification!$A:$D,2,FALSE)</f>
        <v>A</v>
      </c>
      <c r="F121" s="49" t="str">
        <f>VLOOKUP(C121,Classification!$A:$D,2,FALSE)</f>
        <v>A</v>
      </c>
      <c r="G121" s="15" t="str">
        <f>VLOOKUP(D121,Classification!$A:$D,2,FALSE)</f>
        <v>A</v>
      </c>
      <c r="H121" s="15" t="b">
        <f t="shared" si="1"/>
        <v>1</v>
      </c>
      <c r="K121" s="3"/>
    </row>
    <row r="122" spans="1:11" x14ac:dyDescent="0.2">
      <c r="A122" s="10" t="str">
        <f>IF(ISERROR(MATCH(B122,'SegEnds_Xtal_Prot#'!B:B, 0)), "NoXtal", "Xtal")</f>
        <v>Xtal</v>
      </c>
      <c r="B122" t="s">
        <v>912</v>
      </c>
      <c r="C122" s="1" t="s">
        <v>912</v>
      </c>
      <c r="D122" t="s">
        <v>912</v>
      </c>
      <c r="E122" s="28" t="str">
        <f>VLOOKUP(B122,Classification!$A:$D,2,FALSE)</f>
        <v>A</v>
      </c>
      <c r="F122" s="49" t="str">
        <f>VLOOKUP(C122,Classification!$A:$D,2,FALSE)</f>
        <v>A</v>
      </c>
      <c r="G122" s="15" t="str">
        <f>VLOOKUP(D122,Classification!$A:$D,2,FALSE)</f>
        <v>A</v>
      </c>
      <c r="H122" s="15" t="b">
        <f t="shared" si="1"/>
        <v>1</v>
      </c>
      <c r="K122" s="3"/>
    </row>
    <row r="123" spans="1:11" x14ac:dyDescent="0.2">
      <c r="A123" s="10" t="str">
        <f>IF(ISERROR(MATCH(B123,'SegEnds_Xtal_Prot#'!B:B, 0)), "NoXtal", "Xtal")</f>
        <v>NoXtal</v>
      </c>
      <c r="B123" t="s">
        <v>154</v>
      </c>
      <c r="C123" s="1" t="s">
        <v>126</v>
      </c>
      <c r="D123" t="s">
        <v>912</v>
      </c>
      <c r="E123" s="28" t="str">
        <f>VLOOKUP(B123,Classification!$A:$D,2,FALSE)</f>
        <v>A</v>
      </c>
      <c r="F123" s="49" t="str">
        <f>VLOOKUP(C123,Classification!$A:$D,2,FALSE)</f>
        <v>A</v>
      </c>
      <c r="G123" s="15" t="str">
        <f>VLOOKUP(D123,Classification!$A:$D,2,FALSE)</f>
        <v>A</v>
      </c>
      <c r="H123" s="15" t="b">
        <f t="shared" si="1"/>
        <v>1</v>
      </c>
      <c r="K123" s="3"/>
    </row>
    <row r="124" spans="1:11" x14ac:dyDescent="0.2">
      <c r="A124" s="10" t="str">
        <f>IF(ISERROR(MATCH(B124,'SegEnds_Xtal_Prot#'!B:B, 0)), "NoXtal", "Xtal")</f>
        <v>NoXtal</v>
      </c>
      <c r="B124" t="s">
        <v>153</v>
      </c>
      <c r="C124" s="1" t="s">
        <v>191</v>
      </c>
      <c r="D124" t="s">
        <v>912</v>
      </c>
      <c r="E124" s="28" t="str">
        <f>VLOOKUP(B124,Classification!$A:$D,2,FALSE)</f>
        <v>A</v>
      </c>
      <c r="F124" s="49" t="str">
        <f>VLOOKUP(C124,Classification!$A:$D,2,FALSE)</f>
        <v>A</v>
      </c>
      <c r="G124" s="15" t="str">
        <f>VLOOKUP(D124,Classification!$A:$D,2,FALSE)</f>
        <v>A</v>
      </c>
      <c r="H124" s="15" t="b">
        <f t="shared" si="1"/>
        <v>1</v>
      </c>
      <c r="K124" s="3"/>
    </row>
    <row r="125" spans="1:11" x14ac:dyDescent="0.2">
      <c r="A125" s="10" t="str">
        <f>IF(ISERROR(MATCH(B125,'SegEnds_Xtal_Prot#'!B:B, 0)), "NoXtal", "Xtal")</f>
        <v>NoXtal</v>
      </c>
      <c r="B125" t="s">
        <v>375</v>
      </c>
      <c r="C125" s="1" t="s">
        <v>138</v>
      </c>
      <c r="D125" t="s">
        <v>126</v>
      </c>
      <c r="E125" s="28" t="str">
        <f>VLOOKUP(B125,Classification!$A:$D,2,FALSE)</f>
        <v>A</v>
      </c>
      <c r="F125" s="49" t="str">
        <f>VLOOKUP(C125,Classification!$A:$D,2,FALSE)</f>
        <v>A</v>
      </c>
      <c r="G125" s="15" t="str">
        <f>VLOOKUP(D125,Classification!$A:$D,2,FALSE)</f>
        <v>A</v>
      </c>
      <c r="H125" s="15" t="b">
        <f t="shared" si="1"/>
        <v>1</v>
      </c>
      <c r="K125" s="3"/>
    </row>
    <row r="126" spans="1:11" x14ac:dyDescent="0.2">
      <c r="A126" s="10" t="str">
        <f>IF(ISERROR(MATCH(B126,'SegEnds_Xtal_Prot#'!B:B, 0)), "NoXtal", "Xtal")</f>
        <v>Xtal</v>
      </c>
      <c r="B126" t="s">
        <v>126</v>
      </c>
      <c r="C126" s="1" t="s">
        <v>126</v>
      </c>
      <c r="D126" t="s">
        <v>126</v>
      </c>
      <c r="E126" s="28" t="str">
        <f>VLOOKUP(B126,Classification!$A:$D,2,FALSE)</f>
        <v>A</v>
      </c>
      <c r="F126" s="49" t="str">
        <f>VLOOKUP(C126,Classification!$A:$D,2,FALSE)</f>
        <v>A</v>
      </c>
      <c r="G126" s="15" t="str">
        <f>VLOOKUP(D126,Classification!$A:$D,2,FALSE)</f>
        <v>A</v>
      </c>
      <c r="H126" s="15" t="b">
        <f t="shared" si="1"/>
        <v>1</v>
      </c>
      <c r="K126" s="3"/>
    </row>
    <row r="127" spans="1:11" x14ac:dyDescent="0.2">
      <c r="A127" s="10" t="str">
        <f>IF(ISERROR(MATCH(B127,'SegEnds_Xtal_Prot#'!B:B, 0)), "NoXtal", "Xtal")</f>
        <v>NoXtal</v>
      </c>
      <c r="B127" t="s">
        <v>252</v>
      </c>
      <c r="C127" s="1" t="s">
        <v>158</v>
      </c>
      <c r="D127" t="s">
        <v>158</v>
      </c>
      <c r="E127" s="28" t="str">
        <f>VLOOKUP(B127,Classification!$A:$D,2,FALSE)</f>
        <v>A</v>
      </c>
      <c r="F127" s="49" t="str">
        <f>VLOOKUP(C127,Classification!$A:$D,2,FALSE)</f>
        <v>A</v>
      </c>
      <c r="G127" s="15" t="str">
        <f>VLOOKUP(D127,Classification!$A:$D,2,FALSE)</f>
        <v>A</v>
      </c>
      <c r="H127" s="15" t="b">
        <f t="shared" si="1"/>
        <v>1</v>
      </c>
      <c r="K127" s="3"/>
    </row>
    <row r="128" spans="1:11" x14ac:dyDescent="0.2">
      <c r="A128" s="10" t="str">
        <f>IF(ISERROR(MATCH(B128,'SegEnds_Xtal_Prot#'!B:B, 0)), "NoXtal", "Xtal")</f>
        <v>NoXtal</v>
      </c>
      <c r="B128" t="s">
        <v>304</v>
      </c>
      <c r="C128" s="1" t="s">
        <v>158</v>
      </c>
      <c r="D128" t="s">
        <v>158</v>
      </c>
      <c r="E128" s="28" t="str">
        <f>VLOOKUP(B128,Classification!$A:$D,2,FALSE)</f>
        <v>A</v>
      </c>
      <c r="F128" s="49" t="str">
        <f>VLOOKUP(C128,Classification!$A:$D,2,FALSE)</f>
        <v>A</v>
      </c>
      <c r="G128" s="15" t="str">
        <f>VLOOKUP(D128,Classification!$A:$D,2,FALSE)</f>
        <v>A</v>
      </c>
      <c r="H128" s="15" t="b">
        <f t="shared" si="1"/>
        <v>1</v>
      </c>
      <c r="K128" s="3"/>
    </row>
    <row r="129" spans="1:11" x14ac:dyDescent="0.2">
      <c r="A129" s="10" t="str">
        <f>IF(ISERROR(MATCH(B129,'SegEnds_Xtal_Prot#'!B:B, 0)), "NoXtal", "Xtal")</f>
        <v>NoXtal</v>
      </c>
      <c r="B129" t="s">
        <v>161</v>
      </c>
      <c r="C129" s="1" t="s">
        <v>158</v>
      </c>
      <c r="D129" t="s">
        <v>158</v>
      </c>
      <c r="E129" s="28" t="str">
        <f>VLOOKUP(B129,Classification!$A:$D,2,FALSE)</f>
        <v>A</v>
      </c>
      <c r="F129" s="49" t="str">
        <f>VLOOKUP(C129,Classification!$A:$D,2,FALSE)</f>
        <v>A</v>
      </c>
      <c r="G129" s="15" t="str">
        <f>VLOOKUP(D129,Classification!$A:$D,2,FALSE)</f>
        <v>A</v>
      </c>
      <c r="H129" s="15" t="b">
        <f t="shared" si="1"/>
        <v>1</v>
      </c>
      <c r="K129" s="3"/>
    </row>
    <row r="130" spans="1:11" x14ac:dyDescent="0.2">
      <c r="A130" s="10" t="str">
        <f>IF(ISERROR(MATCH(B130,'SegEnds_Xtal_Prot#'!B:B, 0)), "NoXtal", "Xtal")</f>
        <v>Xtal</v>
      </c>
      <c r="B130" t="s">
        <v>159</v>
      </c>
      <c r="C130" s="1" t="s">
        <v>159</v>
      </c>
      <c r="D130" t="s">
        <v>159</v>
      </c>
      <c r="E130" s="28" t="str">
        <f>VLOOKUP(B130,Classification!$A:$D,2,FALSE)</f>
        <v>A</v>
      </c>
      <c r="F130" s="49" t="str">
        <f>VLOOKUP(C130,Classification!$A:$D,2,FALSE)</f>
        <v>A</v>
      </c>
      <c r="G130" s="15" t="str">
        <f>VLOOKUP(D130,Classification!$A:$D,2,FALSE)</f>
        <v>A</v>
      </c>
      <c r="H130" s="15" t="b">
        <f t="shared" si="1"/>
        <v>1</v>
      </c>
      <c r="K130" s="3"/>
    </row>
    <row r="131" spans="1:11" x14ac:dyDescent="0.2">
      <c r="A131" s="10" t="str">
        <f>IF(ISERROR(MATCH(B131,'SegEnds_Xtal_Prot#'!B:B, 0)), "NoXtal", "Xtal")</f>
        <v>NoXtal</v>
      </c>
      <c r="B131" t="s">
        <v>144</v>
      </c>
      <c r="C131" s="1" t="s">
        <v>158</v>
      </c>
      <c r="D131" t="s">
        <v>158</v>
      </c>
      <c r="E131" s="28" t="str">
        <f>VLOOKUP(B131,Classification!$A:$D,2,FALSE)</f>
        <v>A</v>
      </c>
      <c r="F131" s="49" t="str">
        <f>VLOOKUP(C131,Classification!$A:$D,2,FALSE)</f>
        <v>A</v>
      </c>
      <c r="G131" s="15" t="str">
        <f>VLOOKUP(D131,Classification!$A:$D,2,FALSE)</f>
        <v>A</v>
      </c>
      <c r="H131" s="15" t="b">
        <f t="shared" ref="H131:H194" si="2">OR(E131=G131,AND(E131="T",G131="A"),AND(E131="B2",G131="B1"),E131="O")</f>
        <v>1</v>
      </c>
      <c r="K131" s="3"/>
    </row>
    <row r="132" spans="1:11" x14ac:dyDescent="0.2">
      <c r="A132" s="10" t="str">
        <f>IF(ISERROR(MATCH(B132,'SegEnds_Xtal_Prot#'!B:B, 0)), "NoXtal", "Xtal")</f>
        <v>Xtal</v>
      </c>
      <c r="B132" t="s">
        <v>165</v>
      </c>
      <c r="C132" s="1" t="s">
        <v>165</v>
      </c>
      <c r="D132" t="s">
        <v>158</v>
      </c>
      <c r="E132" s="28" t="str">
        <f>VLOOKUP(B132,Classification!$A:$D,2,FALSE)</f>
        <v>A</v>
      </c>
      <c r="F132" s="49" t="str">
        <f>VLOOKUP(C132,Classification!$A:$D,2,FALSE)</f>
        <v>A</v>
      </c>
      <c r="G132" s="15" t="str">
        <f>VLOOKUP(D132,Classification!$A:$D,2,FALSE)</f>
        <v>A</v>
      </c>
      <c r="H132" s="15" t="b">
        <f t="shared" si="2"/>
        <v>1</v>
      </c>
      <c r="K132" s="3"/>
    </row>
    <row r="133" spans="1:11" x14ac:dyDescent="0.2">
      <c r="A133" s="10" t="str">
        <f>IF(ISERROR(MATCH(B133,'SegEnds_Xtal_Prot#'!B:B, 0)), "NoXtal", "Xtal")</f>
        <v>NoXtal</v>
      </c>
      <c r="B133" t="s">
        <v>306</v>
      </c>
      <c r="C133" s="1" t="s">
        <v>158</v>
      </c>
      <c r="D133" t="s">
        <v>158</v>
      </c>
      <c r="E133" s="28" t="str">
        <f>VLOOKUP(B133,Classification!$A:$D,2,FALSE)</f>
        <v>A</v>
      </c>
      <c r="F133" s="49" t="str">
        <f>VLOOKUP(C133,Classification!$A:$D,2,FALSE)</f>
        <v>A</v>
      </c>
      <c r="G133" s="15" t="str">
        <f>VLOOKUP(D133,Classification!$A:$D,2,FALSE)</f>
        <v>A</v>
      </c>
      <c r="H133" s="15" t="b">
        <f t="shared" si="2"/>
        <v>1</v>
      </c>
      <c r="K133" s="3"/>
    </row>
    <row r="134" spans="1:11" x14ac:dyDescent="0.2">
      <c r="A134" s="10" t="str">
        <f>IF(ISERROR(MATCH(B134,'SegEnds_Xtal_Prot#'!B:B, 0)), "NoXtal", "Xtal")</f>
        <v>NoXtal</v>
      </c>
      <c r="B134" t="s">
        <v>237</v>
      </c>
      <c r="C134" s="1" t="s">
        <v>158</v>
      </c>
      <c r="D134" t="s">
        <v>158</v>
      </c>
      <c r="E134" s="28" t="str">
        <f>VLOOKUP(B134,Classification!$A:$D,2,FALSE)</f>
        <v>A</v>
      </c>
      <c r="F134" s="49" t="str">
        <f>VLOOKUP(C134,Classification!$A:$D,2,FALSE)</f>
        <v>A</v>
      </c>
      <c r="G134" s="15" t="str">
        <f>VLOOKUP(D134,Classification!$A:$D,2,FALSE)</f>
        <v>A</v>
      </c>
      <c r="H134" s="15" t="b">
        <f t="shared" si="2"/>
        <v>1</v>
      </c>
      <c r="K134" s="3"/>
    </row>
    <row r="135" spans="1:11" x14ac:dyDescent="0.2">
      <c r="A135" s="10" t="str">
        <f>IF(ISERROR(MATCH(B135,'SegEnds_Xtal_Prot#'!B:B, 0)), "NoXtal", "Xtal")</f>
        <v>NoXtal</v>
      </c>
      <c r="B135" t="s">
        <v>236</v>
      </c>
      <c r="C135" s="1" t="s">
        <v>173</v>
      </c>
      <c r="D135" t="s">
        <v>158</v>
      </c>
      <c r="E135" s="28" t="str">
        <f>VLOOKUP(B135,Classification!$A:$D,2,FALSE)</f>
        <v>A</v>
      </c>
      <c r="F135" s="49" t="str">
        <f>VLOOKUP(C135,Classification!$A:$D,2,FALSE)</f>
        <v>A</v>
      </c>
      <c r="G135" s="15" t="str">
        <f>VLOOKUP(D135,Classification!$A:$D,2,FALSE)</f>
        <v>A</v>
      </c>
      <c r="H135" s="15" t="b">
        <f t="shared" si="2"/>
        <v>1</v>
      </c>
      <c r="K135" s="3"/>
    </row>
    <row r="136" spans="1:11" x14ac:dyDescent="0.2">
      <c r="A136" s="10" t="str">
        <f>IF(ISERROR(MATCH(B136,'SegEnds_Xtal_Prot#'!B:B, 0)), "NoXtal", "Xtal")</f>
        <v>NoXtal</v>
      </c>
      <c r="B136" t="s">
        <v>246</v>
      </c>
      <c r="C136" s="1" t="s">
        <v>158</v>
      </c>
      <c r="D136" t="s">
        <v>158</v>
      </c>
      <c r="E136" s="28" t="str">
        <f>VLOOKUP(B136,Classification!$A:$D,2,FALSE)</f>
        <v>A</v>
      </c>
      <c r="F136" s="49" t="str">
        <f>VLOOKUP(C136,Classification!$A:$D,2,FALSE)</f>
        <v>A</v>
      </c>
      <c r="G136" s="15" t="str">
        <f>VLOOKUP(D136,Classification!$A:$D,2,FALSE)</f>
        <v>A</v>
      </c>
      <c r="H136" s="15" t="b">
        <f t="shared" si="2"/>
        <v>1</v>
      </c>
      <c r="K136" s="3"/>
    </row>
    <row r="137" spans="1:11" x14ac:dyDescent="0.2">
      <c r="A137" s="10" t="str">
        <f>IF(ISERROR(MATCH(B137,'SegEnds_Xtal_Prot#'!B:B, 0)), "NoXtal", "Xtal")</f>
        <v>Xtal</v>
      </c>
      <c r="B137" t="s">
        <v>158</v>
      </c>
      <c r="C137" s="1" t="s">
        <v>158</v>
      </c>
      <c r="D137" t="s">
        <v>158</v>
      </c>
      <c r="E137" s="28" t="str">
        <f>VLOOKUP(B137,Classification!$A:$D,2,FALSE)</f>
        <v>A</v>
      </c>
      <c r="F137" s="49" t="str">
        <f>VLOOKUP(C137,Classification!$A:$D,2,FALSE)</f>
        <v>A</v>
      </c>
      <c r="G137" s="15" t="str">
        <f>VLOOKUP(D137,Classification!$A:$D,2,FALSE)</f>
        <v>A</v>
      </c>
      <c r="H137" s="15" t="b">
        <f t="shared" si="2"/>
        <v>1</v>
      </c>
      <c r="K137" s="3"/>
    </row>
    <row r="138" spans="1:11" x14ac:dyDescent="0.2">
      <c r="A138" s="10" t="str">
        <f>IF(ISERROR(MATCH(B138,'SegEnds_Xtal_Prot#'!B:B, 0)), "NoXtal", "Xtal")</f>
        <v>NoXtal</v>
      </c>
      <c r="B138" t="s">
        <v>181</v>
      </c>
      <c r="C138" s="1" t="s">
        <v>158</v>
      </c>
      <c r="D138" t="s">
        <v>158</v>
      </c>
      <c r="E138" s="28" t="str">
        <f>VLOOKUP(B138,Classification!$A:$D,2,FALSE)</f>
        <v>A</v>
      </c>
      <c r="F138" s="49" t="str">
        <f>VLOOKUP(C138,Classification!$A:$D,2,FALSE)</f>
        <v>A</v>
      </c>
      <c r="G138" s="15" t="str">
        <f>VLOOKUP(D138,Classification!$A:$D,2,FALSE)</f>
        <v>A</v>
      </c>
      <c r="H138" s="15" t="b">
        <f t="shared" si="2"/>
        <v>1</v>
      </c>
      <c r="K138" s="3"/>
    </row>
    <row r="139" spans="1:11" x14ac:dyDescent="0.2">
      <c r="A139" s="10" t="str">
        <f>IF(ISERROR(MATCH(B139,'SegEnds_Xtal_Prot#'!B:B, 0)), "NoXtal", "Xtal")</f>
        <v>NoXtal</v>
      </c>
      <c r="B139" t="s">
        <v>239</v>
      </c>
      <c r="C139" s="1" t="s">
        <v>160</v>
      </c>
      <c r="D139" t="s">
        <v>158</v>
      </c>
      <c r="E139" s="28" t="str">
        <f>VLOOKUP(B139,Classification!$A:$D,2,FALSE)</f>
        <v>A</v>
      </c>
      <c r="F139" s="49" t="str">
        <f>VLOOKUP(C139,Classification!$A:$D,2,FALSE)</f>
        <v>A</v>
      </c>
      <c r="G139" s="15" t="str">
        <f>VLOOKUP(D139,Classification!$A:$D,2,FALSE)</f>
        <v>A</v>
      </c>
      <c r="H139" s="15" t="b">
        <f t="shared" si="2"/>
        <v>1</v>
      </c>
      <c r="K139" s="3"/>
    </row>
    <row r="140" spans="1:11" x14ac:dyDescent="0.2">
      <c r="A140" s="10" t="str">
        <f>IF(ISERROR(MATCH(B140,'SegEnds_Xtal_Prot#'!B:B, 0)), "NoXtal", "Xtal")</f>
        <v>NoXtal</v>
      </c>
      <c r="B140" t="s">
        <v>162</v>
      </c>
      <c r="C140" s="1" t="s">
        <v>159</v>
      </c>
      <c r="D140" t="s">
        <v>158</v>
      </c>
      <c r="E140" s="28" t="str">
        <f>VLOOKUP(B140,Classification!$A:$D,2,FALSE)</f>
        <v>A</v>
      </c>
      <c r="F140" s="49" t="str">
        <f>VLOOKUP(C140,Classification!$A:$D,2,FALSE)</f>
        <v>A</v>
      </c>
      <c r="G140" s="15" t="str">
        <f>VLOOKUP(D140,Classification!$A:$D,2,FALSE)</f>
        <v>A</v>
      </c>
      <c r="H140" s="15" t="b">
        <f t="shared" si="2"/>
        <v>1</v>
      </c>
      <c r="K140" s="3"/>
    </row>
    <row r="141" spans="1:11" x14ac:dyDescent="0.2">
      <c r="A141" s="10" t="str">
        <f>IF(ISERROR(MATCH(B141,'SegEnds_Xtal_Prot#'!B:B, 0)), "NoXtal", "Xtal")</f>
        <v>NoXtal</v>
      </c>
      <c r="B141" t="s">
        <v>374</v>
      </c>
      <c r="C141" s="1" t="s">
        <v>335</v>
      </c>
      <c r="D141" t="s">
        <v>158</v>
      </c>
      <c r="E141" s="28" t="str">
        <f>VLOOKUP(B141,Classification!$A:$D,2,FALSE)</f>
        <v>A</v>
      </c>
      <c r="F141" s="49" t="str">
        <f>VLOOKUP(C141,Classification!$A:$D,2,FALSE)</f>
        <v>A</v>
      </c>
      <c r="G141" s="15" t="str">
        <f>VLOOKUP(D141,Classification!$A:$D,2,FALSE)</f>
        <v>A</v>
      </c>
      <c r="H141" s="15" t="b">
        <f t="shared" si="2"/>
        <v>1</v>
      </c>
      <c r="K141" s="3"/>
    </row>
    <row r="142" spans="1:11" x14ac:dyDescent="0.2">
      <c r="A142" s="10" t="str">
        <f>IF(ISERROR(MATCH(B142,'SegEnds_Xtal_Prot#'!B:B, 0)), "NoXtal", "Xtal")</f>
        <v>NoXtal</v>
      </c>
      <c r="B142" t="s">
        <v>292</v>
      </c>
      <c r="C142" s="1" t="s">
        <v>158</v>
      </c>
      <c r="D142" t="s">
        <v>158</v>
      </c>
      <c r="E142" s="28" t="str">
        <f>VLOOKUP(B142,Classification!$A:$D,2,FALSE)</f>
        <v>A</v>
      </c>
      <c r="F142" s="49" t="str">
        <f>VLOOKUP(C142,Classification!$A:$D,2,FALSE)</f>
        <v>A</v>
      </c>
      <c r="G142" s="15" t="str">
        <f>VLOOKUP(D142,Classification!$A:$D,2,FALSE)</f>
        <v>A</v>
      </c>
      <c r="H142" s="15" t="b">
        <f t="shared" si="2"/>
        <v>1</v>
      </c>
      <c r="K142" s="3"/>
    </row>
    <row r="143" spans="1:11" x14ac:dyDescent="0.2">
      <c r="A143" s="10" t="str">
        <f>IF(ISERROR(MATCH(B143,'SegEnds_Xtal_Prot#'!B:B, 0)), "NoXtal", "Xtal")</f>
        <v>Xtal</v>
      </c>
      <c r="B143" t="s">
        <v>160</v>
      </c>
      <c r="C143" s="1" t="s">
        <v>160</v>
      </c>
      <c r="D143" t="s">
        <v>158</v>
      </c>
      <c r="E143" s="28" t="str">
        <f>VLOOKUP(B143,Classification!$A:$D,2,FALSE)</f>
        <v>A</v>
      </c>
      <c r="F143" s="49" t="str">
        <f>VLOOKUP(C143,Classification!$A:$D,2,FALSE)</f>
        <v>A</v>
      </c>
      <c r="G143" s="15" t="str">
        <f>VLOOKUP(D143,Classification!$A:$D,2,FALSE)</f>
        <v>A</v>
      </c>
      <c r="H143" s="15" t="b">
        <f t="shared" si="2"/>
        <v>1</v>
      </c>
      <c r="K143" s="3"/>
    </row>
    <row r="144" spans="1:11" x14ac:dyDescent="0.2">
      <c r="A144" s="10" t="str">
        <f>IF(ISERROR(MATCH(B144,'SegEnds_Xtal_Prot#'!B:B, 0)), "NoXtal", "Xtal")</f>
        <v>NoXtal</v>
      </c>
      <c r="B144" t="s">
        <v>331</v>
      </c>
      <c r="C144" s="1" t="s">
        <v>371</v>
      </c>
      <c r="D144" t="s">
        <v>158</v>
      </c>
      <c r="E144" s="28" t="str">
        <f>VLOOKUP(B144,Classification!$A:$D,2,FALSE)</f>
        <v>A</v>
      </c>
      <c r="F144" s="49" t="str">
        <f>VLOOKUP(C144,Classification!$A:$D,2,FALSE)</f>
        <v>A</v>
      </c>
      <c r="G144" s="15" t="str">
        <f>VLOOKUP(D144,Classification!$A:$D,2,FALSE)</f>
        <v>A</v>
      </c>
      <c r="H144" s="15" t="b">
        <f t="shared" si="2"/>
        <v>1</v>
      </c>
      <c r="K144" s="3"/>
    </row>
    <row r="145" spans="1:11" x14ac:dyDescent="0.2">
      <c r="A145" s="10" t="str">
        <f>IF(ISERROR(MATCH(B145,'SegEnds_Xtal_Prot#'!B:B, 0)), "NoXtal", "Xtal")</f>
        <v>NoXtal</v>
      </c>
      <c r="B145" t="s">
        <v>373</v>
      </c>
      <c r="C145" s="1" t="s">
        <v>158</v>
      </c>
      <c r="D145" t="s">
        <v>158</v>
      </c>
      <c r="E145" s="28" t="str">
        <f>VLOOKUP(B145,Classification!$A:$D,2,FALSE)</f>
        <v>A</v>
      </c>
      <c r="F145" s="49" t="str">
        <f>VLOOKUP(C145,Classification!$A:$D,2,FALSE)</f>
        <v>A</v>
      </c>
      <c r="G145" s="15" t="str">
        <f>VLOOKUP(D145,Classification!$A:$D,2,FALSE)</f>
        <v>A</v>
      </c>
      <c r="H145" s="15" t="b">
        <f t="shared" si="2"/>
        <v>1</v>
      </c>
      <c r="K145" s="3"/>
    </row>
    <row r="146" spans="1:11" x14ac:dyDescent="0.2">
      <c r="A146" s="10" t="str">
        <f>IF(ISERROR(MATCH(B146,'SegEnds_Xtal_Prot#'!B:B, 0)), "NoXtal", "Xtal")</f>
        <v>NoXtal</v>
      </c>
      <c r="B146" t="s">
        <v>233</v>
      </c>
      <c r="C146" s="1" t="s">
        <v>160</v>
      </c>
      <c r="D146" t="s">
        <v>158</v>
      </c>
      <c r="E146" s="28" t="str">
        <f>VLOOKUP(B146,Classification!$A:$D,2,FALSE)</f>
        <v>A</v>
      </c>
      <c r="F146" s="49" t="str">
        <f>VLOOKUP(C146,Classification!$A:$D,2,FALSE)</f>
        <v>A</v>
      </c>
      <c r="G146" s="15" t="str">
        <f>VLOOKUP(D146,Classification!$A:$D,2,FALSE)</f>
        <v>A</v>
      </c>
      <c r="H146" s="15" t="b">
        <f t="shared" si="2"/>
        <v>1</v>
      </c>
      <c r="K146" s="3"/>
    </row>
    <row r="147" spans="1:11" x14ac:dyDescent="0.2">
      <c r="A147" s="10" t="str">
        <f>IF(ISERROR(MATCH(B147,'SegEnds_Xtal_Prot#'!B:B, 0)), "NoXtal", "Xtal")</f>
        <v>NoXtal</v>
      </c>
      <c r="B147" t="s">
        <v>283</v>
      </c>
      <c r="C147" s="1" t="s">
        <v>158</v>
      </c>
      <c r="D147" t="s">
        <v>158</v>
      </c>
      <c r="E147" s="28" t="str">
        <f>VLOOKUP(B147,Classification!$A:$D,2,FALSE)</f>
        <v>A</v>
      </c>
      <c r="F147" s="49" t="str">
        <f>VLOOKUP(C147,Classification!$A:$D,2,FALSE)</f>
        <v>A</v>
      </c>
      <c r="G147" s="15" t="str">
        <f>VLOOKUP(D147,Classification!$A:$D,2,FALSE)</f>
        <v>A</v>
      </c>
      <c r="H147" s="15" t="b">
        <f t="shared" si="2"/>
        <v>1</v>
      </c>
      <c r="K147" s="3"/>
    </row>
    <row r="148" spans="1:11" x14ac:dyDescent="0.2">
      <c r="A148" s="10" t="str">
        <f>IF(ISERROR(MATCH(B148,'SegEnds_Xtal_Prot#'!B:B, 0)), "NoXtal", "Xtal")</f>
        <v>NoXtal</v>
      </c>
      <c r="B148" t="s">
        <v>142</v>
      </c>
      <c r="C148" s="1" t="s">
        <v>165</v>
      </c>
      <c r="D148" t="s">
        <v>173</v>
      </c>
      <c r="E148" s="28" t="str">
        <f>VLOOKUP(B148,Classification!$A:$D,2,FALSE)</f>
        <v>A</v>
      </c>
      <c r="F148" s="49" t="str">
        <f>VLOOKUP(C148,Classification!$A:$D,2,FALSE)</f>
        <v>A</v>
      </c>
      <c r="G148" s="15" t="str">
        <f>VLOOKUP(D148,Classification!$A:$D,2,FALSE)</f>
        <v>A</v>
      </c>
      <c r="H148" s="15" t="b">
        <f t="shared" si="2"/>
        <v>1</v>
      </c>
      <c r="K148" s="3"/>
    </row>
    <row r="149" spans="1:11" x14ac:dyDescent="0.2">
      <c r="A149" s="10" t="str">
        <f>IF(ISERROR(MATCH(B149,'SegEnds_Xtal_Prot#'!B:B, 0)), "NoXtal", "Xtal")</f>
        <v>NoXtal</v>
      </c>
      <c r="B149" t="s">
        <v>178</v>
      </c>
      <c r="C149" s="1" t="s">
        <v>173</v>
      </c>
      <c r="D149" t="s">
        <v>173</v>
      </c>
      <c r="E149" s="28" t="str">
        <f>VLOOKUP(B149,Classification!$A:$D,2,FALSE)</f>
        <v>A</v>
      </c>
      <c r="F149" s="49" t="str">
        <f>VLOOKUP(C149,Classification!$A:$D,2,FALSE)</f>
        <v>A</v>
      </c>
      <c r="G149" s="15" t="str">
        <f>VLOOKUP(D149,Classification!$A:$D,2,FALSE)</f>
        <v>A</v>
      </c>
      <c r="H149" s="15" t="b">
        <f t="shared" si="2"/>
        <v>1</v>
      </c>
      <c r="K149" s="3"/>
    </row>
    <row r="150" spans="1:11" x14ac:dyDescent="0.2">
      <c r="A150" s="10" t="str">
        <f>IF(ISERROR(MATCH(B150,'SegEnds_Xtal_Prot#'!B:B, 0)), "NoXtal", "Xtal")</f>
        <v>NoXtal</v>
      </c>
      <c r="B150" t="s">
        <v>185</v>
      </c>
      <c r="C150" s="1" t="s">
        <v>170</v>
      </c>
      <c r="D150" t="s">
        <v>173</v>
      </c>
      <c r="E150" s="28" t="str">
        <f>VLOOKUP(B150,Classification!$A:$D,2,FALSE)</f>
        <v>A</v>
      </c>
      <c r="F150" s="49" t="str">
        <f>VLOOKUP(C150,Classification!$A:$D,2,FALSE)</f>
        <v>A</v>
      </c>
      <c r="G150" s="15" t="str">
        <f>VLOOKUP(D150,Classification!$A:$D,2,FALSE)</f>
        <v>A</v>
      </c>
      <c r="H150" s="15" t="b">
        <f t="shared" si="2"/>
        <v>1</v>
      </c>
      <c r="K150" s="3"/>
    </row>
    <row r="151" spans="1:11" x14ac:dyDescent="0.2">
      <c r="A151" s="10" t="str">
        <f>IF(ISERROR(MATCH(B151,'SegEnds_Xtal_Prot#'!B:B, 0)), "NoXtal", "Xtal")</f>
        <v>NoXtal</v>
      </c>
      <c r="B151" t="s">
        <v>400</v>
      </c>
      <c r="C151" s="1" t="s">
        <v>173</v>
      </c>
      <c r="D151" t="s">
        <v>173</v>
      </c>
      <c r="E151" s="28" t="str">
        <f>VLOOKUP(B151,Classification!$A:$D,2,FALSE)</f>
        <v>A</v>
      </c>
      <c r="F151" s="49" t="str">
        <f>VLOOKUP(C151,Classification!$A:$D,2,FALSE)</f>
        <v>A</v>
      </c>
      <c r="G151" s="15" t="str">
        <f>VLOOKUP(D151,Classification!$A:$D,2,FALSE)</f>
        <v>A</v>
      </c>
      <c r="H151" s="15" t="b">
        <f t="shared" si="2"/>
        <v>1</v>
      </c>
      <c r="K151" s="3"/>
    </row>
    <row r="152" spans="1:11" x14ac:dyDescent="0.2">
      <c r="A152" s="10" t="str">
        <f>IF(ISERROR(MATCH(B152,'SegEnds_Xtal_Prot#'!B:B, 0)), "NoXtal", "Xtal")</f>
        <v>NoXtal</v>
      </c>
      <c r="B152" t="s">
        <v>186</v>
      </c>
      <c r="C152" s="1" t="s">
        <v>177</v>
      </c>
      <c r="D152" t="s">
        <v>173</v>
      </c>
      <c r="E152" s="28" t="str">
        <f>VLOOKUP(B152,Classification!$A:$D,2,FALSE)</f>
        <v>A</v>
      </c>
      <c r="F152" s="49" t="str">
        <f>VLOOKUP(C152,Classification!$A:$D,2,FALSE)</f>
        <v>A</v>
      </c>
      <c r="G152" s="15" t="str">
        <f>VLOOKUP(D152,Classification!$A:$D,2,FALSE)</f>
        <v>A</v>
      </c>
      <c r="H152" s="15" t="b">
        <f t="shared" si="2"/>
        <v>1</v>
      </c>
      <c r="K152" s="3"/>
    </row>
    <row r="153" spans="1:11" x14ac:dyDescent="0.2">
      <c r="A153" s="10" t="str">
        <f>IF(ISERROR(MATCH(B153,'SegEnds_Xtal_Prot#'!B:B, 0)), "NoXtal", "Xtal")</f>
        <v>NoXtal</v>
      </c>
      <c r="B153" t="s">
        <v>145</v>
      </c>
      <c r="C153" s="1" t="s">
        <v>177</v>
      </c>
      <c r="D153" t="s">
        <v>173</v>
      </c>
      <c r="E153" s="28" t="str">
        <f>VLOOKUP(B153,Classification!$A:$D,2,FALSE)</f>
        <v>A</v>
      </c>
      <c r="F153" s="49" t="str">
        <f>VLOOKUP(C153,Classification!$A:$D,2,FALSE)</f>
        <v>A</v>
      </c>
      <c r="G153" s="15" t="str">
        <f>VLOOKUP(D153,Classification!$A:$D,2,FALSE)</f>
        <v>A</v>
      </c>
      <c r="H153" s="15" t="b">
        <f t="shared" si="2"/>
        <v>1</v>
      </c>
      <c r="K153" s="3"/>
    </row>
    <row r="154" spans="1:11" x14ac:dyDescent="0.2">
      <c r="A154" s="10" t="str">
        <f>IF(ISERROR(MATCH(B154,'SegEnds_Xtal_Prot#'!B:B, 0)), "NoXtal", "Xtal")</f>
        <v>NoXtal</v>
      </c>
      <c r="B154" t="s">
        <v>169</v>
      </c>
      <c r="C154" s="1" t="s">
        <v>177</v>
      </c>
      <c r="D154" t="s">
        <v>173</v>
      </c>
      <c r="E154" s="28" t="str">
        <f>VLOOKUP(B154,Classification!$A:$D,2,FALSE)</f>
        <v>A</v>
      </c>
      <c r="F154" s="49" t="str">
        <f>VLOOKUP(C154,Classification!$A:$D,2,FALSE)</f>
        <v>A</v>
      </c>
      <c r="G154" s="15" t="str">
        <f>VLOOKUP(D154,Classification!$A:$D,2,FALSE)</f>
        <v>A</v>
      </c>
      <c r="H154" s="15" t="b">
        <f t="shared" si="2"/>
        <v>1</v>
      </c>
      <c r="K154" s="3"/>
    </row>
    <row r="155" spans="1:11" x14ac:dyDescent="0.2">
      <c r="A155" s="10" t="str">
        <f>IF(ISERROR(MATCH(B155,'SegEnds_Xtal_Prot#'!B:B, 0)), "NoXtal", "Xtal")</f>
        <v>Xtal</v>
      </c>
      <c r="B155" t="s">
        <v>177</v>
      </c>
      <c r="C155" s="1" t="s">
        <v>177</v>
      </c>
      <c r="D155" t="s">
        <v>177</v>
      </c>
      <c r="E155" s="28" t="str">
        <f>VLOOKUP(B155,Classification!$A:$D,2,FALSE)</f>
        <v>A</v>
      </c>
      <c r="F155" s="49" t="str">
        <f>VLOOKUP(C155,Classification!$A:$D,2,FALSE)</f>
        <v>A</v>
      </c>
      <c r="G155" s="15" t="str">
        <f>VLOOKUP(D155,Classification!$A:$D,2,FALSE)</f>
        <v>A</v>
      </c>
      <c r="H155" s="15" t="b">
        <f t="shared" si="2"/>
        <v>1</v>
      </c>
      <c r="K155" s="3"/>
    </row>
    <row r="156" spans="1:11" x14ac:dyDescent="0.2">
      <c r="A156" s="10" t="str">
        <f>IF(ISERROR(MATCH(B156,'SegEnds_Xtal_Prot#'!B:B, 0)), "NoXtal", "Xtal")</f>
        <v>NoXtal</v>
      </c>
      <c r="B156" t="s">
        <v>175</v>
      </c>
      <c r="C156" s="1" t="s">
        <v>177</v>
      </c>
      <c r="D156" t="s">
        <v>173</v>
      </c>
      <c r="E156" s="28" t="str">
        <f>VLOOKUP(B156,Classification!$A:$D,2,FALSE)</f>
        <v>A</v>
      </c>
      <c r="F156" s="49" t="str">
        <f>VLOOKUP(C156,Classification!$A:$D,2,FALSE)</f>
        <v>A</v>
      </c>
      <c r="G156" s="15" t="str">
        <f>VLOOKUP(D156,Classification!$A:$D,2,FALSE)</f>
        <v>A</v>
      </c>
      <c r="H156" s="15" t="b">
        <f t="shared" si="2"/>
        <v>1</v>
      </c>
      <c r="K156" s="3"/>
    </row>
    <row r="157" spans="1:11" x14ac:dyDescent="0.2">
      <c r="A157" s="10" t="str">
        <f>IF(ISERROR(MATCH(B157,'SegEnds_Xtal_Prot#'!B:B, 0)), "NoXtal", "Xtal")</f>
        <v>NoXtal</v>
      </c>
      <c r="B157" t="s">
        <v>189</v>
      </c>
      <c r="C157" s="1" t="s">
        <v>177</v>
      </c>
      <c r="D157" t="s">
        <v>173</v>
      </c>
      <c r="E157" s="28" t="str">
        <f>VLOOKUP(B157,Classification!$A:$D,2,FALSE)</f>
        <v>A</v>
      </c>
      <c r="F157" s="49" t="str">
        <f>VLOOKUP(C157,Classification!$A:$D,2,FALSE)</f>
        <v>A</v>
      </c>
      <c r="G157" s="15" t="str">
        <f>VLOOKUP(D157,Classification!$A:$D,2,FALSE)</f>
        <v>A</v>
      </c>
      <c r="H157" s="15" t="b">
        <f t="shared" si="2"/>
        <v>1</v>
      </c>
      <c r="K157" s="3"/>
    </row>
    <row r="158" spans="1:11" x14ac:dyDescent="0.2">
      <c r="A158" s="10" t="str">
        <f>IF(ISERROR(MATCH(B158,'SegEnds_Xtal_Prot#'!B:B, 0)), "NoXtal", "Xtal")</f>
        <v>NoXtal</v>
      </c>
      <c r="B158" t="s">
        <v>168</v>
      </c>
      <c r="C158" s="1" t="s">
        <v>173</v>
      </c>
      <c r="D158" t="s">
        <v>173</v>
      </c>
      <c r="E158" s="28" t="str">
        <f>VLOOKUP(B158,Classification!$A:$D,2,FALSE)</f>
        <v>A</v>
      </c>
      <c r="F158" s="49" t="str">
        <f>VLOOKUP(C158,Classification!$A:$D,2,FALSE)</f>
        <v>A</v>
      </c>
      <c r="G158" s="15" t="str">
        <f>VLOOKUP(D158,Classification!$A:$D,2,FALSE)</f>
        <v>A</v>
      </c>
      <c r="H158" s="15" t="b">
        <f t="shared" si="2"/>
        <v>1</v>
      </c>
      <c r="K158" s="3"/>
    </row>
    <row r="159" spans="1:11" x14ac:dyDescent="0.2">
      <c r="A159" s="10" t="str">
        <f>IF(ISERROR(MATCH(B159,'SegEnds_Xtal_Prot#'!B:B, 0)), "NoXtal", "Xtal")</f>
        <v>NoXtal</v>
      </c>
      <c r="B159" t="s">
        <v>171</v>
      </c>
      <c r="C159" s="1" t="s">
        <v>173</v>
      </c>
      <c r="D159" t="s">
        <v>173</v>
      </c>
      <c r="E159" s="28" t="str">
        <f>VLOOKUP(B159,Classification!$A:$D,2,FALSE)</f>
        <v>A</v>
      </c>
      <c r="F159" s="49" t="str">
        <f>VLOOKUP(C159,Classification!$A:$D,2,FALSE)</f>
        <v>A</v>
      </c>
      <c r="G159" s="15" t="str">
        <f>VLOOKUP(D159,Classification!$A:$D,2,FALSE)</f>
        <v>A</v>
      </c>
      <c r="H159" s="15" t="b">
        <f t="shared" si="2"/>
        <v>1</v>
      </c>
      <c r="K159" s="3"/>
    </row>
    <row r="160" spans="1:11" x14ac:dyDescent="0.2">
      <c r="A160" s="10" t="str">
        <f>IF(ISERROR(MATCH(B160,'SegEnds_Xtal_Prot#'!B:B, 0)), "NoXtal", "Xtal")</f>
        <v>Xtal</v>
      </c>
      <c r="B160" t="s">
        <v>173</v>
      </c>
      <c r="C160" s="1" t="s">
        <v>173</v>
      </c>
      <c r="D160" t="s">
        <v>173</v>
      </c>
      <c r="E160" s="28" t="str">
        <f>VLOOKUP(B160,Classification!$A:$D,2,FALSE)</f>
        <v>A</v>
      </c>
      <c r="F160" s="49" t="str">
        <f>VLOOKUP(C160,Classification!$A:$D,2,FALSE)</f>
        <v>A</v>
      </c>
      <c r="G160" s="15" t="str">
        <f>VLOOKUP(D160,Classification!$A:$D,2,FALSE)</f>
        <v>A</v>
      </c>
      <c r="H160" s="15" t="b">
        <f t="shared" si="2"/>
        <v>1</v>
      </c>
      <c r="K160" s="3"/>
    </row>
    <row r="161" spans="1:11" x14ac:dyDescent="0.2">
      <c r="A161" s="10" t="str">
        <f>IF(ISERROR(MATCH(B161,'SegEnds_Xtal_Prot#'!B:B, 0)), "NoXtal", "Xtal")</f>
        <v>NoXtal</v>
      </c>
      <c r="B161" t="s">
        <v>176</v>
      </c>
      <c r="C161" s="1" t="s">
        <v>173</v>
      </c>
      <c r="D161" t="s">
        <v>173</v>
      </c>
      <c r="E161" s="28" t="str">
        <f>VLOOKUP(B161,Classification!$A:$D,2,FALSE)</f>
        <v>A</v>
      </c>
      <c r="F161" s="49" t="str">
        <f>VLOOKUP(C161,Classification!$A:$D,2,FALSE)</f>
        <v>A</v>
      </c>
      <c r="G161" s="15" t="str">
        <f>VLOOKUP(D161,Classification!$A:$D,2,FALSE)</f>
        <v>A</v>
      </c>
      <c r="H161" s="15" t="b">
        <f t="shared" si="2"/>
        <v>1</v>
      </c>
      <c r="K161" s="3"/>
    </row>
    <row r="162" spans="1:11" x14ac:dyDescent="0.2">
      <c r="A162" s="10" t="str">
        <f>IF(ISERROR(MATCH(B162,'SegEnds_Xtal_Prot#'!B:B, 0)), "NoXtal", "Xtal")</f>
        <v>NoXtal</v>
      </c>
      <c r="B162" t="s">
        <v>172</v>
      </c>
      <c r="C162" s="1" t="s">
        <v>173</v>
      </c>
      <c r="D162" t="s">
        <v>173</v>
      </c>
      <c r="E162" s="28" t="str">
        <f>VLOOKUP(B162,Classification!$A:$D,2,FALSE)</f>
        <v>A</v>
      </c>
      <c r="F162" s="49" t="str">
        <f>VLOOKUP(C162,Classification!$A:$D,2,FALSE)</f>
        <v>A</v>
      </c>
      <c r="G162" s="15" t="str">
        <f>VLOOKUP(D162,Classification!$A:$D,2,FALSE)</f>
        <v>A</v>
      </c>
      <c r="H162" s="15" t="b">
        <f t="shared" si="2"/>
        <v>1</v>
      </c>
      <c r="K162" s="3"/>
    </row>
    <row r="163" spans="1:11" x14ac:dyDescent="0.2">
      <c r="A163" s="10" t="str">
        <f>IF(ISERROR(MATCH(B163,'SegEnds_Xtal_Prot#'!B:B, 0)), "NoXtal", "Xtal")</f>
        <v>NoXtal</v>
      </c>
      <c r="B163" t="s">
        <v>174</v>
      </c>
      <c r="C163" s="1" t="s">
        <v>177</v>
      </c>
      <c r="D163" t="s">
        <v>173</v>
      </c>
      <c r="E163" s="28" t="str">
        <f>VLOOKUP(B163,Classification!$A:$D,2,FALSE)</f>
        <v>A</v>
      </c>
      <c r="F163" s="49" t="str">
        <f>VLOOKUP(C163,Classification!$A:$D,2,FALSE)</f>
        <v>A</v>
      </c>
      <c r="G163" s="15" t="str">
        <f>VLOOKUP(D163,Classification!$A:$D,2,FALSE)</f>
        <v>A</v>
      </c>
      <c r="H163" s="15" t="b">
        <f t="shared" si="2"/>
        <v>1</v>
      </c>
      <c r="K163" s="3"/>
    </row>
    <row r="164" spans="1:11" x14ac:dyDescent="0.2">
      <c r="A164" s="10" t="str">
        <f>IF(ISERROR(MATCH(B164,'SegEnds_Xtal_Prot#'!B:B, 0)), "NoXtal", "Xtal")</f>
        <v>NoXtal</v>
      </c>
      <c r="B164" t="s">
        <v>184</v>
      </c>
      <c r="C164" s="1" t="s">
        <v>170</v>
      </c>
      <c r="D164" t="s">
        <v>173</v>
      </c>
      <c r="E164" s="28" t="str">
        <f>VLOOKUP(B164,Classification!$A:$D,2,FALSE)</f>
        <v>A</v>
      </c>
      <c r="F164" s="49" t="str">
        <f>VLOOKUP(C164,Classification!$A:$D,2,FALSE)</f>
        <v>A</v>
      </c>
      <c r="G164" s="15" t="str">
        <f>VLOOKUP(D164,Classification!$A:$D,2,FALSE)</f>
        <v>A</v>
      </c>
      <c r="H164" s="15" t="b">
        <f t="shared" si="2"/>
        <v>1</v>
      </c>
      <c r="K164" s="3"/>
    </row>
    <row r="165" spans="1:11" x14ac:dyDescent="0.2">
      <c r="A165" s="10" t="str">
        <f>IF(ISERROR(MATCH(B165,'SegEnds_Xtal_Prot#'!B:B, 0)), "NoXtal", "Xtal")</f>
        <v>Xtal</v>
      </c>
      <c r="B165" t="s">
        <v>170</v>
      </c>
      <c r="C165" s="1" t="s">
        <v>170</v>
      </c>
      <c r="D165" t="s">
        <v>170</v>
      </c>
      <c r="E165" s="28" t="str">
        <f>VLOOKUP(B165,Classification!$A:$D,2,FALSE)</f>
        <v>A</v>
      </c>
      <c r="F165" s="49" t="str">
        <f>VLOOKUP(C165,Classification!$A:$D,2,FALSE)</f>
        <v>A</v>
      </c>
      <c r="G165" s="15" t="str">
        <f>VLOOKUP(D165,Classification!$A:$D,2,FALSE)</f>
        <v>A</v>
      </c>
      <c r="H165" s="15" t="b">
        <f t="shared" si="2"/>
        <v>1</v>
      </c>
      <c r="K165" s="3"/>
    </row>
    <row r="166" spans="1:11" x14ac:dyDescent="0.2">
      <c r="A166" s="10" t="str">
        <f>IF(ISERROR(MATCH(B166,'SegEnds_Xtal_Prot#'!B:B, 0)), "NoXtal", "Xtal")</f>
        <v>NoXtal</v>
      </c>
      <c r="B166" t="s">
        <v>143</v>
      </c>
      <c r="C166" s="1" t="s">
        <v>170</v>
      </c>
      <c r="D166" t="s">
        <v>173</v>
      </c>
      <c r="E166" s="28" t="str">
        <f>VLOOKUP(B166,Classification!$A:$D,2,FALSE)</f>
        <v>A</v>
      </c>
      <c r="F166" s="49" t="str">
        <f>VLOOKUP(C166,Classification!$A:$D,2,FALSE)</f>
        <v>A</v>
      </c>
      <c r="G166" s="15" t="str">
        <f>VLOOKUP(D166,Classification!$A:$D,2,FALSE)</f>
        <v>A</v>
      </c>
      <c r="H166" s="15" t="b">
        <f t="shared" si="2"/>
        <v>1</v>
      </c>
      <c r="K166" s="3"/>
    </row>
    <row r="167" spans="1:11" x14ac:dyDescent="0.2">
      <c r="A167" s="10" t="str">
        <f>IF(ISERROR(MATCH(B167,'SegEnds_Xtal_Prot#'!B:B, 0)), "NoXtal", "Xtal")</f>
        <v>NoXtal</v>
      </c>
      <c r="B167" t="s">
        <v>403</v>
      </c>
      <c r="C167" s="1" t="s">
        <v>38</v>
      </c>
      <c r="D167" t="s">
        <v>38</v>
      </c>
      <c r="E167" s="28" t="str">
        <f>VLOOKUP(B167,Classification!$A:$D,2,FALSE)</f>
        <v>B1</v>
      </c>
      <c r="F167" s="49" t="str">
        <f>VLOOKUP(C167,Classification!$A:$D,2,FALSE)</f>
        <v>B1</v>
      </c>
      <c r="G167" s="15" t="str">
        <f>VLOOKUP(D167,Classification!$A:$D,2,FALSE)</f>
        <v>B1</v>
      </c>
      <c r="H167" s="15" t="b">
        <f t="shared" si="2"/>
        <v>1</v>
      </c>
      <c r="K167" s="3"/>
    </row>
    <row r="168" spans="1:11" x14ac:dyDescent="0.2">
      <c r="A168" s="10" t="str">
        <f>IF(ISERROR(MATCH(B168,'SegEnds_Xtal_Prot#'!B:B, 0)), "NoXtal", "Xtal")</f>
        <v>Xtal</v>
      </c>
      <c r="B168" t="s">
        <v>38</v>
      </c>
      <c r="C168" s="1" t="s">
        <v>38</v>
      </c>
      <c r="D168" t="s">
        <v>38</v>
      </c>
      <c r="E168" s="28" t="str">
        <f>VLOOKUP(B168,Classification!$A:$D,2,FALSE)</f>
        <v>B1</v>
      </c>
      <c r="F168" s="49" t="str">
        <f>VLOOKUP(C168,Classification!$A:$D,2,FALSE)</f>
        <v>B1</v>
      </c>
      <c r="G168" s="15" t="str">
        <f>VLOOKUP(D168,Classification!$A:$D,2,FALSE)</f>
        <v>B1</v>
      </c>
      <c r="H168" s="15" t="b">
        <f t="shared" si="2"/>
        <v>1</v>
      </c>
      <c r="K168" s="3"/>
    </row>
    <row r="169" spans="1:11" x14ac:dyDescent="0.2">
      <c r="A169" s="10" t="str">
        <f>IF(ISERROR(MATCH(B169,'SegEnds_Xtal_Prot#'!B:B, 0)), "NoXtal", "Xtal")</f>
        <v>NoXtal</v>
      </c>
      <c r="B169" t="s">
        <v>402</v>
      </c>
      <c r="C169" s="1" t="s">
        <v>401</v>
      </c>
      <c r="D169" t="s">
        <v>401</v>
      </c>
      <c r="E169" s="28" t="str">
        <f>VLOOKUP(B169,Classification!$A:$D,2,FALSE)</f>
        <v>B1</v>
      </c>
      <c r="F169" s="49" t="str">
        <f>VLOOKUP(C169,Classification!$A:$D,2,FALSE)</f>
        <v>B1</v>
      </c>
      <c r="G169" s="15" t="str">
        <f>VLOOKUP(D169,Classification!$A:$D,2,FALSE)</f>
        <v>B1</v>
      </c>
      <c r="H169" s="15" t="b">
        <f t="shared" si="2"/>
        <v>1</v>
      </c>
      <c r="K169" s="3"/>
    </row>
    <row r="170" spans="1:11" x14ac:dyDescent="0.2">
      <c r="A170" s="10" t="str">
        <f>IF(ISERROR(MATCH(B170,'SegEnds_Xtal_Prot#'!B:B, 0)), "NoXtal", "Xtal")</f>
        <v>Xtal</v>
      </c>
      <c r="B170" t="s">
        <v>401</v>
      </c>
      <c r="C170" s="1" t="s">
        <v>401</v>
      </c>
      <c r="D170" t="s">
        <v>401</v>
      </c>
      <c r="E170" s="28" t="str">
        <f>VLOOKUP(B170,Classification!$A:$D,2,FALSE)</f>
        <v>B1</v>
      </c>
      <c r="F170" s="49" t="str">
        <f>VLOOKUP(C170,Classification!$A:$D,2,FALSE)</f>
        <v>B1</v>
      </c>
      <c r="G170" s="15" t="str">
        <f>VLOOKUP(D170,Classification!$A:$D,2,FALSE)</f>
        <v>B1</v>
      </c>
      <c r="H170" s="15" t="b">
        <f t="shared" si="2"/>
        <v>1</v>
      </c>
      <c r="K170" s="3"/>
    </row>
    <row r="171" spans="1:11" x14ac:dyDescent="0.2">
      <c r="A171" s="10" t="str">
        <f>IF(ISERROR(MATCH(B171,'SegEnds_Xtal_Prot#'!B:B, 0)), "NoXtal", "Xtal")</f>
        <v>NoXtal</v>
      </c>
      <c r="B171" t="s">
        <v>166</v>
      </c>
      <c r="C171" s="1" t="s">
        <v>165</v>
      </c>
      <c r="D171" t="s">
        <v>1172</v>
      </c>
      <c r="E171" s="28" t="str">
        <f>VLOOKUP(B171,Classification!$A:$D,2,FALSE)</f>
        <v>A</v>
      </c>
      <c r="F171" s="49" t="str">
        <f>VLOOKUP(C171,Classification!$A:$D,2,FALSE)</f>
        <v>A</v>
      </c>
      <c r="G171" s="15" t="str">
        <f>VLOOKUP(D171,Classification!$A:$D,2,FALSE)</f>
        <v>A</v>
      </c>
      <c r="H171" s="15" t="b">
        <f t="shared" si="2"/>
        <v>1</v>
      </c>
      <c r="K171" s="3"/>
    </row>
    <row r="172" spans="1:11" x14ac:dyDescent="0.2">
      <c r="A172" s="10" t="str">
        <f>IF(ISERROR(MATCH(B172,'SegEnds_Xtal_Prot#'!B:B, 0)), "NoXtal", "Xtal")</f>
        <v>NoXtal</v>
      </c>
      <c r="B172" t="s">
        <v>201</v>
      </c>
      <c r="C172" s="1" t="s">
        <v>158</v>
      </c>
      <c r="D172" t="s">
        <v>1172</v>
      </c>
      <c r="E172" s="28" t="str">
        <f>VLOOKUP(B172,Classification!$A:$D,2,FALSE)</f>
        <v>A</v>
      </c>
      <c r="F172" s="49" t="str">
        <f>VLOOKUP(C172,Classification!$A:$D,2,FALSE)</f>
        <v>A</v>
      </c>
      <c r="G172" s="15" t="str">
        <f>VLOOKUP(D172,Classification!$A:$D,2,FALSE)</f>
        <v>A</v>
      </c>
      <c r="H172" s="15" t="b">
        <f t="shared" si="2"/>
        <v>1</v>
      </c>
      <c r="K172" s="3"/>
    </row>
    <row r="173" spans="1:11" x14ac:dyDescent="0.2">
      <c r="A173" s="10" t="str">
        <f>IF(ISERROR(MATCH(B173,'SegEnds_Xtal_Prot#'!B:B, 0)), "NoXtal", "Xtal")</f>
        <v>NoXtal</v>
      </c>
      <c r="B173" t="s">
        <v>202</v>
      </c>
      <c r="C173" s="1" t="s">
        <v>165</v>
      </c>
      <c r="D173" t="s">
        <v>1172</v>
      </c>
      <c r="E173" s="28" t="str">
        <f>VLOOKUP(B173,Classification!$A:$D,2,FALSE)</f>
        <v>A</v>
      </c>
      <c r="F173" s="49" t="str">
        <f>VLOOKUP(C173,Classification!$A:$D,2,FALSE)</f>
        <v>A</v>
      </c>
      <c r="G173" s="15" t="str">
        <f>VLOOKUP(D173,Classification!$A:$D,2,FALSE)</f>
        <v>A</v>
      </c>
      <c r="H173" s="15" t="b">
        <f t="shared" si="2"/>
        <v>1</v>
      </c>
      <c r="K173" s="3"/>
    </row>
    <row r="174" spans="1:11" x14ac:dyDescent="0.2">
      <c r="A174" s="10" t="str">
        <f>IF(ISERROR(MATCH(B174,'SegEnds_Xtal_Prot#'!B:B, 0)), "NoXtal", "Xtal")</f>
        <v>Xtal</v>
      </c>
      <c r="B174" t="s">
        <v>1172</v>
      </c>
      <c r="C174" s="1" t="s">
        <v>1172</v>
      </c>
      <c r="D174" t="s">
        <v>1172</v>
      </c>
      <c r="E174" s="28" t="str">
        <f>VLOOKUP(B174,Classification!$A:$D,2,FALSE)</f>
        <v>A</v>
      </c>
      <c r="F174" s="49" t="str">
        <f>VLOOKUP(C174,Classification!$A:$D,2,FALSE)</f>
        <v>A</v>
      </c>
      <c r="G174" s="15" t="str">
        <f>VLOOKUP(D174,Classification!$A:$D,2,FALSE)</f>
        <v>A</v>
      </c>
      <c r="H174" s="15" t="b">
        <f t="shared" si="2"/>
        <v>1</v>
      </c>
      <c r="K174" s="3"/>
    </row>
    <row r="175" spans="1:11" x14ac:dyDescent="0.2">
      <c r="A175" s="10" t="str">
        <f>IF(ISERROR(MATCH(B175,'SegEnds_Xtal_Prot#'!B:B, 0)), "NoXtal", "Xtal")</f>
        <v>NoXtal</v>
      </c>
      <c r="B175" t="s">
        <v>188</v>
      </c>
      <c r="C175" s="1" t="s">
        <v>1172</v>
      </c>
      <c r="D175" t="s">
        <v>1172</v>
      </c>
      <c r="E175" s="28" t="str">
        <f>VLOOKUP(B175,Classification!$A:$D,2,FALSE)</f>
        <v>A</v>
      </c>
      <c r="F175" s="49" t="str">
        <f>VLOOKUP(C175,Classification!$A:$D,2,FALSE)</f>
        <v>A</v>
      </c>
      <c r="G175" s="15" t="str">
        <f>VLOOKUP(D175,Classification!$A:$D,2,FALSE)</f>
        <v>A</v>
      </c>
      <c r="H175" s="15" t="b">
        <f t="shared" si="2"/>
        <v>1</v>
      </c>
      <c r="K175" s="3"/>
    </row>
    <row r="176" spans="1:11" x14ac:dyDescent="0.2">
      <c r="A176" s="10" t="str">
        <f>IF(ISERROR(MATCH(B176,'SegEnds_Xtal_Prot#'!B:B, 0)), "NoXtal", "Xtal")</f>
        <v>NoXtal</v>
      </c>
      <c r="B176" t="s">
        <v>187</v>
      </c>
      <c r="C176" s="1" t="s">
        <v>1172</v>
      </c>
      <c r="D176" t="s">
        <v>1172</v>
      </c>
      <c r="E176" s="28" t="str">
        <f>VLOOKUP(B176,Classification!$A:$D,2,FALSE)</f>
        <v>A</v>
      </c>
      <c r="F176" s="49" t="str">
        <f>VLOOKUP(C176,Classification!$A:$D,2,FALSE)</f>
        <v>A</v>
      </c>
      <c r="G176" s="15" t="str">
        <f>VLOOKUP(D176,Classification!$A:$D,2,FALSE)</f>
        <v>A</v>
      </c>
      <c r="H176" s="15" t="b">
        <f t="shared" si="2"/>
        <v>1</v>
      </c>
      <c r="K176" s="3"/>
    </row>
    <row r="177" spans="1:11" x14ac:dyDescent="0.2">
      <c r="A177" s="10" t="str">
        <f>IF(ISERROR(MATCH(B177,'SegEnds_Xtal_Prot#'!B:B, 0)), "NoXtal", "Xtal")</f>
        <v>NoXtal</v>
      </c>
      <c r="B177" t="s">
        <v>203</v>
      </c>
      <c r="C177" s="1" t="s">
        <v>165</v>
      </c>
      <c r="D177" t="s">
        <v>1172</v>
      </c>
      <c r="E177" s="28" t="str">
        <f>VLOOKUP(B177,Classification!$A:$D,2,FALSE)</f>
        <v>A</v>
      </c>
      <c r="F177" s="49" t="str">
        <f>VLOOKUP(C177,Classification!$A:$D,2,FALSE)</f>
        <v>A</v>
      </c>
      <c r="G177" s="15" t="str">
        <f>VLOOKUP(D177,Classification!$A:$D,2,FALSE)</f>
        <v>A</v>
      </c>
      <c r="H177" s="15" t="b">
        <f t="shared" si="2"/>
        <v>1</v>
      </c>
      <c r="K177" s="3"/>
    </row>
    <row r="178" spans="1:11" x14ac:dyDescent="0.2">
      <c r="A178" s="10" t="str">
        <f>IF(ISERROR(MATCH(B178,'SegEnds_Xtal_Prot#'!B:B, 0)), "NoXtal", "Xtal")</f>
        <v>NoXtal</v>
      </c>
      <c r="B178" t="s">
        <v>293</v>
      </c>
      <c r="C178" s="1" t="s">
        <v>158</v>
      </c>
      <c r="D178" t="s">
        <v>1172</v>
      </c>
      <c r="E178" s="28" t="str">
        <f>VLOOKUP(B178,Classification!$A:$D,2,FALSE)</f>
        <v>A</v>
      </c>
      <c r="F178" s="49" t="str">
        <f>VLOOKUP(C178,Classification!$A:$D,2,FALSE)</f>
        <v>A</v>
      </c>
      <c r="G178" s="15" t="str">
        <f>VLOOKUP(D178,Classification!$A:$D,2,FALSE)</f>
        <v>A</v>
      </c>
      <c r="H178" s="15" t="b">
        <f t="shared" si="2"/>
        <v>1</v>
      </c>
      <c r="K178" s="3"/>
    </row>
    <row r="179" spans="1:11" x14ac:dyDescent="0.2">
      <c r="A179" s="10" t="str">
        <f>IF(ISERROR(MATCH(B179,'SegEnds_Xtal_Prot#'!B:B, 0)), "NoXtal", "Xtal")</f>
        <v>Xtal</v>
      </c>
      <c r="B179" t="s">
        <v>192</v>
      </c>
      <c r="C179" s="1" t="s">
        <v>192</v>
      </c>
      <c r="D179" t="s">
        <v>192</v>
      </c>
      <c r="E179" s="28" t="str">
        <f>VLOOKUP(B179,Classification!$A:$D,2,FALSE)</f>
        <v>A</v>
      </c>
      <c r="F179" s="49" t="str">
        <f>VLOOKUP(C179,Classification!$A:$D,2,FALSE)</f>
        <v>A</v>
      </c>
      <c r="G179" s="15" t="str">
        <f>VLOOKUP(D179,Classification!$A:$D,2,FALSE)</f>
        <v>A</v>
      </c>
      <c r="H179" s="15" t="b">
        <f t="shared" si="2"/>
        <v>1</v>
      </c>
      <c r="K179" s="3"/>
    </row>
    <row r="180" spans="1:11" x14ac:dyDescent="0.2">
      <c r="A180" s="10" t="str">
        <f>IF(ISERROR(MATCH(B180,'SegEnds_Xtal_Prot#'!B:B, 0)), "NoXtal", "Xtal")</f>
        <v>Xtal</v>
      </c>
      <c r="B180" t="s">
        <v>191</v>
      </c>
      <c r="C180" s="1" t="s">
        <v>191</v>
      </c>
      <c r="D180" t="s">
        <v>192</v>
      </c>
      <c r="E180" s="28" t="str">
        <f>VLOOKUP(B180,Classification!$A:$D,2,FALSE)</f>
        <v>A</v>
      </c>
      <c r="F180" s="49" t="str">
        <f>VLOOKUP(C180,Classification!$A:$D,2,FALSE)</f>
        <v>A</v>
      </c>
      <c r="G180" s="15" t="str">
        <f>VLOOKUP(D180,Classification!$A:$D,2,FALSE)</f>
        <v>A</v>
      </c>
      <c r="H180" s="15" t="b">
        <f t="shared" si="2"/>
        <v>1</v>
      </c>
      <c r="K180" s="3"/>
    </row>
    <row r="181" spans="1:11" x14ac:dyDescent="0.2">
      <c r="A181" s="10" t="str">
        <f>IF(ISERROR(MATCH(B181,'SegEnds_Xtal_Prot#'!B:B, 0)), "NoXtal", "Xtal")</f>
        <v>Xtal</v>
      </c>
      <c r="B181" t="s">
        <v>193</v>
      </c>
      <c r="C181" s="1" t="s">
        <v>193</v>
      </c>
      <c r="D181" t="s">
        <v>193</v>
      </c>
      <c r="E181" s="28" t="str">
        <f>VLOOKUP(B181,Classification!$A:$D,2,FALSE)</f>
        <v>A</v>
      </c>
      <c r="F181" s="49" t="str">
        <f>VLOOKUP(C181,Classification!$A:$D,2,FALSE)</f>
        <v>A</v>
      </c>
      <c r="G181" s="15" t="str">
        <f>VLOOKUP(D181,Classification!$A:$D,2,FALSE)</f>
        <v>A</v>
      </c>
      <c r="H181" s="15" t="b">
        <f t="shared" si="2"/>
        <v>1</v>
      </c>
      <c r="K181" s="3"/>
    </row>
    <row r="182" spans="1:11" x14ac:dyDescent="0.2">
      <c r="A182" s="10" t="str">
        <f>IF(ISERROR(MATCH(B182,'SegEnds_Xtal_Prot#'!B:B, 0)), "NoXtal", "Xtal")</f>
        <v>NoXtal</v>
      </c>
      <c r="B182" t="s">
        <v>156</v>
      </c>
      <c r="C182" s="1" t="s">
        <v>191</v>
      </c>
      <c r="D182" t="s">
        <v>192</v>
      </c>
      <c r="E182" s="28" t="str">
        <f>VLOOKUP(B182,Classification!$A:$D,2,FALSE)</f>
        <v>A</v>
      </c>
      <c r="F182" s="49" t="str">
        <f>VLOOKUP(C182,Classification!$A:$D,2,FALSE)</f>
        <v>A</v>
      </c>
      <c r="G182" s="15" t="str">
        <f>VLOOKUP(D182,Classification!$A:$D,2,FALSE)</f>
        <v>A</v>
      </c>
      <c r="H182" s="15" t="b">
        <f t="shared" si="2"/>
        <v>1</v>
      </c>
      <c r="K182" s="3"/>
    </row>
    <row r="183" spans="1:11" x14ac:dyDescent="0.2">
      <c r="A183" s="10" t="str">
        <f>IF(ISERROR(MATCH(B183,'SegEnds_Xtal_Prot#'!B:B, 0)), "NoXtal", "Xtal")</f>
        <v>NoXtal</v>
      </c>
      <c r="B183" t="s">
        <v>273</v>
      </c>
      <c r="C183" s="1" t="s">
        <v>1175</v>
      </c>
      <c r="D183" t="s">
        <v>192</v>
      </c>
      <c r="E183" s="28" t="str">
        <f>VLOOKUP(B183,Classification!$A:$D,2,FALSE)</f>
        <v>A</v>
      </c>
      <c r="F183" s="49" t="str">
        <f>VLOOKUP(C183,Classification!$A:$D,2,FALSE)</f>
        <v>A</v>
      </c>
      <c r="G183" s="15" t="str">
        <f>VLOOKUP(D183,Classification!$A:$D,2,FALSE)</f>
        <v>A</v>
      </c>
      <c r="H183" s="15" t="b">
        <f t="shared" si="2"/>
        <v>1</v>
      </c>
      <c r="K183" s="3"/>
    </row>
    <row r="184" spans="1:11" x14ac:dyDescent="0.2">
      <c r="A184" s="10" t="str">
        <f>IF(ISERROR(MATCH(B184,'SegEnds_Xtal_Prot#'!B:B, 0)), "NoXtal", "Xtal")</f>
        <v>NoXtal</v>
      </c>
      <c r="B184" t="s">
        <v>264</v>
      </c>
      <c r="C184" s="1" t="s">
        <v>192</v>
      </c>
      <c r="D184" t="s">
        <v>192</v>
      </c>
      <c r="E184" s="28" t="str">
        <f>VLOOKUP(B184,Classification!$A:$D,2,FALSE)</f>
        <v>A</v>
      </c>
      <c r="F184" s="49" t="str">
        <f>VLOOKUP(C184,Classification!$A:$D,2,FALSE)</f>
        <v>A</v>
      </c>
      <c r="G184" s="15" t="str">
        <f>VLOOKUP(D184,Classification!$A:$D,2,FALSE)</f>
        <v>A</v>
      </c>
      <c r="H184" s="15" t="b">
        <f t="shared" si="2"/>
        <v>1</v>
      </c>
      <c r="K184" s="3"/>
    </row>
    <row r="185" spans="1:11" x14ac:dyDescent="0.2">
      <c r="A185" s="10" t="str">
        <f>IF(ISERROR(MATCH(B185,'SegEnds_Xtal_Prot#'!B:B, 0)), "NoXtal", "Xtal")</f>
        <v>NoXtal</v>
      </c>
      <c r="B185" t="s">
        <v>366</v>
      </c>
      <c r="C185" s="1" t="s">
        <v>159</v>
      </c>
      <c r="D185" t="s">
        <v>192</v>
      </c>
      <c r="E185" s="28" t="str">
        <f>VLOOKUP(B185,Classification!$A:$D,2,FALSE)</f>
        <v>A</v>
      </c>
      <c r="F185" s="49" t="str">
        <f>VLOOKUP(C185,Classification!$A:$D,2,FALSE)</f>
        <v>A</v>
      </c>
      <c r="G185" s="15" t="str">
        <f>VLOOKUP(D185,Classification!$A:$D,2,FALSE)</f>
        <v>A</v>
      </c>
      <c r="H185" s="15" t="b">
        <f t="shared" si="2"/>
        <v>1</v>
      </c>
      <c r="K185" s="3"/>
    </row>
    <row r="186" spans="1:11" x14ac:dyDescent="0.2">
      <c r="A186" s="10" t="str">
        <f>IF(ISERROR(MATCH(B186,'SegEnds_Xtal_Prot#'!B:B, 0)), "NoXtal", "Xtal")</f>
        <v>NoXtal</v>
      </c>
      <c r="B186" t="s">
        <v>263</v>
      </c>
      <c r="C186" s="1" t="s">
        <v>1176</v>
      </c>
      <c r="D186" t="s">
        <v>192</v>
      </c>
      <c r="E186" s="28" t="str">
        <f>VLOOKUP(B186,Classification!$A:$D,2,FALSE)</f>
        <v>A</v>
      </c>
      <c r="F186" s="49" t="str">
        <f>VLOOKUP(C186,Classification!$A:$D,2,FALSE)</f>
        <v>A</v>
      </c>
      <c r="G186" s="15" t="str">
        <f>VLOOKUP(D186,Classification!$A:$D,2,FALSE)</f>
        <v>A</v>
      </c>
      <c r="H186" s="15" t="b">
        <f t="shared" si="2"/>
        <v>1</v>
      </c>
      <c r="K186" s="3"/>
    </row>
    <row r="187" spans="1:11" x14ac:dyDescent="0.2">
      <c r="A187" s="10" t="str">
        <f>IF(ISERROR(MATCH(B187,'SegEnds_Xtal_Prot#'!B:B, 0)), "NoXtal", "Xtal")</f>
        <v>NoXtal</v>
      </c>
      <c r="B187" t="s">
        <v>266</v>
      </c>
      <c r="C187" s="1" t="s">
        <v>910</v>
      </c>
      <c r="D187" t="s">
        <v>192</v>
      </c>
      <c r="E187" s="28" t="str">
        <f>VLOOKUP(B187,Classification!$A:$D,2,FALSE)</f>
        <v>A</v>
      </c>
      <c r="F187" s="49" t="str">
        <f>VLOOKUP(C187,Classification!$A:$D,2,FALSE)</f>
        <v>A</v>
      </c>
      <c r="G187" s="15" t="str">
        <f>VLOOKUP(D187,Classification!$A:$D,2,FALSE)</f>
        <v>A</v>
      </c>
      <c r="H187" s="15" t="b">
        <f t="shared" si="2"/>
        <v>1</v>
      </c>
      <c r="K187" s="3"/>
    </row>
    <row r="188" spans="1:11" x14ac:dyDescent="0.2">
      <c r="A188" s="10" t="str">
        <f>IF(ISERROR(MATCH(B188,'SegEnds_Xtal_Prot#'!B:B, 0)), "NoXtal", "Xtal")</f>
        <v>Xtal</v>
      </c>
      <c r="B188" t="s">
        <v>196</v>
      </c>
      <c r="C188" s="1" t="s">
        <v>196</v>
      </c>
      <c r="D188" t="s">
        <v>196</v>
      </c>
      <c r="E188" s="28" t="str">
        <f>VLOOKUP(B188,Classification!$A:$D,2,FALSE)</f>
        <v>A</v>
      </c>
      <c r="F188" s="49" t="str">
        <f>VLOOKUP(C188,Classification!$A:$D,2,FALSE)</f>
        <v>A</v>
      </c>
      <c r="G188" s="15" t="str">
        <f>VLOOKUP(D188,Classification!$A:$D,2,FALSE)</f>
        <v>A</v>
      </c>
      <c r="H188" s="15" t="b">
        <f t="shared" si="2"/>
        <v>1</v>
      </c>
      <c r="K188" s="3"/>
    </row>
    <row r="189" spans="1:11" x14ac:dyDescent="0.2">
      <c r="A189" s="10" t="str">
        <f>IF(ISERROR(MATCH(B189,'SegEnds_Xtal_Prot#'!B:B, 0)), "NoXtal", "Xtal")</f>
        <v>NoXtal</v>
      </c>
      <c r="B189" t="s">
        <v>195</v>
      </c>
      <c r="C189" s="1" t="s">
        <v>196</v>
      </c>
      <c r="D189" t="s">
        <v>196</v>
      </c>
      <c r="E189" s="28" t="str">
        <f>VLOOKUP(B189,Classification!$A:$D,2,FALSE)</f>
        <v>A</v>
      </c>
      <c r="F189" s="49" t="str">
        <f>VLOOKUP(C189,Classification!$A:$D,2,FALSE)</f>
        <v>A</v>
      </c>
      <c r="G189" s="15" t="str">
        <f>VLOOKUP(D189,Classification!$A:$D,2,FALSE)</f>
        <v>A</v>
      </c>
      <c r="H189" s="15" t="b">
        <f t="shared" si="2"/>
        <v>1</v>
      </c>
      <c r="K189" s="3"/>
    </row>
    <row r="190" spans="1:11" x14ac:dyDescent="0.2">
      <c r="A190" s="10" t="str">
        <f>IF(ISERROR(MATCH(B190,'SegEnds_Xtal_Prot#'!B:B, 0)), "NoXtal", "Xtal")</f>
        <v>NoXtal</v>
      </c>
      <c r="B190" t="s">
        <v>274</v>
      </c>
      <c r="C190" s="1" t="s">
        <v>196</v>
      </c>
      <c r="D190" t="s">
        <v>196</v>
      </c>
      <c r="E190" s="28" t="str">
        <f>VLOOKUP(B190,Classification!$A:$D,2,FALSE)</f>
        <v>A</v>
      </c>
      <c r="F190" s="49" t="str">
        <f>VLOOKUP(C190,Classification!$A:$D,2,FALSE)</f>
        <v>A</v>
      </c>
      <c r="G190" s="15" t="str">
        <f>VLOOKUP(D190,Classification!$A:$D,2,FALSE)</f>
        <v>A</v>
      </c>
      <c r="H190" s="15" t="b">
        <f t="shared" si="2"/>
        <v>1</v>
      </c>
      <c r="K190" s="3"/>
    </row>
    <row r="191" spans="1:11" x14ac:dyDescent="0.2">
      <c r="A191" s="10" t="str">
        <f>IF(ISERROR(MATCH(B191,'SegEnds_Xtal_Prot#'!B:B, 0)), "NoXtal", "Xtal")</f>
        <v>NoXtal</v>
      </c>
      <c r="B191" t="s">
        <v>255</v>
      </c>
      <c r="C191" s="1" t="s">
        <v>196</v>
      </c>
      <c r="D191" t="s">
        <v>196</v>
      </c>
      <c r="E191" s="28" t="str">
        <f>VLOOKUP(B191,Classification!$A:$D,2,FALSE)</f>
        <v>A</v>
      </c>
      <c r="F191" s="49" t="str">
        <f>VLOOKUP(C191,Classification!$A:$D,2,FALSE)</f>
        <v>A</v>
      </c>
      <c r="G191" s="15" t="str">
        <f>VLOOKUP(D191,Classification!$A:$D,2,FALSE)</f>
        <v>A</v>
      </c>
      <c r="H191" s="15" t="b">
        <f t="shared" si="2"/>
        <v>1</v>
      </c>
      <c r="K191" s="3"/>
    </row>
    <row r="192" spans="1:11" x14ac:dyDescent="0.2">
      <c r="A192" s="10" t="str">
        <f>IF(ISERROR(MATCH(B192,'SegEnds_Xtal_Prot#'!B:B, 0)), "NoXtal", "Xtal")</f>
        <v>NoXtal</v>
      </c>
      <c r="B192" t="s">
        <v>197</v>
      </c>
      <c r="C192" s="1" t="s">
        <v>196</v>
      </c>
      <c r="D192" t="s">
        <v>196</v>
      </c>
      <c r="E192" s="28" t="str">
        <f>VLOOKUP(B192,Classification!$A:$D,2,FALSE)</f>
        <v>A</v>
      </c>
      <c r="F192" s="49" t="str">
        <f>VLOOKUP(C192,Classification!$A:$D,2,FALSE)</f>
        <v>A</v>
      </c>
      <c r="G192" s="15" t="str">
        <f>VLOOKUP(D192,Classification!$A:$D,2,FALSE)</f>
        <v>A</v>
      </c>
      <c r="H192" s="15" t="b">
        <f t="shared" si="2"/>
        <v>1</v>
      </c>
      <c r="K192" s="3"/>
    </row>
    <row r="193" spans="1:11" x14ac:dyDescent="0.2">
      <c r="A193" s="10" t="str">
        <f>IF(ISERROR(MATCH(B193,'SegEnds_Xtal_Prot#'!B:B, 0)), "NoXtal", "Xtal")</f>
        <v>NoXtal</v>
      </c>
      <c r="B193" t="s">
        <v>317</v>
      </c>
      <c r="C193" s="1" t="s">
        <v>196</v>
      </c>
      <c r="D193" t="s">
        <v>196</v>
      </c>
      <c r="E193" s="28" t="str">
        <f>VLOOKUP(B193,Classification!$A:$D,2,FALSE)</f>
        <v>A</v>
      </c>
      <c r="F193" s="49" t="str">
        <f>VLOOKUP(C193,Classification!$A:$D,2,FALSE)</f>
        <v>A</v>
      </c>
      <c r="G193" s="15" t="str">
        <f>VLOOKUP(D193,Classification!$A:$D,2,FALSE)</f>
        <v>A</v>
      </c>
      <c r="H193" s="15" t="b">
        <f t="shared" si="2"/>
        <v>1</v>
      </c>
      <c r="K193" s="3"/>
    </row>
    <row r="194" spans="1:11" x14ac:dyDescent="0.2">
      <c r="A194" s="10" t="str">
        <f>IF(ISERROR(MATCH(B194,'SegEnds_Xtal_Prot#'!B:B, 0)), "NoXtal", "Xtal")</f>
        <v>Xtal</v>
      </c>
      <c r="B194" t="s">
        <v>1173</v>
      </c>
      <c r="C194" s="1" t="s">
        <v>1173</v>
      </c>
      <c r="D194" t="s">
        <v>1173</v>
      </c>
      <c r="E194" s="28" t="str">
        <f>VLOOKUP(B194,Classification!$A:$D,2,FALSE)</f>
        <v>A</v>
      </c>
      <c r="F194" s="49" t="str">
        <f>VLOOKUP(C194,Classification!$A:$D,2,FALSE)</f>
        <v>A</v>
      </c>
      <c r="G194" s="15" t="str">
        <f>VLOOKUP(D194,Classification!$A:$D,2,FALSE)</f>
        <v>A</v>
      </c>
      <c r="H194" s="15" t="b">
        <f t="shared" si="2"/>
        <v>1</v>
      </c>
      <c r="K194" s="3"/>
    </row>
    <row r="195" spans="1:11" x14ac:dyDescent="0.2">
      <c r="A195" s="10" t="str">
        <f>IF(ISERROR(MATCH(B195,'SegEnds_Xtal_Prot#'!B:B, 0)), "NoXtal", "Xtal")</f>
        <v>NoXtal</v>
      </c>
      <c r="B195" t="s">
        <v>198</v>
      </c>
      <c r="C195" s="1" t="s">
        <v>356</v>
      </c>
      <c r="D195" t="s">
        <v>1173</v>
      </c>
      <c r="E195" s="28" t="str">
        <f>VLOOKUP(B195,Classification!$A:$D,2,FALSE)</f>
        <v>A</v>
      </c>
      <c r="F195" s="49" t="str">
        <f>VLOOKUP(C195,Classification!$A:$D,2,FALSE)</f>
        <v>A</v>
      </c>
      <c r="G195" s="15" t="str">
        <f>VLOOKUP(D195,Classification!$A:$D,2,FALSE)</f>
        <v>A</v>
      </c>
      <c r="H195" s="15" t="b">
        <f t="shared" ref="H195:H258" si="3">OR(E195=G195,AND(E195="T",G195="A"),AND(E195="B2",G195="B1"),E195="O")</f>
        <v>1</v>
      </c>
      <c r="K195" s="3"/>
    </row>
    <row r="196" spans="1:11" x14ac:dyDescent="0.2">
      <c r="A196" s="10" t="str">
        <f>IF(ISERROR(MATCH(B196,'SegEnds_Xtal_Prot#'!B:B, 0)), "NoXtal", "Xtal")</f>
        <v>NoXtal</v>
      </c>
      <c r="B196" t="s">
        <v>404</v>
      </c>
      <c r="C196" s="1" t="s">
        <v>32</v>
      </c>
      <c r="D196" t="s">
        <v>32</v>
      </c>
      <c r="E196" s="28" t="str">
        <f>VLOOKUP(B196,Classification!$A:$D,2,FALSE)</f>
        <v>B1</v>
      </c>
      <c r="F196" s="49" t="str">
        <f>VLOOKUP(C196,Classification!$A:$D,2,FALSE)</f>
        <v>B1</v>
      </c>
      <c r="G196" s="15" t="str">
        <f>VLOOKUP(D196,Classification!$A:$D,2,FALSE)</f>
        <v>B1</v>
      </c>
      <c r="H196" s="15" t="b">
        <f t="shared" si="3"/>
        <v>1</v>
      </c>
      <c r="K196" s="3"/>
    </row>
    <row r="197" spans="1:11" x14ac:dyDescent="0.2">
      <c r="A197" s="10" t="str">
        <f>IF(ISERROR(MATCH(B197,'SegEnds_Xtal_Prot#'!B:B, 0)), "NoXtal", "Xtal")</f>
        <v>NoXtal</v>
      </c>
      <c r="B197" t="s">
        <v>411</v>
      </c>
      <c r="C197" s="1" t="s">
        <v>406</v>
      </c>
      <c r="D197" t="s">
        <v>32</v>
      </c>
      <c r="E197" s="28" t="str">
        <f>VLOOKUP(B197,Classification!$A:$D,2,FALSE)</f>
        <v>B1</v>
      </c>
      <c r="F197" s="49" t="str">
        <f>VLOOKUP(C197,Classification!$A:$D,2,FALSE)</f>
        <v>B1</v>
      </c>
      <c r="G197" s="15" t="str">
        <f>VLOOKUP(D197,Classification!$A:$D,2,FALSE)</f>
        <v>B1</v>
      </c>
      <c r="H197" s="15" t="b">
        <f t="shared" si="3"/>
        <v>1</v>
      </c>
      <c r="K197" s="3"/>
    </row>
    <row r="198" spans="1:11" x14ac:dyDescent="0.2">
      <c r="A198" s="10" t="str">
        <f>IF(ISERROR(MATCH(B198,'SegEnds_Xtal_Prot#'!B:B, 0)), "NoXtal", "Xtal")</f>
        <v>Xtal</v>
      </c>
      <c r="B198" t="s">
        <v>406</v>
      </c>
      <c r="C198" s="1" t="s">
        <v>406</v>
      </c>
      <c r="D198" t="s">
        <v>32</v>
      </c>
      <c r="E198" s="28" t="str">
        <f>VLOOKUP(B198,Classification!$A:$D,2,FALSE)</f>
        <v>B1</v>
      </c>
      <c r="F198" s="49" t="str">
        <f>VLOOKUP(C198,Classification!$A:$D,2,FALSE)</f>
        <v>B1</v>
      </c>
      <c r="G198" s="15" t="str">
        <f>VLOOKUP(D198,Classification!$A:$D,2,FALSE)</f>
        <v>B1</v>
      </c>
      <c r="H198" s="15" t="b">
        <f t="shared" si="3"/>
        <v>1</v>
      </c>
      <c r="K198" s="3"/>
    </row>
    <row r="199" spans="1:11" x14ac:dyDescent="0.2">
      <c r="A199" s="10" t="str">
        <f>IF(ISERROR(MATCH(B199,'SegEnds_Xtal_Prot#'!B:B, 0)), "NoXtal", "Xtal")</f>
        <v>NoXtal</v>
      </c>
      <c r="B199" t="s">
        <v>413</v>
      </c>
      <c r="C199" s="1" t="s">
        <v>32</v>
      </c>
      <c r="D199" t="s">
        <v>32</v>
      </c>
      <c r="E199" s="28" t="str">
        <f>VLOOKUP(B199,Classification!$A:$D,2,FALSE)</f>
        <v>B1</v>
      </c>
      <c r="F199" s="49" t="str">
        <f>VLOOKUP(C199,Classification!$A:$D,2,FALSE)</f>
        <v>B1</v>
      </c>
      <c r="G199" s="15" t="str">
        <f>VLOOKUP(D199,Classification!$A:$D,2,FALSE)</f>
        <v>B1</v>
      </c>
      <c r="H199" s="15" t="b">
        <f t="shared" si="3"/>
        <v>1</v>
      </c>
      <c r="K199" s="3"/>
    </row>
    <row r="200" spans="1:11" x14ac:dyDescent="0.2">
      <c r="A200" s="10" t="str">
        <f>IF(ISERROR(MATCH(B200,'SegEnds_Xtal_Prot#'!B:B, 0)), "NoXtal", "Xtal")</f>
        <v>NoXtal</v>
      </c>
      <c r="B200" t="s">
        <v>408</v>
      </c>
      <c r="C200" s="1" t="s">
        <v>32</v>
      </c>
      <c r="D200" t="s">
        <v>32</v>
      </c>
      <c r="E200" s="28" t="str">
        <f>VLOOKUP(B200,Classification!$A:$D,2,FALSE)</f>
        <v>B1</v>
      </c>
      <c r="F200" s="49" t="str">
        <f>VLOOKUP(C200,Classification!$A:$D,2,FALSE)</f>
        <v>B1</v>
      </c>
      <c r="G200" s="15" t="str">
        <f>VLOOKUP(D200,Classification!$A:$D,2,FALSE)</f>
        <v>B1</v>
      </c>
      <c r="H200" s="15" t="b">
        <f t="shared" si="3"/>
        <v>1</v>
      </c>
      <c r="K200" s="3"/>
    </row>
    <row r="201" spans="1:11" x14ac:dyDescent="0.2">
      <c r="A201" s="10" t="str">
        <f>IF(ISERROR(MATCH(B201,'SegEnds_Xtal_Prot#'!B:B, 0)), "NoXtal", "Xtal")</f>
        <v>NoXtal</v>
      </c>
      <c r="B201" t="s">
        <v>412</v>
      </c>
      <c r="C201" s="1" t="s">
        <v>406</v>
      </c>
      <c r="D201" t="s">
        <v>32</v>
      </c>
      <c r="E201" s="28" t="str">
        <f>VLOOKUP(B201,Classification!$A:$D,2,FALSE)</f>
        <v>B1</v>
      </c>
      <c r="F201" s="49" t="str">
        <f>VLOOKUP(C201,Classification!$A:$D,2,FALSE)</f>
        <v>B1</v>
      </c>
      <c r="G201" s="15" t="str">
        <f>VLOOKUP(D201,Classification!$A:$D,2,FALSE)</f>
        <v>B1</v>
      </c>
      <c r="H201" s="15" t="b">
        <f t="shared" si="3"/>
        <v>1</v>
      </c>
      <c r="K201" s="3"/>
    </row>
    <row r="202" spans="1:11" x14ac:dyDescent="0.2">
      <c r="A202" s="10" t="str">
        <f>IF(ISERROR(MATCH(B202,'SegEnds_Xtal_Prot#'!B:B, 0)), "NoXtal", "Xtal")</f>
        <v>NoXtal</v>
      </c>
      <c r="B202" t="s">
        <v>405</v>
      </c>
      <c r="C202" s="1" t="s">
        <v>32</v>
      </c>
      <c r="D202" t="s">
        <v>32</v>
      </c>
      <c r="E202" s="28" t="str">
        <f>VLOOKUP(B202,Classification!$A:$D,2,FALSE)</f>
        <v>B1</v>
      </c>
      <c r="F202" s="49" t="str">
        <f>VLOOKUP(C202,Classification!$A:$D,2,FALSE)</f>
        <v>B1</v>
      </c>
      <c r="G202" s="15" t="str">
        <f>VLOOKUP(D202,Classification!$A:$D,2,FALSE)</f>
        <v>B1</v>
      </c>
      <c r="H202" s="15" t="b">
        <f t="shared" si="3"/>
        <v>1</v>
      </c>
      <c r="K202" s="3"/>
    </row>
    <row r="203" spans="1:11" x14ac:dyDescent="0.2">
      <c r="A203" s="10" t="str">
        <f>IF(ISERROR(MATCH(B203,'SegEnds_Xtal_Prot#'!B:B, 0)), "NoXtal", "Xtal")</f>
        <v>Xtal</v>
      </c>
      <c r="B203" t="s">
        <v>32</v>
      </c>
      <c r="C203" s="1" t="s">
        <v>32</v>
      </c>
      <c r="D203" t="s">
        <v>32</v>
      </c>
      <c r="E203" s="28" t="str">
        <f>VLOOKUP(B203,Classification!$A:$D,2,FALSE)</f>
        <v>B1</v>
      </c>
      <c r="F203" s="49" t="str">
        <f>VLOOKUP(C203,Classification!$A:$D,2,FALSE)</f>
        <v>B1</v>
      </c>
      <c r="G203" s="15" t="str">
        <f>VLOOKUP(D203,Classification!$A:$D,2,FALSE)</f>
        <v>B1</v>
      </c>
      <c r="H203" s="15" t="b">
        <f t="shared" si="3"/>
        <v>1</v>
      </c>
      <c r="K203" s="3"/>
    </row>
    <row r="204" spans="1:11" x14ac:dyDescent="0.2">
      <c r="A204" s="10" t="str">
        <f>IF(ISERROR(MATCH(B204,'SegEnds_Xtal_Prot#'!B:B, 0)), "NoXtal", "Xtal")</f>
        <v>NoXtal</v>
      </c>
      <c r="B204" t="s">
        <v>407</v>
      </c>
      <c r="C204" s="1" t="s">
        <v>32</v>
      </c>
      <c r="D204" t="s">
        <v>32</v>
      </c>
      <c r="E204" s="28" t="str">
        <f>VLOOKUP(B204,Classification!$A:$D,2,FALSE)</f>
        <v>B1</v>
      </c>
      <c r="F204" s="49" t="str">
        <f>VLOOKUP(C204,Classification!$A:$D,2,FALSE)</f>
        <v>B1</v>
      </c>
      <c r="G204" s="15" t="str">
        <f>VLOOKUP(D204,Classification!$A:$D,2,FALSE)</f>
        <v>B1</v>
      </c>
      <c r="H204" s="15" t="b">
        <f t="shared" si="3"/>
        <v>1</v>
      </c>
      <c r="K204" s="3"/>
    </row>
    <row r="205" spans="1:11" x14ac:dyDescent="0.2">
      <c r="A205" s="10" t="str">
        <f>IF(ISERROR(MATCH(B205,'SegEnds_Xtal_Prot#'!B:B, 0)), "NoXtal", "Xtal")</f>
        <v>NoXtal</v>
      </c>
      <c r="B205" t="s">
        <v>409</v>
      </c>
      <c r="C205" s="1" t="s">
        <v>406</v>
      </c>
      <c r="D205" t="s">
        <v>32</v>
      </c>
      <c r="E205" s="28" t="str">
        <f>VLOOKUP(B205,Classification!$A:$D,2,FALSE)</f>
        <v>B1</v>
      </c>
      <c r="F205" s="49" t="str">
        <f>VLOOKUP(C205,Classification!$A:$D,2,FALSE)</f>
        <v>B1</v>
      </c>
      <c r="G205" s="15" t="str">
        <f>VLOOKUP(D205,Classification!$A:$D,2,FALSE)</f>
        <v>B1</v>
      </c>
      <c r="H205" s="15" t="b">
        <f t="shared" si="3"/>
        <v>1</v>
      </c>
      <c r="K205" s="3"/>
    </row>
    <row r="206" spans="1:11" x14ac:dyDescent="0.2">
      <c r="A206" s="10" t="str">
        <f>IF(ISERROR(MATCH(B206,'SegEnds_Xtal_Prot#'!B:B, 0)), "NoXtal", "Xtal")</f>
        <v>NoXtal</v>
      </c>
      <c r="B206" t="s">
        <v>410</v>
      </c>
      <c r="C206" s="1" t="s">
        <v>406</v>
      </c>
      <c r="D206" t="s">
        <v>32</v>
      </c>
      <c r="E206" s="28" t="str">
        <f>VLOOKUP(B206,Classification!$A:$D,2,FALSE)</f>
        <v>B1</v>
      </c>
      <c r="F206" s="49" t="str">
        <f>VLOOKUP(C206,Classification!$A:$D,2,FALSE)</f>
        <v>B1</v>
      </c>
      <c r="G206" s="15" t="str">
        <f>VLOOKUP(D206,Classification!$A:$D,2,FALSE)</f>
        <v>B1</v>
      </c>
      <c r="H206" s="15" t="b">
        <f t="shared" si="3"/>
        <v>1</v>
      </c>
      <c r="K206" s="3"/>
    </row>
    <row r="207" spans="1:11" x14ac:dyDescent="0.2">
      <c r="A207" s="10" t="str">
        <f>IF(ISERROR(MATCH(B207,'SegEnds_Xtal_Prot#'!B:B, 0)), "NoXtal", "Xtal")</f>
        <v>NoXtal</v>
      </c>
      <c r="B207" t="s">
        <v>123</v>
      </c>
      <c r="C207" s="1" t="s">
        <v>40</v>
      </c>
      <c r="D207" t="s">
        <v>40</v>
      </c>
      <c r="E207" s="28" t="str">
        <f>VLOOKUP(B207,Classification!$A:$D,2,FALSE)</f>
        <v>C</v>
      </c>
      <c r="F207" s="49" t="str">
        <f>VLOOKUP(C207,Classification!$A:$D,2,FALSE)</f>
        <v>C</v>
      </c>
      <c r="G207" s="15" t="str">
        <f>VLOOKUP(D207,Classification!$A:$D,2,FALSE)</f>
        <v>C</v>
      </c>
      <c r="H207" s="15" t="b">
        <f t="shared" si="3"/>
        <v>1</v>
      </c>
      <c r="K207" s="3"/>
    </row>
    <row r="208" spans="1:11" x14ac:dyDescent="0.2">
      <c r="A208" s="10" t="str">
        <f>IF(ISERROR(MATCH(B208,'SegEnds_Xtal_Prot#'!B:B, 0)), "NoXtal", "Xtal")</f>
        <v>NoXtal</v>
      </c>
      <c r="B208" t="s">
        <v>122</v>
      </c>
      <c r="C208" s="1" t="s">
        <v>40</v>
      </c>
      <c r="D208" t="s">
        <v>40</v>
      </c>
      <c r="E208" s="28" t="str">
        <f>VLOOKUP(B208,Classification!$A:$D,2,FALSE)</f>
        <v>C</v>
      </c>
      <c r="F208" s="49" t="str">
        <f>VLOOKUP(C208,Classification!$A:$D,2,FALSE)</f>
        <v>C</v>
      </c>
      <c r="G208" s="15" t="str">
        <f>VLOOKUP(D208,Classification!$A:$D,2,FALSE)</f>
        <v>C</v>
      </c>
      <c r="H208" s="15" t="b">
        <f t="shared" si="3"/>
        <v>1</v>
      </c>
      <c r="K208" s="3"/>
    </row>
    <row r="209" spans="1:11" x14ac:dyDescent="0.2">
      <c r="A209" s="10" t="str">
        <f>IF(ISERROR(MATCH(B209,'SegEnds_Xtal_Prot#'!B:B, 0)), "NoXtal", "Xtal")</f>
        <v>NoXtal</v>
      </c>
      <c r="B209" t="s">
        <v>124</v>
      </c>
      <c r="C209" s="1" t="s">
        <v>40</v>
      </c>
      <c r="D209" t="s">
        <v>40</v>
      </c>
      <c r="E209" s="28" t="str">
        <f>VLOOKUP(B209,Classification!$A:$D,2,FALSE)</f>
        <v>C</v>
      </c>
      <c r="F209" s="49" t="str">
        <f>VLOOKUP(C209,Classification!$A:$D,2,FALSE)</f>
        <v>C</v>
      </c>
      <c r="G209" s="15" t="str">
        <f>VLOOKUP(D209,Classification!$A:$D,2,FALSE)</f>
        <v>C</v>
      </c>
      <c r="H209" s="15" t="b">
        <f t="shared" si="3"/>
        <v>1</v>
      </c>
      <c r="K209" s="3"/>
    </row>
    <row r="210" spans="1:11" x14ac:dyDescent="0.2">
      <c r="A210" s="10" t="str">
        <f>IF(ISERROR(MATCH(B210,'SegEnds_Xtal_Prot#'!B:B, 0)), "NoXtal", "Xtal")</f>
        <v>NoXtal</v>
      </c>
      <c r="B210" t="s">
        <v>113</v>
      </c>
      <c r="C210" s="1" t="s">
        <v>40</v>
      </c>
      <c r="D210" t="s">
        <v>40</v>
      </c>
      <c r="E210" s="28" t="str">
        <f>VLOOKUP(B210,Classification!$A:$D,2,FALSE)</f>
        <v>C</v>
      </c>
      <c r="F210" s="49" t="str">
        <f>VLOOKUP(C210,Classification!$A:$D,2,FALSE)</f>
        <v>C</v>
      </c>
      <c r="G210" s="15" t="str">
        <f>VLOOKUP(D210,Classification!$A:$D,2,FALSE)</f>
        <v>C</v>
      </c>
      <c r="H210" s="15" t="b">
        <f t="shared" si="3"/>
        <v>1</v>
      </c>
      <c r="K210" s="3"/>
    </row>
    <row r="211" spans="1:11" x14ac:dyDescent="0.2">
      <c r="A211" s="10" t="str">
        <f>IF(ISERROR(MATCH(B211,'SegEnds_Xtal_Prot#'!B:B, 0)), "NoXtal", "Xtal")</f>
        <v>NoXtal</v>
      </c>
      <c r="B211" t="s">
        <v>121</v>
      </c>
      <c r="C211" s="1" t="s">
        <v>40</v>
      </c>
      <c r="D211" t="s">
        <v>40</v>
      </c>
      <c r="E211" s="28" t="str">
        <f>VLOOKUP(B211,Classification!$A:$D,2,FALSE)</f>
        <v>C</v>
      </c>
      <c r="F211" s="49" t="str">
        <f>VLOOKUP(C211,Classification!$A:$D,2,FALSE)</f>
        <v>C</v>
      </c>
      <c r="G211" s="15" t="str">
        <f>VLOOKUP(D211,Classification!$A:$D,2,FALSE)</f>
        <v>C</v>
      </c>
      <c r="H211" s="15" t="b">
        <f t="shared" si="3"/>
        <v>1</v>
      </c>
      <c r="K211" s="3"/>
    </row>
    <row r="212" spans="1:11" x14ac:dyDescent="0.2">
      <c r="A212" s="10" t="str">
        <f>IF(ISERROR(MATCH(B212,'SegEnds_Xtal_Prot#'!B:B, 0)), "NoXtal", "Xtal")</f>
        <v>NoXtal</v>
      </c>
      <c r="B212" t="s">
        <v>114</v>
      </c>
      <c r="C212" s="1" t="s">
        <v>40</v>
      </c>
      <c r="D212" t="s">
        <v>40</v>
      </c>
      <c r="E212" s="28" t="str">
        <f>VLOOKUP(B212,Classification!$A:$D,2,FALSE)</f>
        <v>C</v>
      </c>
      <c r="F212" s="49" t="str">
        <f>VLOOKUP(C212,Classification!$A:$D,2,FALSE)</f>
        <v>C</v>
      </c>
      <c r="G212" s="15" t="str">
        <f>VLOOKUP(D212,Classification!$A:$D,2,FALSE)</f>
        <v>C</v>
      </c>
      <c r="H212" s="15" t="b">
        <f t="shared" si="3"/>
        <v>1</v>
      </c>
      <c r="K212" s="3"/>
    </row>
    <row r="213" spans="1:11" x14ac:dyDescent="0.2">
      <c r="A213" s="10" t="str">
        <f>IF(ISERROR(MATCH(B213,'SegEnds_Xtal_Prot#'!B:B, 0)), "NoXtal", "Xtal")</f>
        <v>NoXtal</v>
      </c>
      <c r="B213" t="s">
        <v>106</v>
      </c>
      <c r="C213" s="1" t="s">
        <v>41</v>
      </c>
      <c r="D213" t="s">
        <v>40</v>
      </c>
      <c r="E213" s="28" t="str">
        <f>VLOOKUP(B213,Classification!$A:$D,2,FALSE)</f>
        <v>C</v>
      </c>
      <c r="F213" s="49" t="str">
        <f>VLOOKUP(C213,Classification!$A:$D,2,FALSE)</f>
        <v>C</v>
      </c>
      <c r="G213" s="15" t="str">
        <f>VLOOKUP(D213,Classification!$A:$D,2,FALSE)</f>
        <v>C</v>
      </c>
      <c r="H213" s="15" t="b">
        <f t="shared" si="3"/>
        <v>1</v>
      </c>
      <c r="K213" s="3"/>
    </row>
    <row r="214" spans="1:11" x14ac:dyDescent="0.2">
      <c r="A214" s="10" t="str">
        <f>IF(ISERROR(MATCH(B214,'SegEnds_Xtal_Prot#'!B:B, 0)), "NoXtal", "Xtal")</f>
        <v>NoXtal</v>
      </c>
      <c r="B214" t="s">
        <v>111</v>
      </c>
      <c r="C214" s="1" t="s">
        <v>40</v>
      </c>
      <c r="D214" t="s">
        <v>40</v>
      </c>
      <c r="E214" s="28" t="str">
        <f>VLOOKUP(B214,Classification!$A:$D,2,FALSE)</f>
        <v>C</v>
      </c>
      <c r="F214" s="49" t="str">
        <f>VLOOKUP(C214,Classification!$A:$D,2,FALSE)</f>
        <v>C</v>
      </c>
      <c r="G214" s="15" t="str">
        <f>VLOOKUP(D214,Classification!$A:$D,2,FALSE)</f>
        <v>C</v>
      </c>
      <c r="H214" s="15" t="b">
        <f t="shared" si="3"/>
        <v>1</v>
      </c>
      <c r="K214" s="3"/>
    </row>
    <row r="215" spans="1:11" x14ac:dyDescent="0.2">
      <c r="A215" s="10" t="str">
        <f>IF(ISERROR(MATCH(B215,'SegEnds_Xtal_Prot#'!B:B, 0)), "NoXtal", "Xtal")</f>
        <v>NoXtal</v>
      </c>
      <c r="B215" t="s">
        <v>112</v>
      </c>
      <c r="C215" s="1" t="s">
        <v>40</v>
      </c>
      <c r="D215" t="s">
        <v>40</v>
      </c>
      <c r="E215" s="28" t="str">
        <f>VLOOKUP(B215,Classification!$A:$D,2,FALSE)</f>
        <v>C</v>
      </c>
      <c r="F215" s="49" t="str">
        <f>VLOOKUP(C215,Classification!$A:$D,2,FALSE)</f>
        <v>C</v>
      </c>
      <c r="G215" s="15" t="str">
        <f>VLOOKUP(D215,Classification!$A:$D,2,FALSE)</f>
        <v>C</v>
      </c>
      <c r="H215" s="15" t="b">
        <f t="shared" si="3"/>
        <v>1</v>
      </c>
      <c r="K215" s="3"/>
    </row>
    <row r="216" spans="1:11" x14ac:dyDescent="0.2">
      <c r="A216" s="10" t="str">
        <f>IF(ISERROR(MATCH(B216,'SegEnds_Xtal_Prot#'!B:B, 0)), "NoXtal", "Xtal")</f>
        <v>Xtal</v>
      </c>
      <c r="B216" t="s">
        <v>40</v>
      </c>
      <c r="C216" s="1" t="s">
        <v>40</v>
      </c>
      <c r="D216" t="s">
        <v>40</v>
      </c>
      <c r="E216" s="28" t="str">
        <f>VLOOKUP(B216,Classification!$A:$D,2,FALSE)</f>
        <v>C</v>
      </c>
      <c r="F216" s="49" t="str">
        <f>VLOOKUP(C216,Classification!$A:$D,2,FALSE)</f>
        <v>C</v>
      </c>
      <c r="G216" s="15" t="str">
        <f>VLOOKUP(D216,Classification!$A:$D,2,FALSE)</f>
        <v>C</v>
      </c>
      <c r="H216" s="15" t="b">
        <f t="shared" si="3"/>
        <v>1</v>
      </c>
      <c r="K216" s="3"/>
    </row>
    <row r="217" spans="1:11" x14ac:dyDescent="0.2">
      <c r="A217" s="10" t="str">
        <f>IF(ISERROR(MATCH(B217,'SegEnds_Xtal_Prot#'!B:B, 0)), "NoXtal", "Xtal")</f>
        <v>NoXtal</v>
      </c>
      <c r="B217" t="s">
        <v>108</v>
      </c>
      <c r="C217" s="1" t="s">
        <v>40</v>
      </c>
      <c r="D217" t="s">
        <v>40</v>
      </c>
      <c r="E217" s="28" t="str">
        <f>VLOOKUP(B217,Classification!$A:$D,2,FALSE)</f>
        <v>C</v>
      </c>
      <c r="F217" s="49" t="str">
        <f>VLOOKUP(C217,Classification!$A:$D,2,FALSE)</f>
        <v>C</v>
      </c>
      <c r="G217" s="15" t="str">
        <f>VLOOKUP(D217,Classification!$A:$D,2,FALSE)</f>
        <v>C</v>
      </c>
      <c r="H217" s="15" t="b">
        <f t="shared" si="3"/>
        <v>1</v>
      </c>
      <c r="K217" s="3"/>
    </row>
    <row r="218" spans="1:11" x14ac:dyDescent="0.2">
      <c r="A218" s="10" t="str">
        <f>IF(ISERROR(MATCH(B218,'SegEnds_Xtal_Prot#'!B:B, 0)), "NoXtal", "Xtal")</f>
        <v>NoXtal</v>
      </c>
      <c r="B218" t="s">
        <v>109</v>
      </c>
      <c r="C218" s="1" t="s">
        <v>40</v>
      </c>
      <c r="D218" t="s">
        <v>40</v>
      </c>
      <c r="E218" s="28" t="str">
        <f>VLOOKUP(B218,Classification!$A:$D,2,FALSE)</f>
        <v>C</v>
      </c>
      <c r="F218" s="49" t="str">
        <f>VLOOKUP(C218,Classification!$A:$D,2,FALSE)</f>
        <v>C</v>
      </c>
      <c r="G218" s="15" t="str">
        <f>VLOOKUP(D218,Classification!$A:$D,2,FALSE)</f>
        <v>C</v>
      </c>
      <c r="H218" s="15" t="b">
        <f t="shared" si="3"/>
        <v>1</v>
      </c>
      <c r="K218" s="3"/>
    </row>
    <row r="219" spans="1:11" x14ac:dyDescent="0.2">
      <c r="A219" s="10" t="str">
        <f>IF(ISERROR(MATCH(B219,'SegEnds_Xtal_Prot#'!B:B, 0)), "NoXtal", "Xtal")</f>
        <v>NoXtal</v>
      </c>
      <c r="B219" t="s">
        <v>110</v>
      </c>
      <c r="C219" s="1" t="s">
        <v>40</v>
      </c>
      <c r="D219" t="s">
        <v>40</v>
      </c>
      <c r="E219" s="28" t="str">
        <f>VLOOKUP(B219,Classification!$A:$D,2,FALSE)</f>
        <v>C</v>
      </c>
      <c r="F219" s="49" t="str">
        <f>VLOOKUP(C219,Classification!$A:$D,2,FALSE)</f>
        <v>C</v>
      </c>
      <c r="G219" s="15" t="str">
        <f>VLOOKUP(D219,Classification!$A:$D,2,FALSE)</f>
        <v>C</v>
      </c>
      <c r="H219" s="15" t="b">
        <f t="shared" si="3"/>
        <v>1</v>
      </c>
      <c r="K219" s="3"/>
    </row>
    <row r="220" spans="1:11" x14ac:dyDescent="0.2">
      <c r="A220" s="10" t="str">
        <f>IF(ISERROR(MATCH(B220,'SegEnds_Xtal_Prot#'!B:B, 0)), "NoXtal", "Xtal")</f>
        <v>NoXtal</v>
      </c>
      <c r="B220" t="s">
        <v>118</v>
      </c>
      <c r="C220" s="1" t="s">
        <v>41</v>
      </c>
      <c r="D220" t="s">
        <v>41</v>
      </c>
      <c r="E220" s="28" t="str">
        <f>VLOOKUP(B220,Classification!$A:$D,2,FALSE)</f>
        <v>C</v>
      </c>
      <c r="F220" s="49" t="str">
        <f>VLOOKUP(C220,Classification!$A:$D,2,FALSE)</f>
        <v>C</v>
      </c>
      <c r="G220" s="15" t="str">
        <f>VLOOKUP(D220,Classification!$A:$D,2,FALSE)</f>
        <v>C</v>
      </c>
      <c r="H220" s="15" t="b">
        <f t="shared" si="3"/>
        <v>1</v>
      </c>
      <c r="K220" s="3"/>
    </row>
    <row r="221" spans="1:11" x14ac:dyDescent="0.2">
      <c r="A221" s="10" t="str">
        <f>IF(ISERROR(MATCH(B221,'SegEnds_Xtal_Prot#'!B:B, 0)), "NoXtal", "Xtal")</f>
        <v>NoXtal</v>
      </c>
      <c r="B221" t="s">
        <v>116</v>
      </c>
      <c r="C221" s="1" t="s">
        <v>41</v>
      </c>
      <c r="D221" t="s">
        <v>41</v>
      </c>
      <c r="E221" s="28" t="str">
        <f>VLOOKUP(B221,Classification!$A:$D,2,FALSE)</f>
        <v>C</v>
      </c>
      <c r="F221" s="49" t="str">
        <f>VLOOKUP(C221,Classification!$A:$D,2,FALSE)</f>
        <v>C</v>
      </c>
      <c r="G221" s="15" t="str">
        <f>VLOOKUP(D221,Classification!$A:$D,2,FALSE)</f>
        <v>C</v>
      </c>
      <c r="H221" s="15" t="b">
        <f t="shared" si="3"/>
        <v>1</v>
      </c>
      <c r="K221" s="3"/>
    </row>
    <row r="222" spans="1:11" x14ac:dyDescent="0.2">
      <c r="A222" s="10" t="str">
        <f>IF(ISERROR(MATCH(B222,'SegEnds_Xtal_Prot#'!B:B, 0)), "NoXtal", "Xtal")</f>
        <v>NoXtal</v>
      </c>
      <c r="B222" t="s">
        <v>115</v>
      </c>
      <c r="C222" s="1" t="s">
        <v>40</v>
      </c>
      <c r="D222" t="s">
        <v>41</v>
      </c>
      <c r="E222" s="28" t="str">
        <f>VLOOKUP(B222,Classification!$A:$D,2,FALSE)</f>
        <v>C</v>
      </c>
      <c r="F222" s="49" t="str">
        <f>VLOOKUP(C222,Classification!$A:$D,2,FALSE)</f>
        <v>C</v>
      </c>
      <c r="G222" s="15" t="str">
        <f>VLOOKUP(D222,Classification!$A:$D,2,FALSE)</f>
        <v>C</v>
      </c>
      <c r="H222" s="15" t="b">
        <f t="shared" si="3"/>
        <v>1</v>
      </c>
      <c r="K222" s="3"/>
    </row>
    <row r="223" spans="1:11" x14ac:dyDescent="0.2">
      <c r="A223" s="10" t="str">
        <f>IF(ISERROR(MATCH(B223,'SegEnds_Xtal_Prot#'!B:B, 0)), "NoXtal", "Xtal")</f>
        <v>NoXtal</v>
      </c>
      <c r="B223" t="s">
        <v>120</v>
      </c>
      <c r="C223" s="1" t="s">
        <v>41</v>
      </c>
      <c r="D223" t="s">
        <v>41</v>
      </c>
      <c r="E223" s="28" t="str">
        <f>VLOOKUP(B223,Classification!$A:$D,2,FALSE)</f>
        <v>C</v>
      </c>
      <c r="F223" s="49" t="str">
        <f>VLOOKUP(C223,Classification!$A:$D,2,FALSE)</f>
        <v>C</v>
      </c>
      <c r="G223" s="15" t="str">
        <f>VLOOKUP(D223,Classification!$A:$D,2,FALSE)</f>
        <v>C</v>
      </c>
      <c r="H223" s="15" t="b">
        <f t="shared" si="3"/>
        <v>1</v>
      </c>
      <c r="K223" s="3"/>
    </row>
    <row r="224" spans="1:11" x14ac:dyDescent="0.2">
      <c r="A224" s="10" t="str">
        <f>IF(ISERROR(MATCH(B224,'SegEnds_Xtal_Prot#'!B:B, 0)), "NoXtal", "Xtal")</f>
        <v>NoXtal</v>
      </c>
      <c r="B224" t="s">
        <v>117</v>
      </c>
      <c r="C224" s="1" t="s">
        <v>41</v>
      </c>
      <c r="D224" t="s">
        <v>41</v>
      </c>
      <c r="E224" s="28" t="str">
        <f>VLOOKUP(B224,Classification!$A:$D,2,FALSE)</f>
        <v>C</v>
      </c>
      <c r="F224" s="49" t="str">
        <f>VLOOKUP(C224,Classification!$A:$D,2,FALSE)</f>
        <v>C</v>
      </c>
      <c r="G224" s="15" t="str">
        <f>VLOOKUP(D224,Classification!$A:$D,2,FALSE)</f>
        <v>C</v>
      </c>
      <c r="H224" s="15" t="b">
        <f t="shared" si="3"/>
        <v>1</v>
      </c>
      <c r="K224" s="3"/>
    </row>
    <row r="225" spans="1:11" x14ac:dyDescent="0.2">
      <c r="A225" s="10" t="str">
        <f>IF(ISERROR(MATCH(B225,'SegEnds_Xtal_Prot#'!B:B, 0)), "NoXtal", "Xtal")</f>
        <v>NoXtal</v>
      </c>
      <c r="B225" t="s">
        <v>119</v>
      </c>
      <c r="C225" s="1" t="s">
        <v>41</v>
      </c>
      <c r="D225" t="s">
        <v>41</v>
      </c>
      <c r="E225" s="28" t="str">
        <f>VLOOKUP(B225,Classification!$A:$D,2,FALSE)</f>
        <v>C</v>
      </c>
      <c r="F225" s="49" t="str">
        <f>VLOOKUP(C225,Classification!$A:$D,2,FALSE)</f>
        <v>C</v>
      </c>
      <c r="G225" s="15" t="str">
        <f>VLOOKUP(D225,Classification!$A:$D,2,FALSE)</f>
        <v>C</v>
      </c>
      <c r="H225" s="15" t="b">
        <f t="shared" si="3"/>
        <v>1</v>
      </c>
      <c r="K225" s="3"/>
    </row>
    <row r="226" spans="1:11" x14ac:dyDescent="0.2">
      <c r="A226" s="10" t="str">
        <f>IF(ISERROR(MATCH(B226,'SegEnds_Xtal_Prot#'!B:B, 0)), "NoXtal", "Xtal")</f>
        <v>NoXtal</v>
      </c>
      <c r="B226" t="s">
        <v>107</v>
      </c>
      <c r="C226" s="1" t="s">
        <v>41</v>
      </c>
      <c r="D226" t="s">
        <v>41</v>
      </c>
      <c r="E226" s="28" t="str">
        <f>VLOOKUP(B226,Classification!$A:$D,2,FALSE)</f>
        <v>C</v>
      </c>
      <c r="F226" s="49" t="str">
        <f>VLOOKUP(C226,Classification!$A:$D,2,FALSE)</f>
        <v>C</v>
      </c>
      <c r="G226" s="15" t="str">
        <f>VLOOKUP(D226,Classification!$A:$D,2,FALSE)</f>
        <v>C</v>
      </c>
      <c r="H226" s="15" t="b">
        <f t="shared" si="3"/>
        <v>1</v>
      </c>
      <c r="K226" s="3"/>
    </row>
    <row r="227" spans="1:11" x14ac:dyDescent="0.2">
      <c r="A227" s="10" t="str">
        <f>IF(ISERROR(MATCH(B227,'SegEnds_Xtal_Prot#'!B:B, 0)), "NoXtal", "Xtal")</f>
        <v>NoXtal</v>
      </c>
      <c r="B227" t="s">
        <v>105</v>
      </c>
      <c r="C227" s="1" t="s">
        <v>41</v>
      </c>
      <c r="D227" t="s">
        <v>41</v>
      </c>
      <c r="E227" s="28" t="str">
        <f>VLOOKUP(B227,Classification!$A:$D,2,FALSE)</f>
        <v>C</v>
      </c>
      <c r="F227" s="49" t="str">
        <f>VLOOKUP(C227,Classification!$A:$D,2,FALSE)</f>
        <v>C</v>
      </c>
      <c r="G227" s="15" t="str">
        <f>VLOOKUP(D227,Classification!$A:$D,2,FALSE)</f>
        <v>C</v>
      </c>
      <c r="H227" s="15" t="b">
        <f t="shared" si="3"/>
        <v>1</v>
      </c>
      <c r="K227" s="3"/>
    </row>
    <row r="228" spans="1:11" x14ac:dyDescent="0.2">
      <c r="A228" s="10" t="str">
        <f>IF(ISERROR(MATCH(B228,'SegEnds_Xtal_Prot#'!B:B, 0)), "NoXtal", "Xtal")</f>
        <v>Xtal</v>
      </c>
      <c r="B228" t="s">
        <v>41</v>
      </c>
      <c r="C228" s="1" t="s">
        <v>41</v>
      </c>
      <c r="D228" t="s">
        <v>41</v>
      </c>
      <c r="E228" s="28" t="str">
        <f>VLOOKUP(B228,Classification!$A:$D,2,FALSE)</f>
        <v>C</v>
      </c>
      <c r="F228" s="49" t="str">
        <f>VLOOKUP(C228,Classification!$A:$D,2,FALSE)</f>
        <v>C</v>
      </c>
      <c r="G228" s="15" t="str">
        <f>VLOOKUP(D228,Classification!$A:$D,2,FALSE)</f>
        <v>C</v>
      </c>
      <c r="H228" s="15" t="b">
        <f t="shared" si="3"/>
        <v>1</v>
      </c>
      <c r="K228" s="3"/>
    </row>
    <row r="229" spans="1:11" x14ac:dyDescent="0.2">
      <c r="A229" s="10" t="str">
        <f>IF(ISERROR(MATCH(B229,'SegEnds_Xtal_Prot#'!B:B, 0)), "NoXtal", "Xtal")</f>
        <v>Xtal</v>
      </c>
      <c r="B229" t="s">
        <v>278</v>
      </c>
      <c r="C229" s="1" t="s">
        <v>278</v>
      </c>
      <c r="D229" t="s">
        <v>278</v>
      </c>
      <c r="E229" s="28" t="str">
        <f>VLOOKUP(B229,Classification!$A:$D,2,FALSE)</f>
        <v>A</v>
      </c>
      <c r="F229" s="49" t="str">
        <f>VLOOKUP(C229,Classification!$A:$D,2,FALSE)</f>
        <v>A</v>
      </c>
      <c r="G229" s="15" t="str">
        <f>VLOOKUP(D229,Classification!$A:$D,2,FALSE)</f>
        <v>A</v>
      </c>
      <c r="H229" s="15" t="b">
        <f t="shared" si="3"/>
        <v>1</v>
      </c>
      <c r="K229" s="3"/>
    </row>
    <row r="230" spans="1:11" x14ac:dyDescent="0.2">
      <c r="A230" s="10" t="str">
        <f>IF(ISERROR(MATCH(B230,'SegEnds_Xtal_Prot#'!B:B, 0)), "NoXtal", "Xtal")</f>
        <v>NoXtal</v>
      </c>
      <c r="B230" t="s">
        <v>219</v>
      </c>
      <c r="C230" s="1" t="s">
        <v>158</v>
      </c>
      <c r="D230" t="s">
        <v>278</v>
      </c>
      <c r="E230" s="28" t="str">
        <f>VLOOKUP(B230,Classification!$A:$D,2,FALSE)</f>
        <v>A</v>
      </c>
      <c r="F230" s="49" t="str">
        <f>VLOOKUP(C230,Classification!$A:$D,2,FALSE)</f>
        <v>A</v>
      </c>
      <c r="G230" s="15" t="str">
        <f>VLOOKUP(D230,Classification!$A:$D,2,FALSE)</f>
        <v>A</v>
      </c>
      <c r="H230" s="15" t="b">
        <f t="shared" si="3"/>
        <v>1</v>
      </c>
      <c r="K230" s="3"/>
    </row>
    <row r="231" spans="1:11" x14ac:dyDescent="0.2">
      <c r="A231" s="10" t="str">
        <f>IF(ISERROR(MATCH(B231,'SegEnds_Xtal_Prot#'!B:B, 0)), "NoXtal", "Xtal")</f>
        <v>NoXtal</v>
      </c>
      <c r="B231" t="s">
        <v>226</v>
      </c>
      <c r="C231" s="1" t="s">
        <v>352</v>
      </c>
      <c r="D231" t="s">
        <v>278</v>
      </c>
      <c r="E231" s="28" t="str">
        <f>VLOOKUP(B231,Classification!$A:$D,2,FALSE)</f>
        <v>A</v>
      </c>
      <c r="F231" s="49" t="str">
        <f>VLOOKUP(C231,Classification!$A:$D,2,FALSE)</f>
        <v>A</v>
      </c>
      <c r="G231" s="15" t="str">
        <f>VLOOKUP(D231,Classification!$A:$D,2,FALSE)</f>
        <v>A</v>
      </c>
      <c r="H231" s="15" t="b">
        <f t="shared" si="3"/>
        <v>1</v>
      </c>
      <c r="K231" s="3"/>
    </row>
    <row r="232" spans="1:11" x14ac:dyDescent="0.2">
      <c r="A232" s="10" t="str">
        <f>IF(ISERROR(MATCH(B232,'SegEnds_Xtal_Prot#'!B:B, 0)), "NoXtal", "Xtal")</f>
        <v>NoXtal</v>
      </c>
      <c r="B232" t="s">
        <v>245</v>
      </c>
      <c r="C232" s="1" t="s">
        <v>133</v>
      </c>
      <c r="D232" t="s">
        <v>278</v>
      </c>
      <c r="E232" s="28" t="str">
        <f>VLOOKUP(B232,Classification!$A:$D,2,FALSE)</f>
        <v>A</v>
      </c>
      <c r="F232" s="49" t="str">
        <f>VLOOKUP(C232,Classification!$A:$D,2,FALSE)</f>
        <v>A</v>
      </c>
      <c r="G232" s="15" t="str">
        <f>VLOOKUP(D232,Classification!$A:$D,2,FALSE)</f>
        <v>A</v>
      </c>
      <c r="H232" s="15" t="b">
        <f t="shared" si="3"/>
        <v>1</v>
      </c>
      <c r="K232" s="3"/>
    </row>
    <row r="233" spans="1:11" x14ac:dyDescent="0.2">
      <c r="A233" s="10" t="str">
        <f>IF(ISERROR(MATCH(B233,'SegEnds_Xtal_Prot#'!B:B, 0)), "NoXtal", "Xtal")</f>
        <v>NoXtal</v>
      </c>
      <c r="B233" t="s">
        <v>249</v>
      </c>
      <c r="C233" s="1" t="s">
        <v>103</v>
      </c>
      <c r="D233" t="s">
        <v>103</v>
      </c>
      <c r="E233" s="28" t="str">
        <f>VLOOKUP(B233,Classification!$A:$D,2,FALSE)</f>
        <v>A</v>
      </c>
      <c r="F233" s="49" t="str">
        <f>VLOOKUP(C233,Classification!$A:$D,2,FALSE)</f>
        <v>A</v>
      </c>
      <c r="G233" s="15" t="str">
        <f>VLOOKUP(D233,Classification!$A:$D,2,FALSE)</f>
        <v>A</v>
      </c>
      <c r="H233" s="15" t="b">
        <f t="shared" si="3"/>
        <v>1</v>
      </c>
      <c r="K233" s="3"/>
    </row>
    <row r="234" spans="1:11" x14ac:dyDescent="0.2">
      <c r="A234" s="10" t="str">
        <f>IF(ISERROR(MATCH(B234,'SegEnds_Xtal_Prot#'!B:B, 0)), "NoXtal", "Xtal")</f>
        <v>Xtal</v>
      </c>
      <c r="B234" t="s">
        <v>103</v>
      </c>
      <c r="C234" s="1" t="s">
        <v>103</v>
      </c>
      <c r="D234" t="s">
        <v>103</v>
      </c>
      <c r="E234" s="28" t="str">
        <f>VLOOKUP(B234,Classification!$A:$D,2,FALSE)</f>
        <v>A</v>
      </c>
      <c r="F234" s="49" t="str">
        <f>VLOOKUP(C234,Classification!$A:$D,2,FALSE)</f>
        <v>A</v>
      </c>
      <c r="G234" s="15" t="str">
        <f>VLOOKUP(D234,Classification!$A:$D,2,FALSE)</f>
        <v>A</v>
      </c>
      <c r="H234" s="15" t="b">
        <f t="shared" si="3"/>
        <v>1</v>
      </c>
      <c r="K234" s="3"/>
    </row>
    <row r="235" spans="1:11" x14ac:dyDescent="0.2">
      <c r="A235" s="10" t="str">
        <f>IF(ISERROR(MATCH(B235,'SegEnds_Xtal_Prot#'!B:B, 0)), "NoXtal", "Xtal")</f>
        <v>NoXtal</v>
      </c>
      <c r="B235" t="s">
        <v>286</v>
      </c>
      <c r="C235" s="1" t="s">
        <v>103</v>
      </c>
      <c r="D235" t="s">
        <v>103</v>
      </c>
      <c r="E235" s="28" t="str">
        <f>VLOOKUP(B235,Classification!$A:$D,2,FALSE)</f>
        <v>A</v>
      </c>
      <c r="F235" s="49" t="str">
        <f>VLOOKUP(C235,Classification!$A:$D,2,FALSE)</f>
        <v>A</v>
      </c>
      <c r="G235" s="15" t="str">
        <f>VLOOKUP(D235,Classification!$A:$D,2,FALSE)</f>
        <v>A</v>
      </c>
      <c r="H235" s="15" t="b">
        <f t="shared" si="3"/>
        <v>1</v>
      </c>
      <c r="K235" s="3"/>
    </row>
    <row r="236" spans="1:11" x14ac:dyDescent="0.2">
      <c r="A236" s="10" t="str">
        <f>IF(ISERROR(MATCH(B236,'SegEnds_Xtal_Prot#'!B:B, 0)), "NoXtal", "Xtal")</f>
        <v>NoXtal</v>
      </c>
      <c r="B236" t="s">
        <v>287</v>
      </c>
      <c r="C236" s="1" t="s">
        <v>103</v>
      </c>
      <c r="D236" t="s">
        <v>103</v>
      </c>
      <c r="E236" s="28" t="str">
        <f>VLOOKUP(B236,Classification!$A:$D,2,FALSE)</f>
        <v>A</v>
      </c>
      <c r="F236" s="49" t="str">
        <f>VLOOKUP(C236,Classification!$A:$D,2,FALSE)</f>
        <v>A</v>
      </c>
      <c r="G236" s="15" t="str">
        <f>VLOOKUP(D236,Classification!$A:$D,2,FALSE)</f>
        <v>A</v>
      </c>
      <c r="H236" s="15" t="b">
        <f t="shared" si="3"/>
        <v>1</v>
      </c>
      <c r="J236" s="10"/>
      <c r="K236" s="3"/>
    </row>
    <row r="237" spans="1:11" x14ac:dyDescent="0.2">
      <c r="A237" s="10" t="str">
        <f>IF(ISERROR(MATCH(B237,'SegEnds_Xtal_Prot#'!B:B, 0)), "NoXtal", "Xtal")</f>
        <v>NoXtal</v>
      </c>
      <c r="B237" t="s">
        <v>183</v>
      </c>
      <c r="C237" s="1" t="s">
        <v>182</v>
      </c>
      <c r="D237" t="s">
        <v>182</v>
      </c>
      <c r="E237" s="28" t="str">
        <f>VLOOKUP(B237,Classification!$A:$D,2,FALSE)</f>
        <v>A</v>
      </c>
      <c r="F237" s="49" t="str">
        <f>VLOOKUP(C237,Classification!$A:$D,2,FALSE)</f>
        <v>A</v>
      </c>
      <c r="G237" s="15" t="str">
        <f>VLOOKUP(D237,Classification!$A:$D,2,FALSE)</f>
        <v>A</v>
      </c>
      <c r="H237" s="15" t="b">
        <f t="shared" si="3"/>
        <v>1</v>
      </c>
      <c r="K237" s="3"/>
    </row>
    <row r="238" spans="1:11" x14ac:dyDescent="0.2">
      <c r="A238" s="10" t="str">
        <f>IF(ISERROR(MATCH(B238,'SegEnds_Xtal_Prot#'!B:B, 0)), "NoXtal", "Xtal")</f>
        <v>Xtal</v>
      </c>
      <c r="B238" t="s">
        <v>182</v>
      </c>
      <c r="C238" s="1" t="s">
        <v>182</v>
      </c>
      <c r="D238" t="s">
        <v>182</v>
      </c>
      <c r="E238" s="28" t="str">
        <f>VLOOKUP(B238,Classification!$A:$D,2,FALSE)</f>
        <v>A</v>
      </c>
      <c r="F238" s="49" t="str">
        <f>VLOOKUP(C238,Classification!$A:$D,2,FALSE)</f>
        <v>A</v>
      </c>
      <c r="G238" s="15" t="str">
        <f>VLOOKUP(D238,Classification!$A:$D,2,FALSE)</f>
        <v>A</v>
      </c>
      <c r="H238" s="15" t="b">
        <f t="shared" si="3"/>
        <v>1</v>
      </c>
      <c r="K238" s="3"/>
    </row>
    <row r="239" spans="1:11" x14ac:dyDescent="0.2">
      <c r="A239" s="10" t="str">
        <f>IF(ISERROR(MATCH(B239,'SegEnds_Xtal_Prot#'!B:B, 0)), "NoXtal", "Xtal")</f>
        <v>NoXtal</v>
      </c>
      <c r="B239" t="s">
        <v>362</v>
      </c>
      <c r="C239" s="1" t="s">
        <v>914</v>
      </c>
      <c r="D239" t="s">
        <v>914</v>
      </c>
      <c r="E239" s="28" t="str">
        <f>VLOOKUP(B239,Classification!$A:$D,2,FALSE)</f>
        <v>A</v>
      </c>
      <c r="F239" s="49" t="str">
        <f>VLOOKUP(C239,Classification!$A:$D,2,FALSE)</f>
        <v>A</v>
      </c>
      <c r="G239" s="15" t="str">
        <f>VLOOKUP(D239,Classification!$A:$D,2,FALSE)</f>
        <v>A</v>
      </c>
      <c r="H239" s="15" t="b">
        <f t="shared" si="3"/>
        <v>1</v>
      </c>
      <c r="K239" s="3"/>
    </row>
    <row r="240" spans="1:11" x14ac:dyDescent="0.2">
      <c r="A240" s="10" t="str">
        <f>IF(ISERROR(MATCH(B240,'SegEnds_Xtal_Prot#'!B:B, 0)), "NoXtal", "Xtal")</f>
        <v>NoXtal</v>
      </c>
      <c r="B240" t="s">
        <v>209</v>
      </c>
      <c r="C240" s="1" t="s">
        <v>914</v>
      </c>
      <c r="D240" t="s">
        <v>914</v>
      </c>
      <c r="E240" s="28" t="str">
        <f>VLOOKUP(B240,Classification!$A:$D,2,FALSE)</f>
        <v>A</v>
      </c>
      <c r="F240" s="49" t="str">
        <f>VLOOKUP(C240,Classification!$A:$D,2,FALSE)</f>
        <v>A</v>
      </c>
      <c r="G240" s="15" t="str">
        <f>VLOOKUP(D240,Classification!$A:$D,2,FALSE)</f>
        <v>A</v>
      </c>
      <c r="H240" s="15" t="b">
        <f t="shared" si="3"/>
        <v>1</v>
      </c>
      <c r="K240" s="3"/>
    </row>
    <row r="241" spans="1:11" x14ac:dyDescent="0.2">
      <c r="A241" s="10" t="str">
        <f>IF(ISERROR(MATCH(B241,'SegEnds_Xtal_Prot#'!B:B, 0)), "NoXtal", "Xtal")</f>
        <v>NoXtal</v>
      </c>
      <c r="B241" t="s">
        <v>330</v>
      </c>
      <c r="C241" s="1" t="s">
        <v>914</v>
      </c>
      <c r="D241" t="s">
        <v>914</v>
      </c>
      <c r="E241" s="28" t="str">
        <f>VLOOKUP(B241,Classification!$A:$D,2,FALSE)</f>
        <v>A</v>
      </c>
      <c r="F241" s="49" t="str">
        <f>VLOOKUP(C241,Classification!$A:$D,2,FALSE)</f>
        <v>A</v>
      </c>
      <c r="G241" s="15" t="str">
        <f>VLOOKUP(D241,Classification!$A:$D,2,FALSE)</f>
        <v>A</v>
      </c>
      <c r="H241" s="15" t="b">
        <f t="shared" si="3"/>
        <v>1</v>
      </c>
      <c r="K241" s="3"/>
    </row>
    <row r="242" spans="1:11" x14ac:dyDescent="0.2">
      <c r="A242" s="10" t="str">
        <f>IF(ISERROR(MATCH(B242,'SegEnds_Xtal_Prot#'!B:B, 0)), "NoXtal", "Xtal")</f>
        <v>NoXtal</v>
      </c>
      <c r="B242" t="s">
        <v>127</v>
      </c>
      <c r="C242" s="1" t="s">
        <v>914</v>
      </c>
      <c r="D242" t="s">
        <v>914</v>
      </c>
      <c r="E242" s="28" t="str">
        <f>VLOOKUP(B242,Classification!$A:$D,2,FALSE)</f>
        <v>A</v>
      </c>
      <c r="F242" s="49" t="str">
        <f>VLOOKUP(C242,Classification!$A:$D,2,FALSE)</f>
        <v>A</v>
      </c>
      <c r="G242" s="15" t="str">
        <f>VLOOKUP(D242,Classification!$A:$D,2,FALSE)</f>
        <v>A</v>
      </c>
      <c r="H242" s="15" t="b">
        <f t="shared" si="3"/>
        <v>1</v>
      </c>
      <c r="K242" s="3"/>
    </row>
    <row r="243" spans="1:11" x14ac:dyDescent="0.2">
      <c r="A243" s="10" t="str">
        <f>IF(ISERROR(MATCH(B243,'SegEnds_Xtal_Prot#'!B:B, 0)), "NoXtal", "Xtal")</f>
        <v>Xtal</v>
      </c>
      <c r="B243" t="s">
        <v>914</v>
      </c>
      <c r="C243" s="1" t="s">
        <v>914</v>
      </c>
      <c r="D243" t="s">
        <v>914</v>
      </c>
      <c r="E243" s="28" t="str">
        <f>VLOOKUP(B243,Classification!$A:$D,2,FALSE)</f>
        <v>A</v>
      </c>
      <c r="F243" s="49" t="str">
        <f>VLOOKUP(C243,Classification!$A:$D,2,FALSE)</f>
        <v>A</v>
      </c>
      <c r="G243" s="15" t="str">
        <f>VLOOKUP(D243,Classification!$A:$D,2,FALSE)</f>
        <v>A</v>
      </c>
      <c r="H243" s="15" t="b">
        <f t="shared" si="3"/>
        <v>1</v>
      </c>
      <c r="K243" s="3"/>
    </row>
    <row r="244" spans="1:11" x14ac:dyDescent="0.2">
      <c r="A244" s="10" t="str">
        <f>IF(ISERROR(MATCH(B244,'SegEnds_Xtal_Prot#'!B:B, 0)), "NoXtal", "Xtal")</f>
        <v>NoXtal</v>
      </c>
      <c r="B244" t="s">
        <v>310</v>
      </c>
      <c r="C244" s="1" t="s">
        <v>914</v>
      </c>
      <c r="D244" t="s">
        <v>914</v>
      </c>
      <c r="E244" s="28" t="str">
        <f>VLOOKUP(B244,Classification!$A:$D,2,FALSE)</f>
        <v>A</v>
      </c>
      <c r="F244" s="49" t="str">
        <f>VLOOKUP(C244,Classification!$A:$D,2,FALSE)</f>
        <v>A</v>
      </c>
      <c r="G244" s="15" t="str">
        <f>VLOOKUP(D244,Classification!$A:$D,2,FALSE)</f>
        <v>A</v>
      </c>
      <c r="H244" s="15" t="b">
        <f t="shared" si="3"/>
        <v>1</v>
      </c>
      <c r="K244" s="3"/>
    </row>
    <row r="245" spans="1:11" x14ac:dyDescent="0.2">
      <c r="A245" s="10" t="str">
        <f>IF(ISERROR(MATCH(B245,'SegEnds_Xtal_Prot#'!B:B, 0)), "NoXtal", "Xtal")</f>
        <v>NoXtal</v>
      </c>
      <c r="B245" t="s">
        <v>216</v>
      </c>
      <c r="C245" s="1" t="s">
        <v>133</v>
      </c>
      <c r="D245" t="s">
        <v>914</v>
      </c>
      <c r="E245" s="28" t="str">
        <f>VLOOKUP(B245,Classification!$A:$D,2,FALSE)</f>
        <v>A</v>
      </c>
      <c r="F245" s="49" t="str">
        <f>VLOOKUP(C245,Classification!$A:$D,2,FALSE)</f>
        <v>A</v>
      </c>
      <c r="G245" s="15" t="str">
        <f>VLOOKUP(D245,Classification!$A:$D,2,FALSE)</f>
        <v>A</v>
      </c>
      <c r="H245" s="15" t="b">
        <f t="shared" si="3"/>
        <v>1</v>
      </c>
      <c r="K245" s="3"/>
    </row>
    <row r="246" spans="1:11" x14ac:dyDescent="0.2">
      <c r="A246" s="10" t="str">
        <f>IF(ISERROR(MATCH(B246,'SegEnds_Xtal_Prot#'!B:B, 0)), "NoXtal", "Xtal")</f>
        <v>NoXtal</v>
      </c>
      <c r="B246" t="s">
        <v>318</v>
      </c>
      <c r="C246" s="1" t="s">
        <v>914</v>
      </c>
      <c r="D246" t="s">
        <v>914</v>
      </c>
      <c r="E246" s="28" t="str">
        <f>VLOOKUP(B246,Classification!$A:$D,2,FALSE)</f>
        <v>A</v>
      </c>
      <c r="F246" s="49" t="str">
        <f>VLOOKUP(C246,Classification!$A:$D,2,FALSE)</f>
        <v>A</v>
      </c>
      <c r="G246" s="15" t="str">
        <f>VLOOKUP(D246,Classification!$A:$D,2,FALSE)</f>
        <v>A</v>
      </c>
      <c r="H246" s="15" t="b">
        <f t="shared" si="3"/>
        <v>1</v>
      </c>
      <c r="K246" s="3"/>
    </row>
    <row r="247" spans="1:11" x14ac:dyDescent="0.2">
      <c r="A247" s="10" t="str">
        <f>IF(ISERROR(MATCH(B247,'SegEnds_Xtal_Prot#'!B:B, 0)), "NoXtal", "Xtal")</f>
        <v>NoXtal</v>
      </c>
      <c r="B247" t="s">
        <v>319</v>
      </c>
      <c r="C247" s="1" t="s">
        <v>914</v>
      </c>
      <c r="D247" t="s">
        <v>914</v>
      </c>
      <c r="E247" s="28" t="str">
        <f>VLOOKUP(B247,Classification!$A:$D,2,FALSE)</f>
        <v>A</v>
      </c>
      <c r="F247" s="49" t="str">
        <f>VLOOKUP(C247,Classification!$A:$D,2,FALSE)</f>
        <v>A</v>
      </c>
      <c r="G247" s="15" t="str">
        <f>VLOOKUP(D247,Classification!$A:$D,2,FALSE)</f>
        <v>A</v>
      </c>
      <c r="H247" s="15" t="b">
        <f t="shared" si="3"/>
        <v>1</v>
      </c>
      <c r="K247" s="3"/>
    </row>
    <row r="248" spans="1:11" x14ac:dyDescent="0.2">
      <c r="A248" s="10" t="str">
        <f>IF(ISERROR(MATCH(B248,'SegEnds_Xtal_Prot#'!B:B, 0)), "NoXtal", "Xtal")</f>
        <v>NoXtal</v>
      </c>
      <c r="B248" t="s">
        <v>256</v>
      </c>
      <c r="C248" s="1" t="s">
        <v>914</v>
      </c>
      <c r="D248" t="s">
        <v>914</v>
      </c>
      <c r="E248" s="28" t="str">
        <f>VLOOKUP(B248,Classification!$A:$D,2,FALSE)</f>
        <v>A</v>
      </c>
      <c r="F248" s="49" t="str">
        <f>VLOOKUP(C248,Classification!$A:$D,2,FALSE)</f>
        <v>A</v>
      </c>
      <c r="G248" s="15" t="str">
        <f>VLOOKUP(D248,Classification!$A:$D,2,FALSE)</f>
        <v>A</v>
      </c>
      <c r="H248" s="15" t="b">
        <f t="shared" si="3"/>
        <v>1</v>
      </c>
      <c r="K248" s="3"/>
    </row>
    <row r="249" spans="1:11" x14ac:dyDescent="0.2">
      <c r="A249" s="10" t="str">
        <f>IF(ISERROR(MATCH(B249,'SegEnds_Xtal_Prot#'!B:B, 0)), "NoXtal", "Xtal")</f>
        <v>NoXtal</v>
      </c>
      <c r="B249" t="s">
        <v>224</v>
      </c>
      <c r="C249" s="1" t="s">
        <v>914</v>
      </c>
      <c r="D249" t="s">
        <v>914</v>
      </c>
      <c r="E249" s="28" t="str">
        <f>VLOOKUP(B249,Classification!$A:$D,2,FALSE)</f>
        <v>A</v>
      </c>
      <c r="F249" s="49" t="str">
        <f>VLOOKUP(C249,Classification!$A:$D,2,FALSE)</f>
        <v>A</v>
      </c>
      <c r="G249" s="15" t="str">
        <f>VLOOKUP(D249,Classification!$A:$D,2,FALSE)</f>
        <v>A</v>
      </c>
      <c r="H249" s="15" t="b">
        <f t="shared" si="3"/>
        <v>1</v>
      </c>
      <c r="K249" s="3"/>
    </row>
    <row r="250" spans="1:11" x14ac:dyDescent="0.2">
      <c r="A250" s="10" t="str">
        <f>IF(ISERROR(MATCH(B250,'SegEnds_Xtal_Prot#'!B:B, 0)), "NoXtal", "Xtal")</f>
        <v>NoXtal</v>
      </c>
      <c r="B250" t="s">
        <v>321</v>
      </c>
      <c r="C250" s="1" t="s">
        <v>335</v>
      </c>
      <c r="D250" t="s">
        <v>916</v>
      </c>
      <c r="E250" s="28" t="str">
        <f>VLOOKUP(B250,Classification!$A:$D,2,FALSE)</f>
        <v>A</v>
      </c>
      <c r="F250" s="49" t="str">
        <f>VLOOKUP(C250,Classification!$A:$D,2,FALSE)</f>
        <v>A</v>
      </c>
      <c r="G250" s="15" t="str">
        <f>VLOOKUP(D250,Classification!$A:$D,2,FALSE)</f>
        <v>A</v>
      </c>
      <c r="H250" s="15" t="b">
        <f t="shared" si="3"/>
        <v>1</v>
      </c>
      <c r="K250" s="3"/>
    </row>
    <row r="251" spans="1:11" x14ac:dyDescent="0.2">
      <c r="A251" s="10" t="str">
        <f>IF(ISERROR(MATCH(B251,'SegEnds_Xtal_Prot#'!B:B, 0)), "NoXtal", "Xtal")</f>
        <v>NoXtal</v>
      </c>
      <c r="B251" t="s">
        <v>268</v>
      </c>
      <c r="C251" s="1" t="s">
        <v>335</v>
      </c>
      <c r="D251" t="s">
        <v>916</v>
      </c>
      <c r="E251" s="28" t="str">
        <f>VLOOKUP(B251,Classification!$A:$D,2,FALSE)</f>
        <v>A</v>
      </c>
      <c r="F251" s="49" t="str">
        <f>VLOOKUP(C251,Classification!$A:$D,2,FALSE)</f>
        <v>A</v>
      </c>
      <c r="G251" s="15" t="str">
        <f>VLOOKUP(D251,Classification!$A:$D,2,FALSE)</f>
        <v>A</v>
      </c>
      <c r="H251" s="15" t="b">
        <f t="shared" si="3"/>
        <v>1</v>
      </c>
      <c r="K251" s="3"/>
    </row>
    <row r="252" spans="1:11" x14ac:dyDescent="0.2">
      <c r="A252" s="10" t="str">
        <f>IF(ISERROR(MATCH(B252,'SegEnds_Xtal_Prot#'!B:B, 0)), "NoXtal", "Xtal")</f>
        <v>NoXtal</v>
      </c>
      <c r="B252" t="s">
        <v>300</v>
      </c>
      <c r="C252" s="1" t="s">
        <v>335</v>
      </c>
      <c r="D252" t="s">
        <v>916</v>
      </c>
      <c r="E252" s="28" t="str">
        <f>VLOOKUP(B252,Classification!$A:$D,2,FALSE)</f>
        <v>A</v>
      </c>
      <c r="F252" s="49" t="str">
        <f>VLOOKUP(C252,Classification!$A:$D,2,FALSE)</f>
        <v>A</v>
      </c>
      <c r="G252" s="15" t="str">
        <f>VLOOKUP(D252,Classification!$A:$D,2,FALSE)</f>
        <v>A</v>
      </c>
      <c r="H252" s="15" t="b">
        <f t="shared" si="3"/>
        <v>1</v>
      </c>
      <c r="K252" s="3"/>
    </row>
    <row r="253" spans="1:11" x14ac:dyDescent="0.2">
      <c r="A253" s="10" t="str">
        <f>IF(ISERROR(MATCH(B253,'SegEnds_Xtal_Prot#'!B:B, 0)), "NoXtal", "Xtal")</f>
        <v>Xtal</v>
      </c>
      <c r="B253" s="1" t="s">
        <v>335</v>
      </c>
      <c r="C253" s="1" t="s">
        <v>335</v>
      </c>
      <c r="D253" s="1" t="s">
        <v>335</v>
      </c>
      <c r="E253" s="28" t="str">
        <f>VLOOKUP(B253,Classification!$A:$D,2,FALSE)</f>
        <v>A</v>
      </c>
      <c r="F253" s="49" t="str">
        <f>VLOOKUP(C253,Classification!$A:$D,2,FALSE)</f>
        <v>A</v>
      </c>
      <c r="G253" s="15" t="str">
        <f>VLOOKUP(D253,Classification!$A:$D,2,FALSE)</f>
        <v>A</v>
      </c>
      <c r="H253" s="15" t="b">
        <f t="shared" si="3"/>
        <v>1</v>
      </c>
      <c r="I253" s="1"/>
      <c r="K253" s="3"/>
    </row>
    <row r="254" spans="1:11" x14ac:dyDescent="0.2">
      <c r="A254" s="10" t="str">
        <f>IF(ISERROR(MATCH(B254,'SegEnds_Xtal_Prot#'!B:B, 0)), "NoXtal", "Xtal")</f>
        <v>Xtal</v>
      </c>
      <c r="B254" t="s">
        <v>916</v>
      </c>
      <c r="C254" s="1" t="s">
        <v>335</v>
      </c>
      <c r="D254" t="s">
        <v>916</v>
      </c>
      <c r="E254" s="28" t="str">
        <f>VLOOKUP(B254,Classification!$A:$D,2,FALSE)</f>
        <v>A</v>
      </c>
      <c r="F254" s="49" t="str">
        <f>VLOOKUP(C254,Classification!$A:$D,2,FALSE)</f>
        <v>A</v>
      </c>
      <c r="G254" s="15" t="str">
        <f>VLOOKUP(D254,Classification!$A:$D,2,FALSE)</f>
        <v>A</v>
      </c>
      <c r="H254" s="15" t="b">
        <f t="shared" si="3"/>
        <v>1</v>
      </c>
      <c r="K254" s="3"/>
    </row>
    <row r="255" spans="1:11" x14ac:dyDescent="0.2">
      <c r="A255" s="10" t="str">
        <f>IF(ISERROR(MATCH(B255,'SegEnds_Xtal_Prot#'!B:B, 0)), "NoXtal", "Xtal")</f>
        <v>NoXtal</v>
      </c>
      <c r="B255" t="s">
        <v>384</v>
      </c>
      <c r="C255" s="1" t="s">
        <v>336</v>
      </c>
      <c r="D255" t="s">
        <v>916</v>
      </c>
      <c r="E255" s="28" t="str">
        <f>VLOOKUP(B255,Classification!$A:$D,2,FALSE)</f>
        <v>A</v>
      </c>
      <c r="F255" s="49" t="str">
        <f>VLOOKUP(C255,Classification!$A:$D,2,FALSE)</f>
        <v>A</v>
      </c>
      <c r="G255" s="15" t="str">
        <f>VLOOKUP(D255,Classification!$A:$D,2,FALSE)</f>
        <v>A</v>
      </c>
      <c r="H255" s="15" t="b">
        <f t="shared" si="3"/>
        <v>1</v>
      </c>
      <c r="K255" s="3"/>
    </row>
    <row r="256" spans="1:11" x14ac:dyDescent="0.2">
      <c r="A256" s="10" t="str">
        <f>IF(ISERROR(MATCH(B256,'SegEnds_Xtal_Prot#'!B:B, 0)), "NoXtal", "Xtal")</f>
        <v>NoXtal</v>
      </c>
      <c r="B256" t="s">
        <v>360</v>
      </c>
      <c r="C256" s="1" t="s">
        <v>159</v>
      </c>
      <c r="D256" t="s">
        <v>916</v>
      </c>
      <c r="E256" s="28" t="str">
        <f>VLOOKUP(B256,Classification!$A:$D,2,FALSE)</f>
        <v>A</v>
      </c>
      <c r="F256" s="49" t="str">
        <f>VLOOKUP(C256,Classification!$A:$D,2,FALSE)</f>
        <v>A</v>
      </c>
      <c r="G256" s="15" t="str">
        <f>VLOOKUP(D256,Classification!$A:$D,2,FALSE)</f>
        <v>A</v>
      </c>
      <c r="H256" s="15" t="b">
        <f t="shared" si="3"/>
        <v>1</v>
      </c>
      <c r="K256" s="3"/>
    </row>
    <row r="257" spans="1:11" x14ac:dyDescent="0.2">
      <c r="A257" s="10" t="str">
        <f>IF(ISERROR(MATCH(B257,'SegEnds_Xtal_Prot#'!B:B, 0)), "NoXtal", "Xtal")</f>
        <v>NoXtal</v>
      </c>
      <c r="B257" t="s">
        <v>200</v>
      </c>
      <c r="C257" s="1" t="s">
        <v>1176</v>
      </c>
      <c r="D257" t="s">
        <v>336</v>
      </c>
      <c r="E257" s="28" t="str">
        <f>VLOOKUP(B257,Classification!$A:$D,2,FALSE)</f>
        <v>A</v>
      </c>
      <c r="F257" s="49" t="str">
        <f>VLOOKUP(C257,Classification!$A:$D,2,FALSE)</f>
        <v>A</v>
      </c>
      <c r="G257" s="15" t="str">
        <f>VLOOKUP(D257,Classification!$A:$D,2,FALSE)</f>
        <v>A</v>
      </c>
      <c r="H257" s="15" t="b">
        <f t="shared" si="3"/>
        <v>1</v>
      </c>
      <c r="K257" s="3"/>
    </row>
    <row r="258" spans="1:11" x14ac:dyDescent="0.2">
      <c r="A258" s="10" t="str">
        <f>IF(ISERROR(MATCH(B258,'SegEnds_Xtal_Prot#'!B:B, 0)), "NoXtal", "Xtal")</f>
        <v>NoXtal</v>
      </c>
      <c r="B258" t="s">
        <v>251</v>
      </c>
      <c r="C258" s="1" t="s">
        <v>336</v>
      </c>
      <c r="D258" t="s">
        <v>336</v>
      </c>
      <c r="E258" s="28" t="str">
        <f>VLOOKUP(B258,Classification!$A:$D,2,FALSE)</f>
        <v>A</v>
      </c>
      <c r="F258" s="49" t="str">
        <f>VLOOKUP(C258,Classification!$A:$D,2,FALSE)</f>
        <v>A</v>
      </c>
      <c r="G258" s="15" t="str">
        <f>VLOOKUP(D258,Classification!$A:$D,2,FALSE)</f>
        <v>A</v>
      </c>
      <c r="H258" s="15" t="b">
        <f t="shared" si="3"/>
        <v>1</v>
      </c>
      <c r="K258" s="3"/>
    </row>
    <row r="259" spans="1:11" x14ac:dyDescent="0.2">
      <c r="A259" s="10" t="str">
        <f>IF(ISERROR(MATCH(B259,'SegEnds_Xtal_Prot#'!B:B, 0)), "NoXtal", "Xtal")</f>
        <v>NoXtal</v>
      </c>
      <c r="B259" t="s">
        <v>164</v>
      </c>
      <c r="C259" s="1" t="s">
        <v>165</v>
      </c>
      <c r="D259" t="s">
        <v>336</v>
      </c>
      <c r="E259" s="28" t="str">
        <f>VLOOKUP(B259,Classification!$A:$D,2,FALSE)</f>
        <v>A</v>
      </c>
      <c r="F259" s="49" t="str">
        <f>VLOOKUP(C259,Classification!$A:$D,2,FALSE)</f>
        <v>A</v>
      </c>
      <c r="G259" s="15" t="str">
        <f>VLOOKUP(D259,Classification!$A:$D,2,FALSE)</f>
        <v>A</v>
      </c>
      <c r="H259" s="15" t="b">
        <f t="shared" ref="H259:H322" si="4">OR(E259=G259,AND(E259="T",G259="A"),AND(E259="B2",G259="B1"),E259="O")</f>
        <v>1</v>
      </c>
      <c r="K259" s="3"/>
    </row>
    <row r="260" spans="1:11" x14ac:dyDescent="0.2">
      <c r="A260" s="10" t="str">
        <f>IF(ISERROR(MATCH(B260,'SegEnds_Xtal_Prot#'!B:B, 0)), "NoXtal", "Xtal")</f>
        <v>NoXtal</v>
      </c>
      <c r="B260" t="s">
        <v>308</v>
      </c>
      <c r="C260" s="1" t="s">
        <v>356</v>
      </c>
      <c r="D260" t="s">
        <v>336</v>
      </c>
      <c r="E260" s="28" t="str">
        <f>VLOOKUP(B260,Classification!$A:$D,2,FALSE)</f>
        <v>A</v>
      </c>
      <c r="F260" s="49" t="str">
        <f>VLOOKUP(C260,Classification!$A:$D,2,FALSE)</f>
        <v>A</v>
      </c>
      <c r="G260" s="15" t="str">
        <f>VLOOKUP(D260,Classification!$A:$D,2,FALSE)</f>
        <v>A</v>
      </c>
      <c r="H260" s="15" t="b">
        <f t="shared" si="4"/>
        <v>1</v>
      </c>
      <c r="K260" s="3"/>
    </row>
    <row r="261" spans="1:11" x14ac:dyDescent="0.2">
      <c r="A261" s="10" t="str">
        <f>IF(ISERROR(MATCH(B261,'SegEnds_Xtal_Prot#'!B:B, 0)), "NoXtal", "Xtal")</f>
        <v>Xtal</v>
      </c>
      <c r="B261" t="s">
        <v>336</v>
      </c>
      <c r="C261" s="1" t="s">
        <v>336</v>
      </c>
      <c r="D261" t="s">
        <v>336</v>
      </c>
      <c r="E261" s="28" t="str">
        <f>VLOOKUP(B261,Classification!$A:$D,2,FALSE)</f>
        <v>A</v>
      </c>
      <c r="F261" s="49" t="str">
        <f>VLOOKUP(C261,Classification!$A:$D,2,FALSE)</f>
        <v>A</v>
      </c>
      <c r="G261" s="15" t="str">
        <f>VLOOKUP(D261,Classification!$A:$D,2,FALSE)</f>
        <v>A</v>
      </c>
      <c r="H261" s="15" t="b">
        <f t="shared" si="4"/>
        <v>1</v>
      </c>
      <c r="K261" s="3"/>
    </row>
    <row r="262" spans="1:11" x14ac:dyDescent="0.2">
      <c r="A262" s="10" t="str">
        <f>IF(ISERROR(MATCH(B262,'SegEnds_Xtal_Prot#'!B:B, 0)), "NoXtal", "Xtal")</f>
        <v>NoXtal</v>
      </c>
      <c r="B262" t="s">
        <v>342</v>
      </c>
      <c r="C262" s="1" t="s">
        <v>336</v>
      </c>
      <c r="D262" t="s">
        <v>336</v>
      </c>
      <c r="E262" s="28" t="str">
        <f>VLOOKUP(B262,Classification!$A:$D,2,FALSE)</f>
        <v>A</v>
      </c>
      <c r="F262" s="49" t="str">
        <f>VLOOKUP(C262,Classification!$A:$D,2,FALSE)</f>
        <v>A</v>
      </c>
      <c r="G262" s="15" t="str">
        <f>VLOOKUP(D262,Classification!$A:$D,2,FALSE)</f>
        <v>A</v>
      </c>
      <c r="H262" s="15" t="b">
        <f t="shared" si="4"/>
        <v>1</v>
      </c>
      <c r="K262" s="3"/>
    </row>
    <row r="263" spans="1:11" x14ac:dyDescent="0.2">
      <c r="A263" s="10" t="str">
        <f>IF(ISERROR(MATCH(B263,'SegEnds_Xtal_Prot#'!B:B, 0)), "NoXtal", "Xtal")</f>
        <v>NoXtal</v>
      </c>
      <c r="B263" t="s">
        <v>205</v>
      </c>
      <c r="C263" s="1" t="s">
        <v>336</v>
      </c>
      <c r="D263" t="s">
        <v>918</v>
      </c>
      <c r="E263" s="28" t="str">
        <f>VLOOKUP(B263,Classification!$A:$D,2,FALSE)</f>
        <v>A</v>
      </c>
      <c r="F263" s="49" t="str">
        <f>VLOOKUP(C263,Classification!$A:$D,2,FALSE)</f>
        <v>A</v>
      </c>
      <c r="G263" s="15" t="str">
        <f>VLOOKUP(D263,Classification!$A:$D,2,FALSE)</f>
        <v>A</v>
      </c>
      <c r="H263" s="15" t="b">
        <f t="shared" si="4"/>
        <v>1</v>
      </c>
      <c r="K263" s="3"/>
    </row>
    <row r="264" spans="1:11" x14ac:dyDescent="0.2">
      <c r="A264" s="10" t="str">
        <f>IF(ISERROR(MATCH(B264,'SegEnds_Xtal_Prot#'!B:B, 0)), "NoXtal", "Xtal")</f>
        <v>NoXtal</v>
      </c>
      <c r="B264" t="s">
        <v>382</v>
      </c>
      <c r="C264" s="1" t="s">
        <v>336</v>
      </c>
      <c r="D264" t="s">
        <v>918</v>
      </c>
      <c r="E264" s="28" t="str">
        <f>VLOOKUP(B264,Classification!$A:$D,2,FALSE)</f>
        <v>A</v>
      </c>
      <c r="F264" s="49" t="str">
        <f>VLOOKUP(C264,Classification!$A:$D,2,FALSE)</f>
        <v>A</v>
      </c>
      <c r="G264" s="15" t="str">
        <f>VLOOKUP(D264,Classification!$A:$D,2,FALSE)</f>
        <v>A</v>
      </c>
      <c r="H264" s="15" t="b">
        <f t="shared" si="4"/>
        <v>1</v>
      </c>
      <c r="K264" s="3"/>
    </row>
    <row r="265" spans="1:11" x14ac:dyDescent="0.2">
      <c r="A265" s="10" t="str">
        <f>IF(ISERROR(MATCH(B265,'SegEnds_Xtal_Prot#'!B:B, 0)), "NoXtal", "Xtal")</f>
        <v>NoXtal</v>
      </c>
      <c r="B265" t="s">
        <v>385</v>
      </c>
      <c r="C265" s="1" t="s">
        <v>336</v>
      </c>
      <c r="D265" t="s">
        <v>918</v>
      </c>
      <c r="E265" s="28" t="str">
        <f>VLOOKUP(B265,Classification!$A:$D,2,FALSE)</f>
        <v>A</v>
      </c>
      <c r="F265" s="49" t="str">
        <f>VLOOKUP(C265,Classification!$A:$D,2,FALSE)</f>
        <v>A</v>
      </c>
      <c r="G265" s="15" t="str">
        <f>VLOOKUP(D265,Classification!$A:$D,2,FALSE)</f>
        <v>A</v>
      </c>
      <c r="H265" s="15" t="b">
        <f t="shared" si="4"/>
        <v>1</v>
      </c>
      <c r="K265" s="3"/>
    </row>
    <row r="266" spans="1:11" x14ac:dyDescent="0.2">
      <c r="A266" s="10" t="str">
        <f>IF(ISERROR(MATCH(B266,'SegEnds_Xtal_Prot#'!B:B, 0)), "NoXtal", "Xtal")</f>
        <v>Xtal</v>
      </c>
      <c r="B266" t="s">
        <v>918</v>
      </c>
      <c r="C266" s="1" t="s">
        <v>918</v>
      </c>
      <c r="D266" t="s">
        <v>918</v>
      </c>
      <c r="E266" s="28" t="str">
        <f>VLOOKUP(B266,Classification!$A:$D,2,FALSE)</f>
        <v>A</v>
      </c>
      <c r="F266" s="49" t="str">
        <f>VLOOKUP(C266,Classification!$A:$D,2,FALSE)</f>
        <v>A</v>
      </c>
      <c r="G266" s="15" t="str">
        <f>VLOOKUP(D266,Classification!$A:$D,2,FALSE)</f>
        <v>A</v>
      </c>
      <c r="H266" s="15" t="b">
        <f t="shared" si="4"/>
        <v>1</v>
      </c>
      <c r="K266" s="3"/>
    </row>
    <row r="267" spans="1:11" x14ac:dyDescent="0.2">
      <c r="A267" s="10" t="str">
        <f>IF(ISERROR(MATCH(B267,'SegEnds_Xtal_Prot#'!B:B, 0)), "NoXtal", "Xtal")</f>
        <v>NoXtal</v>
      </c>
      <c r="B267" t="s">
        <v>337</v>
      </c>
      <c r="C267" s="1" t="s">
        <v>918</v>
      </c>
      <c r="D267" t="s">
        <v>918</v>
      </c>
      <c r="E267" s="28" t="str">
        <f>VLOOKUP(B267,Classification!$A:$D,2,FALSE)</f>
        <v>A</v>
      </c>
      <c r="F267" s="49" t="str">
        <f>VLOOKUP(C267,Classification!$A:$D,2,FALSE)</f>
        <v>A</v>
      </c>
      <c r="G267" s="15" t="str">
        <f>VLOOKUP(D267,Classification!$A:$D,2,FALSE)</f>
        <v>A</v>
      </c>
      <c r="H267" s="15" t="b">
        <f t="shared" si="4"/>
        <v>1</v>
      </c>
      <c r="K267" s="3"/>
    </row>
    <row r="268" spans="1:11" x14ac:dyDescent="0.2">
      <c r="A268" s="10" t="str">
        <f>IF(ISERROR(MATCH(B268,'SegEnds_Xtal_Prot#'!B:B, 0)), "NoXtal", "Xtal")</f>
        <v>NoXtal</v>
      </c>
      <c r="B268" t="s">
        <v>381</v>
      </c>
      <c r="C268" s="1" t="s">
        <v>336</v>
      </c>
      <c r="D268" t="s">
        <v>918</v>
      </c>
      <c r="E268" s="28" t="str">
        <f>VLOOKUP(B268,Classification!$A:$D,2,FALSE)</f>
        <v>A</v>
      </c>
      <c r="F268" s="49" t="str">
        <f>VLOOKUP(C268,Classification!$A:$D,2,FALSE)</f>
        <v>A</v>
      </c>
      <c r="G268" s="15" t="str">
        <f>VLOOKUP(D268,Classification!$A:$D,2,FALSE)</f>
        <v>A</v>
      </c>
      <c r="H268" s="15" t="b">
        <f t="shared" si="4"/>
        <v>1</v>
      </c>
      <c r="K268" s="3"/>
    </row>
    <row r="269" spans="1:11" x14ac:dyDescent="0.2">
      <c r="A269" s="10" t="str">
        <f>IF(ISERROR(MATCH(B269,'SegEnds_Xtal_Prot#'!B:B, 0)), "NoXtal", "Xtal")</f>
        <v>NoXtal</v>
      </c>
      <c r="B269" t="s">
        <v>397</v>
      </c>
      <c r="C269" s="1" t="s">
        <v>1176</v>
      </c>
      <c r="D269" t="s">
        <v>918</v>
      </c>
      <c r="E269" s="28" t="str">
        <f>VLOOKUP(B269,Classification!$A:$D,2,FALSE)</f>
        <v>A</v>
      </c>
      <c r="F269" s="49" t="str">
        <f>VLOOKUP(C269,Classification!$A:$D,2,FALSE)</f>
        <v>A</v>
      </c>
      <c r="G269" s="15" t="str">
        <f>VLOOKUP(D269,Classification!$A:$D,2,FALSE)</f>
        <v>A</v>
      </c>
      <c r="H269" s="15" t="b">
        <f t="shared" si="4"/>
        <v>1</v>
      </c>
      <c r="K269" s="3"/>
    </row>
    <row r="270" spans="1:11" x14ac:dyDescent="0.2">
      <c r="A270" s="10" t="str">
        <f>IF(ISERROR(MATCH(B270,'SegEnds_Xtal_Prot#'!B:B, 0)), "NoXtal", "Xtal")</f>
        <v>NoXtal</v>
      </c>
      <c r="B270" t="s">
        <v>207</v>
      </c>
      <c r="C270" s="1" t="s">
        <v>336</v>
      </c>
      <c r="D270" t="s">
        <v>918</v>
      </c>
      <c r="E270" s="28" t="str">
        <f>VLOOKUP(B270,Classification!$A:$D,2,FALSE)</f>
        <v>A</v>
      </c>
      <c r="F270" s="49" t="str">
        <f>VLOOKUP(C270,Classification!$A:$D,2,FALSE)</f>
        <v>A</v>
      </c>
      <c r="G270" s="15" t="str">
        <f>VLOOKUP(D270,Classification!$A:$D,2,FALSE)</f>
        <v>A</v>
      </c>
      <c r="H270" s="15" t="b">
        <f t="shared" si="4"/>
        <v>1</v>
      </c>
      <c r="K270" s="3"/>
    </row>
    <row r="271" spans="1:11" x14ac:dyDescent="0.2">
      <c r="A271" s="10" t="str">
        <f>IF(ISERROR(MATCH(B271,'SegEnds_Xtal_Prot#'!B:B, 0)), "NoXtal", "Xtal")</f>
        <v>NoXtal</v>
      </c>
      <c r="B271" t="s">
        <v>206</v>
      </c>
      <c r="C271" s="1" t="s">
        <v>336</v>
      </c>
      <c r="D271" t="s">
        <v>918</v>
      </c>
      <c r="E271" s="28" t="str">
        <f>VLOOKUP(B271,Classification!$A:$D,2,FALSE)</f>
        <v>A</v>
      </c>
      <c r="F271" s="49" t="str">
        <f>VLOOKUP(C271,Classification!$A:$D,2,FALSE)</f>
        <v>A</v>
      </c>
      <c r="G271" s="15" t="str">
        <f>VLOOKUP(D271,Classification!$A:$D,2,FALSE)</f>
        <v>A</v>
      </c>
      <c r="H271" s="15" t="b">
        <f t="shared" si="4"/>
        <v>1</v>
      </c>
      <c r="K271" s="3"/>
    </row>
    <row r="272" spans="1:11" x14ac:dyDescent="0.2">
      <c r="A272" s="10" t="str">
        <f>IF(ISERROR(MATCH(B272,'SegEnds_Xtal_Prot#'!B:B, 0)), "NoXtal", "Xtal")</f>
        <v>NoXtal</v>
      </c>
      <c r="B272" t="s">
        <v>210</v>
      </c>
      <c r="C272" s="1" t="s">
        <v>160</v>
      </c>
      <c r="D272" t="s">
        <v>918</v>
      </c>
      <c r="E272" s="28" t="str">
        <f>VLOOKUP(B272,Classification!$A:$D,2,FALSE)</f>
        <v>A</v>
      </c>
      <c r="F272" s="49" t="str">
        <f>VLOOKUP(C272,Classification!$A:$D,2,FALSE)</f>
        <v>A</v>
      </c>
      <c r="G272" s="15" t="str">
        <f>VLOOKUP(D272,Classification!$A:$D,2,FALSE)</f>
        <v>A</v>
      </c>
      <c r="H272" s="15" t="b">
        <f t="shared" si="4"/>
        <v>1</v>
      </c>
      <c r="K272" s="3"/>
    </row>
    <row r="273" spans="1:11" x14ac:dyDescent="0.2">
      <c r="A273" s="10" t="str">
        <f>IF(ISERROR(MATCH(B273,'SegEnds_Xtal_Prot#'!B:B, 0)), "NoXtal", "Xtal")</f>
        <v>NoXtal</v>
      </c>
      <c r="B273" t="s">
        <v>217</v>
      </c>
      <c r="C273" s="1" t="s">
        <v>355</v>
      </c>
      <c r="D273" t="s">
        <v>1174</v>
      </c>
      <c r="E273" s="28" t="str">
        <f>VLOOKUP(B273,Classification!$A:$D,2,FALSE)</f>
        <v>A</v>
      </c>
      <c r="F273" s="49" t="str">
        <f>VLOOKUP(C273,Classification!$A:$D,2,FALSE)</f>
        <v>A</v>
      </c>
      <c r="G273" s="15" t="str">
        <f>VLOOKUP(D273,Classification!$A:$D,2,FALSE)</f>
        <v>A</v>
      </c>
      <c r="H273" s="15" t="b">
        <f t="shared" si="4"/>
        <v>1</v>
      </c>
      <c r="K273" s="3"/>
    </row>
    <row r="274" spans="1:11" x14ac:dyDescent="0.2">
      <c r="A274" s="10" t="str">
        <f>IF(ISERROR(MATCH(B274,'SegEnds_Xtal_Prot#'!B:B, 0)), "NoXtal", "Xtal")</f>
        <v>NoXtal</v>
      </c>
      <c r="B274" t="s">
        <v>320</v>
      </c>
      <c r="C274" s="1" t="s">
        <v>335</v>
      </c>
      <c r="D274" t="s">
        <v>1174</v>
      </c>
      <c r="E274" s="28" t="str">
        <f>VLOOKUP(B274,Classification!$A:$D,2,FALSE)</f>
        <v>A</v>
      </c>
      <c r="F274" s="49" t="str">
        <f>VLOOKUP(C274,Classification!$A:$D,2,FALSE)</f>
        <v>A</v>
      </c>
      <c r="G274" s="15" t="str">
        <f>VLOOKUP(D274,Classification!$A:$D,2,FALSE)</f>
        <v>A</v>
      </c>
      <c r="H274" s="15" t="b">
        <f t="shared" si="4"/>
        <v>1</v>
      </c>
      <c r="K274" s="3"/>
    </row>
    <row r="275" spans="1:11" x14ac:dyDescent="0.2">
      <c r="A275" s="10" t="str">
        <f>IF(ISERROR(MATCH(B275,'SegEnds_Xtal_Prot#'!B:B, 0)), "NoXtal", "Xtal")</f>
        <v>NoXtal</v>
      </c>
      <c r="B275" t="s">
        <v>299</v>
      </c>
      <c r="C275" s="1" t="s">
        <v>336</v>
      </c>
      <c r="D275" t="s">
        <v>1174</v>
      </c>
      <c r="E275" s="28" t="str">
        <f>VLOOKUP(B275,Classification!$A:$D,2,FALSE)</f>
        <v>A</v>
      </c>
      <c r="F275" s="49" t="str">
        <f>VLOOKUP(C275,Classification!$A:$D,2,FALSE)</f>
        <v>A</v>
      </c>
      <c r="G275" s="15" t="str">
        <f>VLOOKUP(D275,Classification!$A:$D,2,FALSE)</f>
        <v>A</v>
      </c>
      <c r="H275" s="15" t="b">
        <f t="shared" si="4"/>
        <v>1</v>
      </c>
      <c r="K275" s="3"/>
    </row>
    <row r="276" spans="1:11" x14ac:dyDescent="0.2">
      <c r="A276" s="10" t="str">
        <f>IF(ISERROR(MATCH(B276,'SegEnds_Xtal_Prot#'!B:B, 0)), "NoXtal", "Xtal")</f>
        <v>NoXtal</v>
      </c>
      <c r="B276" t="s">
        <v>399</v>
      </c>
      <c r="C276" s="1" t="s">
        <v>914</v>
      </c>
      <c r="D276" t="s">
        <v>1174</v>
      </c>
      <c r="E276" s="28" t="str">
        <f>VLOOKUP(B276,Classification!$A:$D,2,FALSE)</f>
        <v>A</v>
      </c>
      <c r="F276" s="49" t="str">
        <f>VLOOKUP(C276,Classification!$A:$D,2,FALSE)</f>
        <v>A</v>
      </c>
      <c r="G276" s="15" t="str">
        <f>VLOOKUP(D276,Classification!$A:$D,2,FALSE)</f>
        <v>A</v>
      </c>
      <c r="H276" s="15" t="b">
        <f t="shared" si="4"/>
        <v>1</v>
      </c>
      <c r="K276" s="3"/>
    </row>
    <row r="277" spans="1:11" x14ac:dyDescent="0.2">
      <c r="A277" s="10" t="str">
        <f>IF(ISERROR(MATCH(B277,'SegEnds_Xtal_Prot#'!B:B, 0)), "NoXtal", "Xtal")</f>
        <v>NoXtal</v>
      </c>
      <c r="B277" t="s">
        <v>218</v>
      </c>
      <c r="C277" s="1" t="s">
        <v>133</v>
      </c>
      <c r="D277" t="s">
        <v>1174</v>
      </c>
      <c r="E277" s="28" t="str">
        <f>VLOOKUP(B277,Classification!$A:$D,2,FALSE)</f>
        <v>A</v>
      </c>
      <c r="F277" s="49" t="str">
        <f>VLOOKUP(C277,Classification!$A:$D,2,FALSE)</f>
        <v>A</v>
      </c>
      <c r="G277" s="15" t="str">
        <f>VLOOKUP(D277,Classification!$A:$D,2,FALSE)</f>
        <v>A</v>
      </c>
      <c r="H277" s="15" t="b">
        <f t="shared" si="4"/>
        <v>1</v>
      </c>
      <c r="K277" s="3"/>
    </row>
    <row r="278" spans="1:11" x14ac:dyDescent="0.2">
      <c r="A278" s="10" t="str">
        <f>IF(ISERROR(MATCH(B278,'SegEnds_Xtal_Prot#'!B:B, 0)), "NoXtal", "Xtal")</f>
        <v>Xtal</v>
      </c>
      <c r="B278" t="s">
        <v>1174</v>
      </c>
      <c r="C278" s="1" t="s">
        <v>1174</v>
      </c>
      <c r="D278" t="s">
        <v>1174</v>
      </c>
      <c r="E278" s="28" t="str">
        <f>VLOOKUP(B278,Classification!$A:$D,2,FALSE)</f>
        <v>A</v>
      </c>
      <c r="F278" s="49" t="str">
        <f>VLOOKUP(C278,Classification!$A:$D,2,FALSE)</f>
        <v>A</v>
      </c>
      <c r="G278" s="15" t="str">
        <f>VLOOKUP(D278,Classification!$A:$D,2,FALSE)</f>
        <v>A</v>
      </c>
      <c r="H278" s="15" t="b">
        <f t="shared" si="4"/>
        <v>1</v>
      </c>
      <c r="K278" s="3"/>
    </row>
    <row r="279" spans="1:11" x14ac:dyDescent="0.2">
      <c r="A279" s="10" t="str">
        <f>IF(ISERROR(MATCH(B279,'SegEnds_Xtal_Prot#'!B:B, 0)), "NoXtal", "Xtal")</f>
        <v>NoXtal</v>
      </c>
      <c r="B279" t="s">
        <v>396</v>
      </c>
      <c r="C279" s="1" t="s">
        <v>173</v>
      </c>
      <c r="D279" t="s">
        <v>1174</v>
      </c>
      <c r="E279" s="28" t="str">
        <f>VLOOKUP(B279,Classification!$A:$D,2,FALSE)</f>
        <v>A</v>
      </c>
      <c r="F279" s="49" t="str">
        <f>VLOOKUP(C279,Classification!$A:$D,2,FALSE)</f>
        <v>A</v>
      </c>
      <c r="G279" s="15" t="str">
        <f>VLOOKUP(D279,Classification!$A:$D,2,FALSE)</f>
        <v>A</v>
      </c>
      <c r="H279" s="15" t="b">
        <f t="shared" si="4"/>
        <v>1</v>
      </c>
      <c r="K279" s="3"/>
    </row>
    <row r="280" spans="1:11" x14ac:dyDescent="0.2">
      <c r="A280" s="10" t="str">
        <f>IF(ISERROR(MATCH(B280,'SegEnds_Xtal_Prot#'!B:B, 0)), "NoXtal", "Xtal")</f>
        <v>NoXtal</v>
      </c>
      <c r="B280" t="s">
        <v>282</v>
      </c>
      <c r="C280" s="1" t="s">
        <v>336</v>
      </c>
      <c r="D280" t="s">
        <v>1174</v>
      </c>
      <c r="E280" s="28" t="str">
        <f>VLOOKUP(B280,Classification!$A:$D,2,FALSE)</f>
        <v>A</v>
      </c>
      <c r="F280" s="49" t="str">
        <f>VLOOKUP(C280,Classification!$A:$D,2,FALSE)</f>
        <v>A</v>
      </c>
      <c r="G280" s="15" t="str">
        <f>VLOOKUP(D280,Classification!$A:$D,2,FALSE)</f>
        <v>A</v>
      </c>
      <c r="H280" s="15" t="b">
        <f t="shared" si="4"/>
        <v>1</v>
      </c>
      <c r="K280" s="3"/>
    </row>
    <row r="281" spans="1:11" x14ac:dyDescent="0.2">
      <c r="A281" s="10" t="str">
        <f>IF(ISERROR(MATCH(B281,'SegEnds_Xtal_Prot#'!B:B, 0)), "NoXtal", "Xtal")</f>
        <v>NoXtal</v>
      </c>
      <c r="B281" t="s">
        <v>394</v>
      </c>
      <c r="C281" s="1" t="s">
        <v>1174</v>
      </c>
      <c r="D281" t="s">
        <v>1174</v>
      </c>
      <c r="E281" s="28" t="str">
        <f>VLOOKUP(B281,Classification!$A:$D,2,FALSE)</f>
        <v>A</v>
      </c>
      <c r="F281" s="49" t="str">
        <f>VLOOKUP(C281,Classification!$A:$D,2,FALSE)</f>
        <v>A</v>
      </c>
      <c r="G281" s="15" t="str">
        <f>VLOOKUP(D281,Classification!$A:$D,2,FALSE)</f>
        <v>A</v>
      </c>
      <c r="H281" s="15" t="b">
        <f t="shared" si="4"/>
        <v>1</v>
      </c>
      <c r="K281" s="3"/>
    </row>
    <row r="282" spans="1:11" x14ac:dyDescent="0.2">
      <c r="A282" s="10" t="str">
        <f>IF(ISERROR(MATCH(B282,'SegEnds_Xtal_Prot#'!B:B, 0)), "NoXtal", "Xtal")</f>
        <v>NoXtal</v>
      </c>
      <c r="B282" t="s">
        <v>398</v>
      </c>
      <c r="C282" s="1" t="s">
        <v>914</v>
      </c>
      <c r="D282" t="s">
        <v>1174</v>
      </c>
      <c r="E282" s="28" t="str">
        <f>VLOOKUP(B282,Classification!$A:$D,2,FALSE)</f>
        <v>A</v>
      </c>
      <c r="F282" s="49" t="str">
        <f>VLOOKUP(C282,Classification!$A:$D,2,FALSE)</f>
        <v>A</v>
      </c>
      <c r="G282" s="15" t="str">
        <f>VLOOKUP(D282,Classification!$A:$D,2,FALSE)</f>
        <v>A</v>
      </c>
      <c r="H282" s="15" t="b">
        <f t="shared" si="4"/>
        <v>1</v>
      </c>
      <c r="K282" s="3"/>
    </row>
    <row r="283" spans="1:11" x14ac:dyDescent="0.2">
      <c r="A283" s="10" t="str">
        <f>IF(ISERROR(MATCH(B283,'SegEnds_Xtal_Prot#'!B:B, 0)), "NoXtal", "Xtal")</f>
        <v>NoXtal</v>
      </c>
      <c r="B283" t="s">
        <v>383</v>
      </c>
      <c r="C283" s="1" t="s">
        <v>336</v>
      </c>
      <c r="D283" t="s">
        <v>1174</v>
      </c>
      <c r="E283" s="28" t="str">
        <f>VLOOKUP(B283,Classification!$A:$D,2,FALSE)</f>
        <v>A</v>
      </c>
      <c r="F283" s="49" t="str">
        <f>VLOOKUP(C283,Classification!$A:$D,2,FALSE)</f>
        <v>A</v>
      </c>
      <c r="G283" s="15" t="str">
        <f>VLOOKUP(D283,Classification!$A:$D,2,FALSE)</f>
        <v>A</v>
      </c>
      <c r="H283" s="15" t="b">
        <f t="shared" si="4"/>
        <v>1</v>
      </c>
      <c r="K283" s="3"/>
    </row>
    <row r="284" spans="1:11" x14ac:dyDescent="0.2">
      <c r="A284" s="10" t="str">
        <f>IF(ISERROR(MATCH(B284,'SegEnds_Xtal_Prot#'!B:B, 0)), "NoXtal", "Xtal")</f>
        <v>Xtal</v>
      </c>
      <c r="B284" t="s">
        <v>920</v>
      </c>
      <c r="C284" s="1" t="s">
        <v>920</v>
      </c>
      <c r="D284" t="s">
        <v>920</v>
      </c>
      <c r="E284" s="28" t="str">
        <f>VLOOKUP(B284,Classification!$A:$D,2,FALSE)</f>
        <v>A</v>
      </c>
      <c r="F284" s="49" t="str">
        <f>VLOOKUP(C284,Classification!$A:$D,2,FALSE)</f>
        <v>A</v>
      </c>
      <c r="G284" s="15" t="str">
        <f>VLOOKUP(D284,Classification!$A:$D,2,FALSE)</f>
        <v>A</v>
      </c>
      <c r="H284" s="15" t="b">
        <f t="shared" si="4"/>
        <v>1</v>
      </c>
      <c r="K284" s="3"/>
    </row>
    <row r="285" spans="1:11" x14ac:dyDescent="0.2">
      <c r="A285" s="10" t="str">
        <f>IF(ISERROR(MATCH(B285,'SegEnds_Xtal_Prot#'!B:B, 0)), "NoXtal", "Xtal")</f>
        <v>NoXtal</v>
      </c>
      <c r="B285" t="s">
        <v>332</v>
      </c>
      <c r="C285" s="1" t="s">
        <v>920</v>
      </c>
      <c r="D285" t="s">
        <v>920</v>
      </c>
      <c r="E285" s="28" t="str">
        <f>VLOOKUP(B285,Classification!$A:$D,2,FALSE)</f>
        <v>A</v>
      </c>
      <c r="F285" s="49" t="str">
        <f>VLOOKUP(C285,Classification!$A:$D,2,FALSE)</f>
        <v>A</v>
      </c>
      <c r="G285" s="15" t="str">
        <f>VLOOKUP(D285,Classification!$A:$D,2,FALSE)</f>
        <v>A</v>
      </c>
      <c r="H285" s="15" t="b">
        <f t="shared" si="4"/>
        <v>1</v>
      </c>
      <c r="K285" s="3"/>
    </row>
    <row r="286" spans="1:11" x14ac:dyDescent="0.2">
      <c r="A286" s="10" t="str">
        <f>IF(ISERROR(MATCH(B286,'SegEnds_Xtal_Prot#'!B:B, 0)), "NoXtal", "Xtal")</f>
        <v>Xtal</v>
      </c>
      <c r="B286" t="s">
        <v>339</v>
      </c>
      <c r="C286" s="1" t="s">
        <v>339</v>
      </c>
      <c r="D286" t="s">
        <v>339</v>
      </c>
      <c r="E286" s="28" t="str">
        <f>VLOOKUP(B286,Classification!$A:$D,2,FALSE)</f>
        <v>A</v>
      </c>
      <c r="F286" s="49" t="str">
        <f>VLOOKUP(C286,Classification!$A:$D,2,FALSE)</f>
        <v>A</v>
      </c>
      <c r="G286" s="15" t="str">
        <f>VLOOKUP(D286,Classification!$A:$D,2,FALSE)</f>
        <v>A</v>
      </c>
      <c r="H286" s="15" t="b">
        <f t="shared" si="4"/>
        <v>1</v>
      </c>
      <c r="K286" s="3"/>
    </row>
    <row r="287" spans="1:11" x14ac:dyDescent="0.2">
      <c r="A287" s="10" t="str">
        <f>IF(ISERROR(MATCH(B287,'SegEnds_Xtal_Prot#'!B:B, 0)), "NoXtal", "Xtal")</f>
        <v>NoXtal</v>
      </c>
      <c r="B287" t="s">
        <v>340</v>
      </c>
      <c r="C287" s="1" t="s">
        <v>339</v>
      </c>
      <c r="D287" t="s">
        <v>339</v>
      </c>
      <c r="E287" s="28" t="str">
        <f>VLOOKUP(B287,Classification!$A:$D,2,FALSE)</f>
        <v>A</v>
      </c>
      <c r="F287" s="49" t="str">
        <f>VLOOKUP(C287,Classification!$A:$D,2,FALSE)</f>
        <v>A</v>
      </c>
      <c r="G287" s="15" t="str">
        <f>VLOOKUP(D287,Classification!$A:$D,2,FALSE)</f>
        <v>A</v>
      </c>
      <c r="H287" s="15" t="b">
        <f t="shared" si="4"/>
        <v>1</v>
      </c>
      <c r="K287" s="3"/>
    </row>
    <row r="288" spans="1:11" x14ac:dyDescent="0.2">
      <c r="A288" s="10" t="str">
        <f>IF(ISERROR(MATCH(B288,'SegEnds_Xtal_Prot#'!B:B, 0)), "NoXtal", "Xtal")</f>
        <v>NoXtal</v>
      </c>
      <c r="B288" t="s">
        <v>341</v>
      </c>
      <c r="C288" s="1" t="s">
        <v>920</v>
      </c>
      <c r="D288" t="s">
        <v>339</v>
      </c>
      <c r="E288" s="28" t="str">
        <f>VLOOKUP(B288,Classification!$A:$D,2,FALSE)</f>
        <v>A</v>
      </c>
      <c r="F288" s="49" t="str">
        <f>VLOOKUP(C288,Classification!$A:$D,2,FALSE)</f>
        <v>A</v>
      </c>
      <c r="G288" s="15" t="str">
        <f>VLOOKUP(D288,Classification!$A:$D,2,FALSE)</f>
        <v>A</v>
      </c>
      <c r="H288" s="15" t="b">
        <f t="shared" si="4"/>
        <v>1</v>
      </c>
      <c r="K288" s="3"/>
    </row>
    <row r="289" spans="1:11" x14ac:dyDescent="0.2">
      <c r="A289" s="10" t="str">
        <f>IF(ISERROR(MATCH(B289,'SegEnds_Xtal_Prot#'!B:B, 0)), "NoXtal", "Xtal")</f>
        <v>NoXtal</v>
      </c>
      <c r="B289" t="s">
        <v>338</v>
      </c>
      <c r="C289" s="1" t="s">
        <v>339</v>
      </c>
      <c r="D289" t="s">
        <v>339</v>
      </c>
      <c r="E289" s="28" t="str">
        <f>VLOOKUP(B289,Classification!$A:$D,2,FALSE)</f>
        <v>A</v>
      </c>
      <c r="F289" s="49" t="str">
        <f>VLOOKUP(C289,Classification!$A:$D,2,FALSE)</f>
        <v>A</v>
      </c>
      <c r="G289" s="15" t="str">
        <f>VLOOKUP(D289,Classification!$A:$D,2,FALSE)</f>
        <v>A</v>
      </c>
      <c r="H289" s="15" t="b">
        <f t="shared" si="4"/>
        <v>1</v>
      </c>
      <c r="K289" s="3"/>
    </row>
    <row r="290" spans="1:11" x14ac:dyDescent="0.2">
      <c r="A290" s="10" t="str">
        <f>IF(ISERROR(MATCH(B290,'SegEnds_Xtal_Prot#'!B:B, 0)), "NoXtal", "Xtal")</f>
        <v>NoXtal</v>
      </c>
      <c r="B290" t="s">
        <v>285</v>
      </c>
      <c r="C290" s="1" t="s">
        <v>133</v>
      </c>
      <c r="D290" t="s">
        <v>339</v>
      </c>
      <c r="E290" s="28" t="str">
        <f>VLOOKUP(B290,Classification!$A:$D,2,FALSE)</f>
        <v>A</v>
      </c>
      <c r="F290" s="49" t="str">
        <f>VLOOKUP(C290,Classification!$A:$D,2,FALSE)</f>
        <v>A</v>
      </c>
      <c r="G290" s="15" t="str">
        <f>VLOOKUP(D290,Classification!$A:$D,2,FALSE)</f>
        <v>A</v>
      </c>
      <c r="H290" s="15" t="b">
        <f t="shared" si="4"/>
        <v>1</v>
      </c>
      <c r="K290" s="3"/>
    </row>
    <row r="291" spans="1:11" x14ac:dyDescent="0.2">
      <c r="A291" s="10" t="str">
        <f>IF(ISERROR(MATCH(B291,'SegEnds_Xtal_Prot#'!B:B, 0)), "NoXtal", "Xtal")</f>
        <v>NoXtal</v>
      </c>
      <c r="B291" t="s">
        <v>334</v>
      </c>
      <c r="C291" s="1" t="s">
        <v>920</v>
      </c>
      <c r="D291" t="s">
        <v>922</v>
      </c>
      <c r="E291" s="28" t="str">
        <f>VLOOKUP(B291,Classification!$A:$D,2,FALSE)</f>
        <v>A</v>
      </c>
      <c r="F291" s="49" t="str">
        <f>VLOOKUP(C291,Classification!$A:$D,2,FALSE)</f>
        <v>A</v>
      </c>
      <c r="G291" s="15" t="str">
        <f>VLOOKUP(D291,Classification!$A:$D,2,FALSE)</f>
        <v>A</v>
      </c>
      <c r="H291" s="15" t="b">
        <f t="shared" si="4"/>
        <v>1</v>
      </c>
      <c r="K291" s="3"/>
    </row>
    <row r="292" spans="1:11" x14ac:dyDescent="0.2">
      <c r="A292" s="10" t="str">
        <f>IF(ISERROR(MATCH(B292,'SegEnds_Xtal_Prot#'!B:B, 0)), "NoXtal", "Xtal")</f>
        <v>NoXtal</v>
      </c>
      <c r="B292" t="s">
        <v>333</v>
      </c>
      <c r="C292" s="1" t="s">
        <v>339</v>
      </c>
      <c r="D292" t="s">
        <v>922</v>
      </c>
      <c r="E292" s="28" t="str">
        <f>VLOOKUP(B292,Classification!$A:$D,2,FALSE)</f>
        <v>A</v>
      </c>
      <c r="F292" s="49" t="str">
        <f>VLOOKUP(C292,Classification!$A:$D,2,FALSE)</f>
        <v>A</v>
      </c>
      <c r="G292" s="15" t="str">
        <f>VLOOKUP(D292,Classification!$A:$D,2,FALSE)</f>
        <v>A</v>
      </c>
      <c r="H292" s="15" t="b">
        <f t="shared" si="4"/>
        <v>1</v>
      </c>
      <c r="K292" s="3"/>
    </row>
    <row r="293" spans="1:11" x14ac:dyDescent="0.2">
      <c r="A293" s="10" t="str">
        <f>IF(ISERROR(MATCH(B293,'SegEnds_Xtal_Prot#'!B:B, 0)), "NoXtal", "Xtal")</f>
        <v>Xtal</v>
      </c>
      <c r="B293" t="s">
        <v>922</v>
      </c>
      <c r="C293" s="1" t="s">
        <v>922</v>
      </c>
      <c r="D293" t="s">
        <v>922</v>
      </c>
      <c r="E293" s="28" t="str">
        <f>VLOOKUP(B293,Classification!$A:$D,2,FALSE)</f>
        <v>A</v>
      </c>
      <c r="F293" s="49" t="str">
        <f>VLOOKUP(C293,Classification!$A:$D,2,FALSE)</f>
        <v>A</v>
      </c>
      <c r="G293" s="15" t="str">
        <f>VLOOKUP(D293,Classification!$A:$D,2,FALSE)</f>
        <v>A</v>
      </c>
      <c r="H293" s="15" t="b">
        <f t="shared" si="4"/>
        <v>1</v>
      </c>
      <c r="K293" s="3"/>
    </row>
    <row r="294" spans="1:11" x14ac:dyDescent="0.2">
      <c r="A294" s="10" t="str">
        <f>IF(ISERROR(MATCH(B294,'SegEnds_Xtal_Prot#'!B:B, 0)), "NoXtal", "Xtal")</f>
        <v>NoXtal</v>
      </c>
      <c r="B294" t="s">
        <v>270</v>
      </c>
      <c r="C294" s="1" t="s">
        <v>196</v>
      </c>
      <c r="D294" t="s">
        <v>1175</v>
      </c>
      <c r="E294" s="28" t="str">
        <f>VLOOKUP(B294,Classification!$A:$D,2,FALSE)</f>
        <v>A</v>
      </c>
      <c r="F294" s="49" t="str">
        <f>VLOOKUP(C294,Classification!$A:$D,2,FALSE)</f>
        <v>A</v>
      </c>
      <c r="G294" s="15" t="str">
        <f>VLOOKUP(D294,Classification!$A:$D,2,FALSE)</f>
        <v>A</v>
      </c>
      <c r="H294" s="15" t="b">
        <f t="shared" si="4"/>
        <v>1</v>
      </c>
      <c r="K294" s="3"/>
    </row>
    <row r="295" spans="1:11" x14ac:dyDescent="0.2">
      <c r="A295" s="10" t="str">
        <f>IF(ISERROR(MATCH(B295,'SegEnds_Xtal_Prot#'!B:B, 0)), "NoXtal", "Xtal")</f>
        <v>NoXtal</v>
      </c>
      <c r="B295" t="s">
        <v>326</v>
      </c>
      <c r="C295" s="1" t="s">
        <v>1175</v>
      </c>
      <c r="D295" t="s">
        <v>1175</v>
      </c>
      <c r="E295" s="28" t="str">
        <f>VLOOKUP(B295,Classification!$A:$D,2,FALSE)</f>
        <v>A</v>
      </c>
      <c r="F295" s="49" t="str">
        <f>VLOOKUP(C295,Classification!$A:$D,2,FALSE)</f>
        <v>A</v>
      </c>
      <c r="G295" s="15" t="str">
        <f>VLOOKUP(D295,Classification!$A:$D,2,FALSE)</f>
        <v>A</v>
      </c>
      <c r="H295" s="15" t="b">
        <f t="shared" si="4"/>
        <v>1</v>
      </c>
      <c r="K295" s="3"/>
    </row>
    <row r="296" spans="1:11" x14ac:dyDescent="0.2">
      <c r="A296" s="10" t="str">
        <f>IF(ISERROR(MATCH(B296,'SegEnds_Xtal_Prot#'!B:B, 0)), "NoXtal", "Xtal")</f>
        <v>NoXtal</v>
      </c>
      <c r="B296" t="s">
        <v>344</v>
      </c>
      <c r="C296" s="1" t="s">
        <v>1175</v>
      </c>
      <c r="D296" t="s">
        <v>1175</v>
      </c>
      <c r="E296" s="28" t="str">
        <f>VLOOKUP(B296,Classification!$A:$D,2,FALSE)</f>
        <v>A</v>
      </c>
      <c r="F296" s="49" t="str">
        <f>VLOOKUP(C296,Classification!$A:$D,2,FALSE)</f>
        <v>A</v>
      </c>
      <c r="G296" s="15" t="str">
        <f>VLOOKUP(D296,Classification!$A:$D,2,FALSE)</f>
        <v>A</v>
      </c>
      <c r="H296" s="15" t="b">
        <f t="shared" si="4"/>
        <v>1</v>
      </c>
      <c r="K296" s="3"/>
    </row>
    <row r="297" spans="1:11" x14ac:dyDescent="0.2">
      <c r="A297" s="10" t="str">
        <f>IF(ISERROR(MATCH(B297,'SegEnds_Xtal_Prot#'!B:B, 0)), "NoXtal", "Xtal")</f>
        <v>Xtal</v>
      </c>
      <c r="B297" t="s">
        <v>1175</v>
      </c>
      <c r="C297" s="1" t="s">
        <v>1175</v>
      </c>
      <c r="D297" t="s">
        <v>1175</v>
      </c>
      <c r="E297" s="28" t="str">
        <f>VLOOKUP(B297,Classification!$A:$D,2,FALSE)</f>
        <v>A</v>
      </c>
      <c r="F297" s="49" t="str">
        <f>VLOOKUP(C297,Classification!$A:$D,2,FALSE)</f>
        <v>A</v>
      </c>
      <c r="G297" s="15" t="str">
        <f>VLOOKUP(D297,Classification!$A:$D,2,FALSE)</f>
        <v>A</v>
      </c>
      <c r="H297" s="15" t="b">
        <f t="shared" si="4"/>
        <v>1</v>
      </c>
      <c r="K297" s="3"/>
    </row>
    <row r="298" spans="1:11" x14ac:dyDescent="0.2">
      <c r="A298" s="10" t="str">
        <f>IF(ISERROR(MATCH(B298,'SegEnds_Xtal_Prot#'!B:B, 0)), "NoXtal", "Xtal")</f>
        <v>NoXtal</v>
      </c>
      <c r="B298" t="s">
        <v>267</v>
      </c>
      <c r="C298" s="1" t="s">
        <v>191</v>
      </c>
      <c r="D298" t="s">
        <v>1175</v>
      </c>
      <c r="E298" s="28" t="str">
        <f>VLOOKUP(B298,Classification!$A:$D,2,FALSE)</f>
        <v>A</v>
      </c>
      <c r="F298" s="49" t="str">
        <f>VLOOKUP(C298,Classification!$A:$D,2,FALSE)</f>
        <v>A</v>
      </c>
      <c r="G298" s="15" t="str">
        <f>VLOOKUP(D298,Classification!$A:$D,2,FALSE)</f>
        <v>A</v>
      </c>
      <c r="H298" s="15" t="b">
        <f t="shared" si="4"/>
        <v>1</v>
      </c>
      <c r="K298" s="3"/>
    </row>
    <row r="299" spans="1:11" x14ac:dyDescent="0.2">
      <c r="A299" s="10" t="str">
        <f>IF(ISERROR(MATCH(B299,'SegEnds_Xtal_Prot#'!B:B, 0)), "NoXtal", "Xtal")</f>
        <v>NoXtal</v>
      </c>
      <c r="B299" t="s">
        <v>222</v>
      </c>
      <c r="C299" s="1" t="s">
        <v>1172</v>
      </c>
      <c r="D299" t="s">
        <v>1175</v>
      </c>
      <c r="E299" s="28" t="str">
        <f>VLOOKUP(B299,Classification!$A:$D,2,FALSE)</f>
        <v>A</v>
      </c>
      <c r="F299" s="49" t="str">
        <f>VLOOKUP(C299,Classification!$A:$D,2,FALSE)</f>
        <v>A</v>
      </c>
      <c r="G299" s="15" t="str">
        <f>VLOOKUP(D299,Classification!$A:$D,2,FALSE)</f>
        <v>A</v>
      </c>
      <c r="H299" s="15" t="b">
        <f t="shared" si="4"/>
        <v>1</v>
      </c>
      <c r="K299" s="3"/>
    </row>
    <row r="300" spans="1:11" x14ac:dyDescent="0.2">
      <c r="A300" s="10" t="str">
        <f>IF(ISERROR(MATCH(B300,'SegEnds_Xtal_Prot#'!B:B, 0)), "NoXtal", "Xtal")</f>
        <v>NoXtal</v>
      </c>
      <c r="B300" t="s">
        <v>323</v>
      </c>
      <c r="C300" s="1" t="s">
        <v>1176</v>
      </c>
      <c r="D300" t="s">
        <v>1175</v>
      </c>
      <c r="E300" s="28" t="str">
        <f>VLOOKUP(B300,Classification!$A:$D,2,FALSE)</f>
        <v>A</v>
      </c>
      <c r="F300" s="49" t="str">
        <f>VLOOKUP(C300,Classification!$A:$D,2,FALSE)</f>
        <v>A</v>
      </c>
      <c r="G300" s="15" t="str">
        <f>VLOOKUP(D300,Classification!$A:$D,2,FALSE)</f>
        <v>A</v>
      </c>
      <c r="H300" s="15" t="b">
        <f t="shared" si="4"/>
        <v>1</v>
      </c>
      <c r="K300" s="3"/>
    </row>
    <row r="301" spans="1:11" x14ac:dyDescent="0.2">
      <c r="A301" s="10" t="str">
        <f>IF(ISERROR(MATCH(B301,'SegEnds_Xtal_Prot#'!B:B, 0)), "NoXtal", "Xtal")</f>
        <v>NoXtal</v>
      </c>
      <c r="B301" t="s">
        <v>315</v>
      </c>
      <c r="C301" s="1" t="s">
        <v>1175</v>
      </c>
      <c r="D301" t="s">
        <v>1175</v>
      </c>
      <c r="E301" s="28" t="str">
        <f>VLOOKUP(B301,Classification!$A:$D,2,FALSE)</f>
        <v>A</v>
      </c>
      <c r="F301" s="49" t="str">
        <f>VLOOKUP(C301,Classification!$A:$D,2,FALSE)</f>
        <v>A</v>
      </c>
      <c r="G301" s="15" t="str">
        <f>VLOOKUP(D301,Classification!$A:$D,2,FALSE)</f>
        <v>A</v>
      </c>
      <c r="H301" s="15" t="b">
        <f t="shared" si="4"/>
        <v>1</v>
      </c>
      <c r="K301" s="3"/>
    </row>
    <row r="302" spans="1:11" x14ac:dyDescent="0.2">
      <c r="A302" s="10" t="str">
        <f>IF(ISERROR(MATCH(B302,'SegEnds_Xtal_Prot#'!B:B, 0)), "NoXtal", "Xtal")</f>
        <v>NoXtal</v>
      </c>
      <c r="B302" t="s">
        <v>215</v>
      </c>
      <c r="C302" s="1" t="s">
        <v>1176</v>
      </c>
      <c r="D302" t="s">
        <v>1175</v>
      </c>
      <c r="E302" s="28" t="str">
        <f>VLOOKUP(B302,Classification!$A:$D,2,FALSE)</f>
        <v>A</v>
      </c>
      <c r="F302" s="49" t="str">
        <f>VLOOKUP(C302,Classification!$A:$D,2,FALSE)</f>
        <v>A</v>
      </c>
      <c r="G302" s="15" t="str">
        <f>VLOOKUP(D302,Classification!$A:$D,2,FALSE)</f>
        <v>A</v>
      </c>
      <c r="H302" s="15" t="b">
        <f t="shared" si="4"/>
        <v>1</v>
      </c>
      <c r="K302" s="3"/>
    </row>
    <row r="303" spans="1:11" x14ac:dyDescent="0.2">
      <c r="A303" s="10" t="str">
        <f>IF(ISERROR(MATCH(B303,'SegEnds_Xtal_Prot#'!B:B, 0)), "NoXtal", "Xtal")</f>
        <v>NoXtal</v>
      </c>
      <c r="B303" t="s">
        <v>232</v>
      </c>
      <c r="C303" s="1" t="s">
        <v>1175</v>
      </c>
      <c r="D303" t="s">
        <v>1175</v>
      </c>
      <c r="E303" s="28" t="str">
        <f>VLOOKUP(B303,Classification!$A:$D,2,FALSE)</f>
        <v>A</v>
      </c>
      <c r="F303" s="49" t="str">
        <f>VLOOKUP(C303,Classification!$A:$D,2,FALSE)</f>
        <v>A</v>
      </c>
      <c r="G303" s="15" t="str">
        <f>VLOOKUP(D303,Classification!$A:$D,2,FALSE)</f>
        <v>A</v>
      </c>
      <c r="H303" s="15" t="b">
        <f t="shared" si="4"/>
        <v>1</v>
      </c>
      <c r="K303" s="3"/>
    </row>
    <row r="304" spans="1:11" x14ac:dyDescent="0.2">
      <c r="A304" s="10" t="str">
        <f>IF(ISERROR(MATCH(B304,'SegEnds_Xtal_Prot#'!B:B, 0)), "NoXtal", "Xtal")</f>
        <v>NoXtal</v>
      </c>
      <c r="B304" t="s">
        <v>328</v>
      </c>
      <c r="C304" s="1" t="s">
        <v>325</v>
      </c>
      <c r="D304" t="s">
        <v>1176</v>
      </c>
      <c r="E304" s="28" t="str">
        <f>VLOOKUP(B304,Classification!$A:$D,2,FALSE)</f>
        <v>A</v>
      </c>
      <c r="F304" s="49" t="str">
        <f>VLOOKUP(C304,Classification!$A:$D,2,FALSE)</f>
        <v>A</v>
      </c>
      <c r="G304" s="15" t="str">
        <f>VLOOKUP(D304,Classification!$A:$D,2,FALSE)</f>
        <v>A</v>
      </c>
      <c r="H304" s="15" t="b">
        <f t="shared" si="4"/>
        <v>1</v>
      </c>
      <c r="K304" s="3"/>
    </row>
    <row r="305" spans="1:11" x14ac:dyDescent="0.2">
      <c r="A305" s="10" t="str">
        <f>IF(ISERROR(MATCH(B305,'SegEnds_Xtal_Prot#'!B:B, 0)), "NoXtal", "Xtal")</f>
        <v>NoXtal</v>
      </c>
      <c r="B305" t="s">
        <v>369</v>
      </c>
      <c r="C305" s="1" t="s">
        <v>1176</v>
      </c>
      <c r="D305" t="s">
        <v>1176</v>
      </c>
      <c r="E305" s="28" t="str">
        <f>VLOOKUP(B305,Classification!$A:$D,2,FALSE)</f>
        <v>A</v>
      </c>
      <c r="F305" s="49" t="str">
        <f>VLOOKUP(C305,Classification!$A:$D,2,FALSE)</f>
        <v>A</v>
      </c>
      <c r="G305" s="15" t="str">
        <f>VLOOKUP(D305,Classification!$A:$D,2,FALSE)</f>
        <v>A</v>
      </c>
      <c r="H305" s="15" t="b">
        <f t="shared" si="4"/>
        <v>1</v>
      </c>
      <c r="K305" s="3"/>
    </row>
    <row r="306" spans="1:11" x14ac:dyDescent="0.2">
      <c r="A306" s="10" t="str">
        <f>IF(ISERROR(MATCH(B306,'SegEnds_Xtal_Prot#'!B:B, 0)), "NoXtal", "Xtal")</f>
        <v>NoXtal</v>
      </c>
      <c r="B306" t="s">
        <v>359</v>
      </c>
      <c r="C306" s="1" t="s">
        <v>139</v>
      </c>
      <c r="D306" t="s">
        <v>1176</v>
      </c>
      <c r="E306" s="28" t="str">
        <f>VLOOKUP(B306,Classification!$A:$D,2,FALSE)</f>
        <v>A</v>
      </c>
      <c r="F306" s="49" t="str">
        <f>VLOOKUP(C306,Classification!$A:$D,2,FALSE)</f>
        <v>A</v>
      </c>
      <c r="G306" s="15" t="str">
        <f>VLOOKUP(D306,Classification!$A:$D,2,FALSE)</f>
        <v>A</v>
      </c>
      <c r="H306" s="15" t="b">
        <f t="shared" si="4"/>
        <v>1</v>
      </c>
      <c r="K306" s="3"/>
    </row>
    <row r="307" spans="1:11" x14ac:dyDescent="0.2">
      <c r="A307" s="10" t="str">
        <f>IF(ISERROR(MATCH(B307,'SegEnds_Xtal_Prot#'!B:B, 0)), "NoXtal", "Xtal")</f>
        <v>NoXtal</v>
      </c>
      <c r="B307" t="s">
        <v>324</v>
      </c>
      <c r="C307" s="1" t="s">
        <v>133</v>
      </c>
      <c r="D307" t="s">
        <v>1176</v>
      </c>
      <c r="E307" s="28" t="str">
        <f>VLOOKUP(B307,Classification!$A:$D,2,FALSE)</f>
        <v>A</v>
      </c>
      <c r="F307" s="49" t="str">
        <f>VLOOKUP(C307,Classification!$A:$D,2,FALSE)</f>
        <v>A</v>
      </c>
      <c r="G307" s="15" t="str">
        <f>VLOOKUP(D307,Classification!$A:$D,2,FALSE)</f>
        <v>A</v>
      </c>
      <c r="H307" s="15" t="b">
        <f t="shared" si="4"/>
        <v>1</v>
      </c>
      <c r="K307" s="3"/>
    </row>
    <row r="308" spans="1:11" x14ac:dyDescent="0.2">
      <c r="A308" s="10" t="str">
        <f>IF(ISERROR(MATCH(B308,'SegEnds_Xtal_Prot#'!B:B, 0)), "NoXtal", "Xtal")</f>
        <v>NoXtal</v>
      </c>
      <c r="B308" t="s">
        <v>247</v>
      </c>
      <c r="C308" s="1" t="s">
        <v>191</v>
      </c>
      <c r="D308" t="s">
        <v>1176</v>
      </c>
      <c r="E308" s="28" t="str">
        <f>VLOOKUP(B308,Classification!$A:$D,2,FALSE)</f>
        <v>A</v>
      </c>
      <c r="F308" s="49" t="str">
        <f>VLOOKUP(C308,Classification!$A:$D,2,FALSE)</f>
        <v>A</v>
      </c>
      <c r="G308" s="15" t="str">
        <f>VLOOKUP(D308,Classification!$A:$D,2,FALSE)</f>
        <v>A</v>
      </c>
      <c r="H308" s="15" t="b">
        <f t="shared" si="4"/>
        <v>1</v>
      </c>
      <c r="K308" s="3"/>
    </row>
    <row r="309" spans="1:11" x14ac:dyDescent="0.2">
      <c r="A309" s="10" t="str">
        <f>IF(ISERROR(MATCH(B309,'SegEnds_Xtal_Prot#'!B:B, 0)), "NoXtal", "Xtal")</f>
        <v>NoXtal</v>
      </c>
      <c r="B309" t="s">
        <v>260</v>
      </c>
      <c r="C309" s="1" t="s">
        <v>35</v>
      </c>
      <c r="D309" t="s">
        <v>1176</v>
      </c>
      <c r="E309" s="28" t="str">
        <f>VLOOKUP(B309,Classification!$A:$D,2,FALSE)</f>
        <v>A</v>
      </c>
      <c r="F309" s="49" t="str">
        <f>VLOOKUP(C309,Classification!$A:$D,2,FALSE)</f>
        <v>A</v>
      </c>
      <c r="G309" s="15" t="str">
        <f>VLOOKUP(D309,Classification!$A:$D,2,FALSE)</f>
        <v>A</v>
      </c>
      <c r="H309" s="15" t="b">
        <f t="shared" si="4"/>
        <v>1</v>
      </c>
      <c r="K309" s="3"/>
    </row>
    <row r="310" spans="1:11" x14ac:dyDescent="0.2">
      <c r="A310" s="10" t="str">
        <f>IF(ISERROR(MATCH(B310,'SegEnds_Xtal_Prot#'!B:B, 0)), "NoXtal", "Xtal")</f>
        <v>NoXtal</v>
      </c>
      <c r="B310" t="s">
        <v>244</v>
      </c>
      <c r="C310" s="1" t="s">
        <v>35</v>
      </c>
      <c r="D310" t="s">
        <v>1176</v>
      </c>
      <c r="E310" s="28" t="str">
        <f>VLOOKUP(B310,Classification!$A:$D,2,FALSE)</f>
        <v>A</v>
      </c>
      <c r="F310" s="49" t="str">
        <f>VLOOKUP(C310,Classification!$A:$D,2,FALSE)</f>
        <v>A</v>
      </c>
      <c r="G310" s="15" t="str">
        <f>VLOOKUP(D310,Classification!$A:$D,2,FALSE)</f>
        <v>A</v>
      </c>
      <c r="H310" s="15" t="b">
        <f t="shared" si="4"/>
        <v>1</v>
      </c>
      <c r="K310" s="3"/>
    </row>
    <row r="311" spans="1:11" x14ac:dyDescent="0.2">
      <c r="A311" s="10" t="str">
        <f>IF(ISERROR(MATCH(B311,'SegEnds_Xtal_Prot#'!B:B, 0)), "NoXtal", "Xtal")</f>
        <v>NoXtal</v>
      </c>
      <c r="B311" t="s">
        <v>368</v>
      </c>
      <c r="C311" s="1" t="s">
        <v>325</v>
      </c>
      <c r="D311" t="s">
        <v>1176</v>
      </c>
      <c r="E311" s="28" t="str">
        <f>VLOOKUP(B311,Classification!$A:$D,2,FALSE)</f>
        <v>A</v>
      </c>
      <c r="F311" s="49" t="str">
        <f>VLOOKUP(C311,Classification!$A:$D,2,FALSE)</f>
        <v>A</v>
      </c>
      <c r="G311" s="15" t="str">
        <f>VLOOKUP(D311,Classification!$A:$D,2,FALSE)</f>
        <v>A</v>
      </c>
      <c r="H311" s="15" t="b">
        <f t="shared" si="4"/>
        <v>1</v>
      </c>
      <c r="K311" s="3"/>
    </row>
    <row r="312" spans="1:11" x14ac:dyDescent="0.2">
      <c r="A312" s="10" t="str">
        <f>IF(ISERROR(MATCH(B312,'SegEnds_Xtal_Prot#'!B:B, 0)), "NoXtal", "Xtal")</f>
        <v>NoXtal</v>
      </c>
      <c r="B312" t="s">
        <v>367</v>
      </c>
      <c r="C312" s="1" t="s">
        <v>325</v>
      </c>
      <c r="D312" t="s">
        <v>1176</v>
      </c>
      <c r="E312" s="28" t="str">
        <f>VLOOKUP(B312,Classification!$A:$D,2,FALSE)</f>
        <v>A</v>
      </c>
      <c r="F312" s="49" t="str">
        <f>VLOOKUP(C312,Classification!$A:$D,2,FALSE)</f>
        <v>A</v>
      </c>
      <c r="G312" s="15" t="str">
        <f>VLOOKUP(D312,Classification!$A:$D,2,FALSE)</f>
        <v>A</v>
      </c>
      <c r="H312" s="15" t="b">
        <f t="shared" si="4"/>
        <v>1</v>
      </c>
      <c r="K312" s="3"/>
    </row>
    <row r="313" spans="1:11" x14ac:dyDescent="0.2">
      <c r="A313" s="10" t="str">
        <f>IF(ISERROR(MATCH(B313,'SegEnds_Xtal_Prot#'!B:B, 0)), "NoXtal", "Xtal")</f>
        <v>NoXtal</v>
      </c>
      <c r="B313" t="s">
        <v>327</v>
      </c>
      <c r="C313" s="1" t="s">
        <v>325</v>
      </c>
      <c r="D313" t="s">
        <v>1176</v>
      </c>
      <c r="E313" s="28" t="str">
        <f>VLOOKUP(B313,Classification!$A:$D,2,FALSE)</f>
        <v>A</v>
      </c>
      <c r="F313" s="49" t="str">
        <f>VLOOKUP(C313,Classification!$A:$D,2,FALSE)</f>
        <v>A</v>
      </c>
      <c r="G313" s="15" t="str">
        <f>VLOOKUP(D313,Classification!$A:$D,2,FALSE)</f>
        <v>A</v>
      </c>
      <c r="H313" s="15" t="b">
        <f t="shared" si="4"/>
        <v>1</v>
      </c>
      <c r="K313" s="3"/>
    </row>
    <row r="314" spans="1:11" x14ac:dyDescent="0.2">
      <c r="A314" s="10" t="str">
        <f>IF(ISERROR(MATCH(B314,'SegEnds_Xtal_Prot#'!B:B, 0)), "NoXtal", "Xtal")</f>
        <v>NoXtal</v>
      </c>
      <c r="B314" t="s">
        <v>312</v>
      </c>
      <c r="C314" s="1" t="s">
        <v>1176</v>
      </c>
      <c r="D314" t="s">
        <v>1176</v>
      </c>
      <c r="E314" s="28" t="str">
        <f>VLOOKUP(B314,Classification!$A:$D,2,FALSE)</f>
        <v>A</v>
      </c>
      <c r="F314" s="49" t="str">
        <f>VLOOKUP(C314,Classification!$A:$D,2,FALSE)</f>
        <v>A</v>
      </c>
      <c r="G314" s="15" t="str">
        <f>VLOOKUP(D314,Classification!$A:$D,2,FALSE)</f>
        <v>A</v>
      </c>
      <c r="H314" s="15" t="b">
        <f t="shared" si="4"/>
        <v>1</v>
      </c>
      <c r="K314" s="3"/>
    </row>
    <row r="315" spans="1:11" x14ac:dyDescent="0.2">
      <c r="A315" s="10" t="str">
        <f>IF(ISERROR(MATCH(B315,'SegEnds_Xtal_Prot#'!B:B, 0)), "NoXtal", "Xtal")</f>
        <v>NoXtal</v>
      </c>
      <c r="B315" t="s">
        <v>208</v>
      </c>
      <c r="C315" s="1" t="s">
        <v>1176</v>
      </c>
      <c r="D315" t="s">
        <v>1176</v>
      </c>
      <c r="E315" s="28" t="str">
        <f>VLOOKUP(B315,Classification!$A:$D,2,FALSE)</f>
        <v>A</v>
      </c>
      <c r="F315" s="49" t="str">
        <f>VLOOKUP(C315,Classification!$A:$D,2,FALSE)</f>
        <v>A</v>
      </c>
      <c r="G315" s="15" t="str">
        <f>VLOOKUP(D315,Classification!$A:$D,2,FALSE)</f>
        <v>A</v>
      </c>
      <c r="H315" s="15" t="b">
        <f t="shared" si="4"/>
        <v>1</v>
      </c>
      <c r="K315" s="3"/>
    </row>
    <row r="316" spans="1:11" x14ac:dyDescent="0.2">
      <c r="A316" s="10" t="str">
        <f>IF(ISERROR(MATCH(B316,'SegEnds_Xtal_Prot#'!B:B, 0)), "NoXtal", "Xtal")</f>
        <v>NoXtal</v>
      </c>
      <c r="B316" t="s">
        <v>167</v>
      </c>
      <c r="C316" s="1" t="s">
        <v>1175</v>
      </c>
      <c r="D316" t="s">
        <v>1176</v>
      </c>
      <c r="E316" s="28" t="str">
        <f>VLOOKUP(B316,Classification!$A:$D,2,FALSE)</f>
        <v>A</v>
      </c>
      <c r="F316" s="49" t="str">
        <f>VLOOKUP(C316,Classification!$A:$D,2,FALSE)</f>
        <v>A</v>
      </c>
      <c r="G316" s="15" t="str">
        <f>VLOOKUP(D316,Classification!$A:$D,2,FALSE)</f>
        <v>A</v>
      </c>
      <c r="H316" s="15" t="b">
        <f t="shared" si="4"/>
        <v>1</v>
      </c>
      <c r="K316" s="3"/>
    </row>
    <row r="317" spans="1:11" x14ac:dyDescent="0.2">
      <c r="A317" s="10" t="str">
        <f>IF(ISERROR(MATCH(B317,'SegEnds_Xtal_Prot#'!B:B, 0)), "NoXtal", "Xtal")</f>
        <v>Xtal</v>
      </c>
      <c r="B317" t="s">
        <v>325</v>
      </c>
      <c r="C317" s="1" t="s">
        <v>325</v>
      </c>
      <c r="D317" t="s">
        <v>1176</v>
      </c>
      <c r="E317" s="28" t="str">
        <f>VLOOKUP(B317,Classification!$A:$D,2,FALSE)</f>
        <v>A</v>
      </c>
      <c r="F317" s="49" t="str">
        <f>VLOOKUP(C317,Classification!$A:$D,2,FALSE)</f>
        <v>A</v>
      </c>
      <c r="G317" s="15" t="str">
        <f>VLOOKUP(D317,Classification!$A:$D,2,FALSE)</f>
        <v>A</v>
      </c>
      <c r="H317" s="15" t="b">
        <f t="shared" si="4"/>
        <v>1</v>
      </c>
      <c r="K317" s="3"/>
    </row>
    <row r="318" spans="1:11" x14ac:dyDescent="0.2">
      <c r="A318" s="10" t="str">
        <f>IF(ISERROR(MATCH(B318,'SegEnds_Xtal_Prot#'!B:B, 0)), "NoXtal", "Xtal")</f>
        <v>NoXtal</v>
      </c>
      <c r="B318" t="s">
        <v>163</v>
      </c>
      <c r="C318" s="1" t="s">
        <v>196</v>
      </c>
      <c r="D318" t="s">
        <v>1176</v>
      </c>
      <c r="E318" s="28" t="str">
        <f>VLOOKUP(B318,Classification!$A:$D,2,FALSE)</f>
        <v>A</v>
      </c>
      <c r="F318" s="49" t="str">
        <f>VLOOKUP(C318,Classification!$A:$D,2,FALSE)</f>
        <v>A</v>
      </c>
      <c r="G318" s="15" t="str">
        <f>VLOOKUP(D318,Classification!$A:$D,2,FALSE)</f>
        <v>A</v>
      </c>
      <c r="H318" s="15" t="b">
        <f t="shared" si="4"/>
        <v>1</v>
      </c>
      <c r="K318" s="3"/>
    </row>
    <row r="319" spans="1:11" x14ac:dyDescent="0.2">
      <c r="A319" s="10" t="str">
        <f>IF(ISERROR(MATCH(B319,'SegEnds_Xtal_Prot#'!B:B, 0)), "NoXtal", "Xtal")</f>
        <v>NoXtal</v>
      </c>
      <c r="B319" t="s">
        <v>269</v>
      </c>
      <c r="C319" s="1" t="s">
        <v>1176</v>
      </c>
      <c r="D319" t="s">
        <v>1176</v>
      </c>
      <c r="E319" s="28" t="str">
        <f>VLOOKUP(B319,Classification!$A:$D,2,FALSE)</f>
        <v>A</v>
      </c>
      <c r="F319" s="49" t="str">
        <f>VLOOKUP(C319,Classification!$A:$D,2,FALSE)</f>
        <v>A</v>
      </c>
      <c r="G319" s="15" t="str">
        <f>VLOOKUP(D319,Classification!$A:$D,2,FALSE)</f>
        <v>A</v>
      </c>
      <c r="H319" s="15" t="b">
        <f t="shared" si="4"/>
        <v>1</v>
      </c>
      <c r="K319" s="3"/>
    </row>
    <row r="320" spans="1:11" x14ac:dyDescent="0.2">
      <c r="A320" s="10" t="str">
        <f>IF(ISERROR(MATCH(B320,'SegEnds_Xtal_Prot#'!B:B, 0)), "NoXtal", "Xtal")</f>
        <v>Xtal</v>
      </c>
      <c r="B320" t="s">
        <v>1176</v>
      </c>
      <c r="C320" s="1" t="s">
        <v>1176</v>
      </c>
      <c r="D320" t="s">
        <v>1176</v>
      </c>
      <c r="E320" s="28" t="str">
        <f>VLOOKUP(B320,Classification!$A:$D,2,FALSE)</f>
        <v>A</v>
      </c>
      <c r="F320" s="49" t="str">
        <f>VLOOKUP(C320,Classification!$A:$D,2,FALSE)</f>
        <v>A</v>
      </c>
      <c r="G320" s="15" t="str">
        <f>VLOOKUP(D320,Classification!$A:$D,2,FALSE)</f>
        <v>A</v>
      </c>
      <c r="H320" s="15" t="b">
        <f t="shared" si="4"/>
        <v>1</v>
      </c>
      <c r="K320" s="3"/>
    </row>
    <row r="321" spans="1:11" x14ac:dyDescent="0.2">
      <c r="A321" s="10" t="str">
        <f>IF(ISERROR(MATCH(B321,'SegEnds_Xtal_Prot#'!B:B, 0)), "NoXtal", "Xtal")</f>
        <v>NoXtal</v>
      </c>
      <c r="B321" t="s">
        <v>242</v>
      </c>
      <c r="C321" s="1" t="s">
        <v>1176</v>
      </c>
      <c r="D321" t="s">
        <v>1176</v>
      </c>
      <c r="E321" s="28" t="str">
        <f>VLOOKUP(B321,Classification!$A:$D,2,FALSE)</f>
        <v>A</v>
      </c>
      <c r="F321" s="49" t="str">
        <f>VLOOKUP(C321,Classification!$A:$D,2,FALSE)</f>
        <v>A</v>
      </c>
      <c r="G321" s="15" t="str">
        <f>VLOOKUP(D321,Classification!$A:$D,2,FALSE)</f>
        <v>A</v>
      </c>
      <c r="H321" s="15" t="b">
        <f t="shared" si="4"/>
        <v>1</v>
      </c>
      <c r="K321" s="3"/>
    </row>
    <row r="322" spans="1:11" x14ac:dyDescent="0.2">
      <c r="A322" s="10" t="str">
        <f>IF(ISERROR(MATCH(B322,'SegEnds_Xtal_Prot#'!B:B, 0)), "NoXtal", "Xtal")</f>
        <v>NoXtal</v>
      </c>
      <c r="B322" t="s">
        <v>372</v>
      </c>
      <c r="C322" s="1" t="s">
        <v>1176</v>
      </c>
      <c r="D322" t="s">
        <v>1176</v>
      </c>
      <c r="E322" s="28" t="str">
        <f>VLOOKUP(B322,Classification!$A:$D,2,FALSE)</f>
        <v>A</v>
      </c>
      <c r="F322" s="49" t="str">
        <f>VLOOKUP(C322,Classification!$A:$D,2,FALSE)</f>
        <v>A</v>
      </c>
      <c r="G322" s="15" t="str">
        <f>VLOOKUP(D322,Classification!$A:$D,2,FALSE)</f>
        <v>A</v>
      </c>
      <c r="H322" s="15" t="b">
        <f t="shared" si="4"/>
        <v>1</v>
      </c>
      <c r="K322" s="3"/>
    </row>
    <row r="323" spans="1:11" x14ac:dyDescent="0.2">
      <c r="A323" s="10" t="str">
        <f>IF(ISERROR(MATCH(B323,'SegEnds_Xtal_Prot#'!B:B, 0)), "NoXtal", "Xtal")</f>
        <v>NoXtal</v>
      </c>
      <c r="B323" t="s">
        <v>322</v>
      </c>
      <c r="C323" s="1" t="s">
        <v>1175</v>
      </c>
      <c r="D323" t="s">
        <v>1176</v>
      </c>
      <c r="E323" s="28" t="str">
        <f>VLOOKUP(B323,Classification!$A:$D,2,FALSE)</f>
        <v>A</v>
      </c>
      <c r="F323" s="49" t="str">
        <f>VLOOKUP(C323,Classification!$A:$D,2,FALSE)</f>
        <v>A</v>
      </c>
      <c r="G323" s="15" t="str">
        <f>VLOOKUP(D323,Classification!$A:$D,2,FALSE)</f>
        <v>A</v>
      </c>
      <c r="H323" s="15" t="b">
        <f t="shared" ref="H323:H388" si="5">OR(E323=G323,AND(E323="T",G323="A"),AND(E323="B2",G323="B1"),E323="O")</f>
        <v>1</v>
      </c>
      <c r="K323" s="3"/>
    </row>
    <row r="324" spans="1:11" x14ac:dyDescent="0.2">
      <c r="A324" s="10" t="str">
        <f>IF(ISERROR(MATCH(B324,'SegEnds_Xtal_Prot#'!B:B, 0)), "NoXtal", "Xtal")</f>
        <v>NoXtal</v>
      </c>
      <c r="B324" t="s">
        <v>314</v>
      </c>
      <c r="C324" s="1" t="s">
        <v>1176</v>
      </c>
      <c r="D324" t="s">
        <v>1176</v>
      </c>
      <c r="E324" s="28" t="str">
        <f>VLOOKUP(B324,Classification!$A:$D,2,FALSE)</f>
        <v>A</v>
      </c>
      <c r="F324" s="49" t="str">
        <f>VLOOKUP(C324,Classification!$A:$D,2,FALSE)</f>
        <v>A</v>
      </c>
      <c r="G324" s="15" t="str">
        <f>VLOOKUP(D324,Classification!$A:$D,2,FALSE)</f>
        <v>A</v>
      </c>
      <c r="H324" s="15" t="b">
        <f t="shared" si="5"/>
        <v>1</v>
      </c>
      <c r="K324" s="3"/>
    </row>
    <row r="325" spans="1:11" x14ac:dyDescent="0.2">
      <c r="A325" s="10" t="str">
        <f>IF(ISERROR(MATCH(B325,'SegEnds_Xtal_Prot#'!B:B, 0)), "NoXtal", "Xtal")</f>
        <v>NoXtal</v>
      </c>
      <c r="B325" t="s">
        <v>316</v>
      </c>
      <c r="C325" s="1" t="s">
        <v>1176</v>
      </c>
      <c r="D325" t="s">
        <v>1176</v>
      </c>
      <c r="E325" s="28" t="str">
        <f>VLOOKUP(B325,Classification!$A:$D,2,FALSE)</f>
        <v>A</v>
      </c>
      <c r="F325" s="49" t="str">
        <f>VLOOKUP(C325,Classification!$A:$D,2,FALSE)</f>
        <v>A</v>
      </c>
      <c r="G325" s="15" t="str">
        <f>VLOOKUP(D325,Classification!$A:$D,2,FALSE)</f>
        <v>A</v>
      </c>
      <c r="H325" s="15" t="b">
        <f t="shared" si="5"/>
        <v>1</v>
      </c>
      <c r="K325" s="3"/>
    </row>
    <row r="326" spans="1:11" x14ac:dyDescent="0.2">
      <c r="A326" s="10" t="str">
        <f>IF(ISERROR(MATCH(B326,'SegEnds_Xtal_Prot#'!B:B, 0)), "NoXtal", "Xtal")</f>
        <v>NoXtal</v>
      </c>
      <c r="B326" t="s">
        <v>223</v>
      </c>
      <c r="C326" s="1" t="s">
        <v>159</v>
      </c>
      <c r="D326" t="s">
        <v>1176</v>
      </c>
      <c r="E326" s="28" t="str">
        <f>VLOOKUP(B326,Classification!$A:$D,2,FALSE)</f>
        <v>A</v>
      </c>
      <c r="F326" s="49" t="str">
        <f>VLOOKUP(C326,Classification!$A:$D,2,FALSE)</f>
        <v>A</v>
      </c>
      <c r="G326" s="15" t="str">
        <f>VLOOKUP(D326,Classification!$A:$D,2,FALSE)</f>
        <v>A</v>
      </c>
      <c r="H326" s="15" t="b">
        <f t="shared" si="5"/>
        <v>1</v>
      </c>
      <c r="K326" s="3"/>
    </row>
    <row r="327" spans="1:11" x14ac:dyDescent="0.2">
      <c r="A327" s="10" t="str">
        <f>IF(ISERROR(MATCH(B327,'SegEnds_Xtal_Prot#'!B:B, 0)), "NoXtal", "Xtal")</f>
        <v>NoXtal</v>
      </c>
      <c r="B327" t="s">
        <v>225</v>
      </c>
      <c r="C327" s="1" t="s">
        <v>193</v>
      </c>
      <c r="D327" t="s">
        <v>1176</v>
      </c>
      <c r="E327" s="28" t="str">
        <f>VLOOKUP(B327,Classification!$A:$D,2,FALSE)</f>
        <v>A</v>
      </c>
      <c r="F327" s="49" t="str">
        <f>VLOOKUP(C327,Classification!$A:$D,2,FALSE)</f>
        <v>A</v>
      </c>
      <c r="G327" s="15" t="str">
        <f>VLOOKUP(D327,Classification!$A:$D,2,FALSE)</f>
        <v>A</v>
      </c>
      <c r="H327" s="15" t="b">
        <f t="shared" si="5"/>
        <v>1</v>
      </c>
      <c r="K327" s="3"/>
    </row>
    <row r="328" spans="1:11" x14ac:dyDescent="0.2">
      <c r="A328" s="10" t="str">
        <f>IF(ISERROR(MATCH(B328,'SegEnds_Xtal_Prot#'!B:B, 0)), "NoXtal", "Xtal")</f>
        <v>NoXtal</v>
      </c>
      <c r="B328" t="s">
        <v>313</v>
      </c>
      <c r="C328" s="1" t="s">
        <v>1176</v>
      </c>
      <c r="D328" t="s">
        <v>1176</v>
      </c>
      <c r="E328" s="28" t="str">
        <f>VLOOKUP(B328,Classification!$A:$D,2,FALSE)</f>
        <v>A</v>
      </c>
      <c r="F328" s="49" t="str">
        <f>VLOOKUP(C328,Classification!$A:$D,2,FALSE)</f>
        <v>A</v>
      </c>
      <c r="G328" s="15" t="str">
        <f>VLOOKUP(D328,Classification!$A:$D,2,FALSE)</f>
        <v>A</v>
      </c>
      <c r="H328" s="15" t="b">
        <f t="shared" si="5"/>
        <v>1</v>
      </c>
      <c r="K328" s="3"/>
    </row>
    <row r="329" spans="1:11" x14ac:dyDescent="0.2">
      <c r="A329" s="10" t="str">
        <f>IF(ISERROR(MATCH(B329,'SegEnds_Xtal_Prot#'!B:B, 0)), "NoXtal", "Xtal")</f>
        <v>NoXtal</v>
      </c>
      <c r="B329" t="s">
        <v>329</v>
      </c>
      <c r="C329" s="1" t="s">
        <v>325</v>
      </c>
      <c r="D329" t="s">
        <v>1176</v>
      </c>
      <c r="E329" s="28" t="str">
        <f>VLOOKUP(B329,Classification!$A:$D,2,FALSE)</f>
        <v>A</v>
      </c>
      <c r="F329" s="49" t="str">
        <f>VLOOKUP(C329,Classification!$A:$D,2,FALSE)</f>
        <v>A</v>
      </c>
      <c r="G329" s="15" t="str">
        <f>VLOOKUP(D329,Classification!$A:$D,2,FALSE)</f>
        <v>A</v>
      </c>
      <c r="H329" s="15" t="b">
        <f t="shared" si="5"/>
        <v>1</v>
      </c>
      <c r="K329" s="3"/>
    </row>
    <row r="330" spans="1:11" x14ac:dyDescent="0.2">
      <c r="A330" s="10" t="str">
        <f>IF(ISERROR(MATCH(B330,'SegEnds_Xtal_Prot#'!B:B, 0)), "NoXtal", "Xtal")</f>
        <v>NoXtal</v>
      </c>
      <c r="B330" t="s">
        <v>348</v>
      </c>
      <c r="C330" s="1" t="s">
        <v>345</v>
      </c>
      <c r="D330" t="s">
        <v>345</v>
      </c>
      <c r="E330" s="28" t="str">
        <f>VLOOKUP(B330,Classification!$A:$D,2,FALSE)</f>
        <v>A</v>
      </c>
      <c r="F330" s="49" t="str">
        <f>VLOOKUP(C330,Classification!$A:$D,2,FALSE)</f>
        <v>A</v>
      </c>
      <c r="G330" s="15" t="str">
        <f>VLOOKUP(D330,Classification!$A:$D,2,FALSE)</f>
        <v>A</v>
      </c>
      <c r="H330" s="15" t="b">
        <f t="shared" si="5"/>
        <v>1</v>
      </c>
      <c r="K330" s="3"/>
    </row>
    <row r="331" spans="1:11" x14ac:dyDescent="0.2">
      <c r="A331" s="10" t="str">
        <f>IF(ISERROR(MATCH(B331,'SegEnds_Xtal_Prot#'!B:B, 0)), "NoXtal", "Xtal")</f>
        <v>NoXtal</v>
      </c>
      <c r="B331" t="s">
        <v>350</v>
      </c>
      <c r="C331" s="1" t="s">
        <v>371</v>
      </c>
      <c r="D331" t="s">
        <v>345</v>
      </c>
      <c r="E331" s="28" t="str">
        <f>VLOOKUP(B331,Classification!$A:$D,2,FALSE)</f>
        <v>A</v>
      </c>
      <c r="F331" s="49" t="str">
        <f>VLOOKUP(C331,Classification!$A:$D,2,FALSE)</f>
        <v>A</v>
      </c>
      <c r="G331" s="15" t="str">
        <f>VLOOKUP(D331,Classification!$A:$D,2,FALSE)</f>
        <v>A</v>
      </c>
      <c r="H331" s="15" t="b">
        <f t="shared" si="5"/>
        <v>1</v>
      </c>
      <c r="K331" s="3"/>
    </row>
    <row r="332" spans="1:11" x14ac:dyDescent="0.2">
      <c r="A332" s="10" t="str">
        <f>IF(ISERROR(MATCH(B332,'SegEnds_Xtal_Prot#'!B:B, 0)), "NoXtal", "Xtal")</f>
        <v>NoXtal</v>
      </c>
      <c r="B332" t="s">
        <v>343</v>
      </c>
      <c r="C332" s="1" t="s">
        <v>345</v>
      </c>
      <c r="D332" t="s">
        <v>345</v>
      </c>
      <c r="E332" s="28" t="str">
        <f>VLOOKUP(B332,Classification!$A:$D,2,FALSE)</f>
        <v>A</v>
      </c>
      <c r="F332" s="49" t="str">
        <f>VLOOKUP(C332,Classification!$A:$D,2,FALSE)</f>
        <v>A</v>
      </c>
      <c r="G332" s="15" t="str">
        <f>VLOOKUP(D332,Classification!$A:$D,2,FALSE)</f>
        <v>A</v>
      </c>
      <c r="H332" s="15" t="b">
        <f t="shared" si="5"/>
        <v>1</v>
      </c>
      <c r="K332" s="3"/>
    </row>
    <row r="333" spans="1:11" x14ac:dyDescent="0.2">
      <c r="A333" s="10" t="str">
        <f>IF(ISERROR(MATCH(B333,'SegEnds_Xtal_Prot#'!B:B, 0)), "NoXtal", "Xtal")</f>
        <v>NoXtal</v>
      </c>
      <c r="B333" t="s">
        <v>250</v>
      </c>
      <c r="C333" s="1" t="s">
        <v>916</v>
      </c>
      <c r="D333" t="s">
        <v>345</v>
      </c>
      <c r="E333" s="28" t="str">
        <f>VLOOKUP(B333,Classification!$A:$D,2,FALSE)</f>
        <v>A</v>
      </c>
      <c r="F333" s="49" t="str">
        <f>VLOOKUP(C333,Classification!$A:$D,2,FALSE)</f>
        <v>A</v>
      </c>
      <c r="G333" s="15" t="str">
        <f>VLOOKUP(D333,Classification!$A:$D,2,FALSE)</f>
        <v>A</v>
      </c>
      <c r="H333" s="15" t="b">
        <f t="shared" si="5"/>
        <v>1</v>
      </c>
      <c r="K333" s="3"/>
    </row>
    <row r="334" spans="1:11" x14ac:dyDescent="0.2">
      <c r="A334" s="10" t="str">
        <f>IF(ISERROR(MATCH(B334,'SegEnds_Xtal_Prot#'!B:B, 0)), "NoXtal", "Xtal")</f>
        <v>NoXtal</v>
      </c>
      <c r="B334" t="s">
        <v>386</v>
      </c>
      <c r="C334" s="1" t="s">
        <v>345</v>
      </c>
      <c r="D334" t="s">
        <v>345</v>
      </c>
      <c r="E334" s="28" t="str">
        <f>VLOOKUP(B334,Classification!$A:$D,2,FALSE)</f>
        <v>A</v>
      </c>
      <c r="F334" s="49" t="str">
        <f>VLOOKUP(C334,Classification!$A:$D,2,FALSE)</f>
        <v>A</v>
      </c>
      <c r="G334" s="15" t="str">
        <f>VLOOKUP(D334,Classification!$A:$D,2,FALSE)</f>
        <v>A</v>
      </c>
      <c r="H334" s="15" t="b">
        <f t="shared" si="5"/>
        <v>1</v>
      </c>
      <c r="K334" s="3"/>
    </row>
    <row r="335" spans="1:11" x14ac:dyDescent="0.2">
      <c r="A335" s="10" t="str">
        <f>IF(ISERROR(MATCH(B335,'SegEnds_Xtal_Prot#'!B:B, 0)), "NoXtal", "Xtal")</f>
        <v>NoXtal</v>
      </c>
      <c r="B335" t="s">
        <v>231</v>
      </c>
      <c r="C335" s="1" t="s">
        <v>345</v>
      </c>
      <c r="D335" t="s">
        <v>345</v>
      </c>
      <c r="E335" s="28" t="str">
        <f>VLOOKUP(B335,Classification!$A:$D,2,FALSE)</f>
        <v>A</v>
      </c>
      <c r="F335" s="49" t="str">
        <f>VLOOKUP(C335,Classification!$A:$D,2,FALSE)</f>
        <v>A</v>
      </c>
      <c r="G335" s="15" t="str">
        <f>VLOOKUP(D335,Classification!$A:$D,2,FALSE)</f>
        <v>A</v>
      </c>
      <c r="H335" s="15" t="b">
        <f t="shared" si="5"/>
        <v>1</v>
      </c>
      <c r="K335" s="3"/>
    </row>
    <row r="336" spans="1:11" x14ac:dyDescent="0.2">
      <c r="A336" s="10" t="str">
        <f>IF(ISERROR(MATCH(B336,'SegEnds_Xtal_Prot#'!B:B, 0)), "NoXtal", "Xtal")</f>
        <v>NoXtal</v>
      </c>
      <c r="B336" t="s">
        <v>180</v>
      </c>
      <c r="C336" s="1" t="s">
        <v>345</v>
      </c>
      <c r="D336" t="s">
        <v>345</v>
      </c>
      <c r="E336" s="28" t="str">
        <f>VLOOKUP(B336,Classification!$A:$D,2,FALSE)</f>
        <v>A</v>
      </c>
      <c r="F336" s="49" t="str">
        <f>VLOOKUP(C336,Classification!$A:$D,2,FALSE)</f>
        <v>A</v>
      </c>
      <c r="G336" s="15" t="str">
        <f>VLOOKUP(D336,Classification!$A:$D,2,FALSE)</f>
        <v>A</v>
      </c>
      <c r="H336" s="15" t="b">
        <f t="shared" si="5"/>
        <v>1</v>
      </c>
      <c r="K336" s="3"/>
    </row>
    <row r="337" spans="1:11" x14ac:dyDescent="0.2">
      <c r="A337" s="10" t="str">
        <f>IF(ISERROR(MATCH(B337,'SegEnds_Xtal_Prot#'!B:B, 0)), "NoXtal", "Xtal")</f>
        <v>NoXtal</v>
      </c>
      <c r="B337" t="s">
        <v>179</v>
      </c>
      <c r="C337" s="1" t="s">
        <v>371</v>
      </c>
      <c r="D337" t="s">
        <v>345</v>
      </c>
      <c r="E337" s="28" t="str">
        <f>VLOOKUP(B337,Classification!$A:$D,2,FALSE)</f>
        <v>A</v>
      </c>
      <c r="F337" s="49" t="str">
        <f>VLOOKUP(C337,Classification!$A:$D,2,FALSE)</f>
        <v>A</v>
      </c>
      <c r="G337" s="15" t="str">
        <f>VLOOKUP(D337,Classification!$A:$D,2,FALSE)</f>
        <v>A</v>
      </c>
      <c r="H337" s="15" t="b">
        <f t="shared" si="5"/>
        <v>1</v>
      </c>
      <c r="K337" s="3"/>
    </row>
    <row r="338" spans="1:11" x14ac:dyDescent="0.2">
      <c r="A338" s="10" t="str">
        <f>IF(ISERROR(MATCH(B338,'SegEnds_Xtal_Prot#'!B:B, 0)), "NoXtal", "Xtal")</f>
        <v>NoXtal</v>
      </c>
      <c r="B338" t="s">
        <v>240</v>
      </c>
      <c r="C338" s="1" t="s">
        <v>160</v>
      </c>
      <c r="D338" t="s">
        <v>345</v>
      </c>
      <c r="E338" s="28" t="str">
        <f>VLOOKUP(B338,Classification!$A:$D,2,FALSE)</f>
        <v>A</v>
      </c>
      <c r="F338" s="49" t="str">
        <f>VLOOKUP(C338,Classification!$A:$D,2,FALSE)</f>
        <v>A</v>
      </c>
      <c r="G338" s="15" t="str">
        <f>VLOOKUP(D338,Classification!$A:$D,2,FALSE)</f>
        <v>A</v>
      </c>
      <c r="H338" s="15" t="b">
        <f t="shared" si="5"/>
        <v>1</v>
      </c>
      <c r="K338" s="3"/>
    </row>
    <row r="339" spans="1:11" x14ac:dyDescent="0.2">
      <c r="A339" s="10" t="str">
        <f>IF(ISERROR(MATCH(B339,'SegEnds_Xtal_Prot#'!B:B, 0)), "NoXtal", "Xtal")</f>
        <v>NoXtal</v>
      </c>
      <c r="B339" t="s">
        <v>301</v>
      </c>
      <c r="C339" s="1" t="s">
        <v>165</v>
      </c>
      <c r="D339" t="s">
        <v>345</v>
      </c>
      <c r="E339" s="28" t="str">
        <f>VLOOKUP(B339,Classification!$A:$D,2,FALSE)</f>
        <v>A</v>
      </c>
      <c r="F339" s="49" t="str">
        <f>VLOOKUP(C339,Classification!$A:$D,2,FALSE)</f>
        <v>A</v>
      </c>
      <c r="G339" s="15" t="str">
        <f>VLOOKUP(D339,Classification!$A:$D,2,FALSE)</f>
        <v>A</v>
      </c>
      <c r="H339" s="15" t="b">
        <f t="shared" si="5"/>
        <v>1</v>
      </c>
      <c r="K339" s="3"/>
    </row>
    <row r="340" spans="1:11" x14ac:dyDescent="0.2">
      <c r="A340" s="10" t="str">
        <f>IF(ISERROR(MATCH(B340,'SegEnds_Xtal_Prot#'!B:B, 0)), "NoXtal", "Xtal")</f>
        <v>NoXtal</v>
      </c>
      <c r="B340" t="s">
        <v>241</v>
      </c>
      <c r="C340" s="1" t="s">
        <v>160</v>
      </c>
      <c r="D340" t="s">
        <v>345</v>
      </c>
      <c r="E340" s="28" t="str">
        <f>VLOOKUP(B340,Classification!$A:$D,2,FALSE)</f>
        <v>A</v>
      </c>
      <c r="F340" s="49" t="str">
        <f>VLOOKUP(C340,Classification!$A:$D,2,FALSE)</f>
        <v>A</v>
      </c>
      <c r="G340" s="15" t="str">
        <f>VLOOKUP(D340,Classification!$A:$D,2,FALSE)</f>
        <v>A</v>
      </c>
      <c r="H340" s="15" t="b">
        <f t="shared" si="5"/>
        <v>1</v>
      </c>
      <c r="K340" s="3"/>
    </row>
    <row r="341" spans="1:11" x14ac:dyDescent="0.2">
      <c r="A341" s="10" t="str">
        <f>IF(ISERROR(MATCH(B341,'SegEnds_Xtal_Prot#'!B:B, 0)), "NoXtal", "Xtal")</f>
        <v>NoXtal</v>
      </c>
      <c r="B341" t="s">
        <v>294</v>
      </c>
      <c r="C341" s="1" t="s">
        <v>158</v>
      </c>
      <c r="D341" t="s">
        <v>345</v>
      </c>
      <c r="E341" s="28" t="str">
        <f>VLOOKUP(B341,Classification!$A:$D,2,FALSE)</f>
        <v>A</v>
      </c>
      <c r="F341" s="49" t="str">
        <f>VLOOKUP(C341,Classification!$A:$D,2,FALSE)</f>
        <v>A</v>
      </c>
      <c r="G341" s="15" t="str">
        <f>VLOOKUP(D341,Classification!$A:$D,2,FALSE)</f>
        <v>A</v>
      </c>
      <c r="H341" s="15" t="b">
        <f t="shared" si="5"/>
        <v>1</v>
      </c>
      <c r="K341" s="3"/>
    </row>
    <row r="342" spans="1:11" x14ac:dyDescent="0.2">
      <c r="A342" s="10" t="str">
        <f>IF(ISERROR(MATCH(B342,'SegEnds_Xtal_Prot#'!B:B, 0)), "NoXtal", "Xtal")</f>
        <v>NoXtal</v>
      </c>
      <c r="B342" t="s">
        <v>370</v>
      </c>
      <c r="C342" s="1" t="s">
        <v>371</v>
      </c>
      <c r="D342" t="s">
        <v>345</v>
      </c>
      <c r="E342" s="28" t="str">
        <f>VLOOKUP(B342,Classification!$A:$D,2,FALSE)</f>
        <v>A</v>
      </c>
      <c r="F342" s="49" t="str">
        <f>VLOOKUP(C342,Classification!$A:$D,2,FALSE)</f>
        <v>A</v>
      </c>
      <c r="G342" s="15" t="str">
        <f>VLOOKUP(D342,Classification!$A:$D,2,FALSE)</f>
        <v>A</v>
      </c>
      <c r="H342" s="15" t="b">
        <f t="shared" si="5"/>
        <v>1</v>
      </c>
      <c r="K342" s="3"/>
    </row>
    <row r="343" spans="1:11" x14ac:dyDescent="0.2">
      <c r="A343" s="10" t="str">
        <f>IF(ISERROR(MATCH(B343,'SegEnds_Xtal_Prot#'!B:B, 0)), "NoXtal", "Xtal")</f>
        <v>Xtal</v>
      </c>
      <c r="B343" t="s">
        <v>345</v>
      </c>
      <c r="C343" s="1" t="s">
        <v>345</v>
      </c>
      <c r="D343" t="s">
        <v>345</v>
      </c>
      <c r="E343" s="28" t="str">
        <f>VLOOKUP(B343,Classification!$A:$D,2,FALSE)</f>
        <v>A</v>
      </c>
      <c r="F343" s="49" t="str">
        <f>VLOOKUP(C343,Classification!$A:$D,2,FALSE)</f>
        <v>A</v>
      </c>
      <c r="G343" s="15" t="str">
        <f>VLOOKUP(D343,Classification!$A:$D,2,FALSE)</f>
        <v>A</v>
      </c>
      <c r="H343" s="15" t="b">
        <f t="shared" si="5"/>
        <v>1</v>
      </c>
      <c r="K343" s="3"/>
    </row>
    <row r="344" spans="1:11" x14ac:dyDescent="0.2">
      <c r="A344" s="10" t="str">
        <f>IF(ISERROR(MATCH(B344,'SegEnds_Xtal_Prot#'!B:B, 0)), "NoXtal", "Xtal")</f>
        <v>NoXtal</v>
      </c>
      <c r="B344" t="s">
        <v>305</v>
      </c>
      <c r="C344" s="1" t="s">
        <v>158</v>
      </c>
      <c r="D344" t="s">
        <v>345</v>
      </c>
      <c r="E344" s="28" t="str">
        <f>VLOOKUP(B344,Classification!$A:$D,2,FALSE)</f>
        <v>A</v>
      </c>
      <c r="F344" s="49" t="str">
        <f>VLOOKUP(C344,Classification!$A:$D,2,FALSE)</f>
        <v>A</v>
      </c>
      <c r="G344" s="15" t="str">
        <f>VLOOKUP(D344,Classification!$A:$D,2,FALSE)</f>
        <v>A</v>
      </c>
      <c r="H344" s="15" t="b">
        <f t="shared" si="5"/>
        <v>1</v>
      </c>
      <c r="K344" s="3"/>
    </row>
    <row r="345" spans="1:11" x14ac:dyDescent="0.2">
      <c r="A345" s="10" t="str">
        <f>IF(ISERROR(MATCH(B345,'SegEnds_Xtal_Prot#'!B:B, 0)), "NoXtal", "Xtal")</f>
        <v>NoXtal</v>
      </c>
      <c r="B345" t="s">
        <v>290</v>
      </c>
      <c r="C345" s="1" t="s">
        <v>371</v>
      </c>
      <c r="D345" t="s">
        <v>345</v>
      </c>
      <c r="E345" s="28" t="str">
        <f>VLOOKUP(B345,Classification!$A:$D,2,FALSE)</f>
        <v>A</v>
      </c>
      <c r="F345" s="49" t="str">
        <f>VLOOKUP(C345,Classification!$A:$D,2,FALSE)</f>
        <v>A</v>
      </c>
      <c r="G345" s="15" t="str">
        <f>VLOOKUP(D345,Classification!$A:$D,2,FALSE)</f>
        <v>A</v>
      </c>
      <c r="H345" s="15" t="b">
        <f t="shared" si="5"/>
        <v>1</v>
      </c>
      <c r="K345" s="3"/>
    </row>
    <row r="346" spans="1:11" x14ac:dyDescent="0.2">
      <c r="A346" s="10" t="str">
        <f>IF(ISERROR(MATCH(B346,'SegEnds_Xtal_Prot#'!B:B, 0)), "NoXtal", "Xtal")</f>
        <v>Xtal</v>
      </c>
      <c r="B346" t="s">
        <v>1451</v>
      </c>
      <c r="C346" s="1" t="s">
        <v>1451</v>
      </c>
      <c r="D346" t="s">
        <v>1451</v>
      </c>
      <c r="E346" s="28" t="str">
        <f>VLOOKUP(B346,Classification!$A:$D,2,FALSE)</f>
        <v>A</v>
      </c>
      <c r="F346" s="49" t="str">
        <f>VLOOKUP(C346,Classification!$A:$D,2,FALSE)</f>
        <v>A</v>
      </c>
      <c r="G346" s="15" t="str">
        <f>VLOOKUP(D346,Classification!$A:$D,2,FALSE)</f>
        <v>A</v>
      </c>
      <c r="H346" s="15" t="b">
        <f>OR(E346=G346,AND(E346="T",G346="A"),AND(E346="B2",G346="B1"),E346="O")</f>
        <v>1</v>
      </c>
      <c r="K346" s="3"/>
    </row>
    <row r="347" spans="1:11" x14ac:dyDescent="0.2">
      <c r="A347" s="10" t="str">
        <f>IF(ISERROR(MATCH(B347,'SegEnds_Xtal_Prot#'!B:B, 0)), "NoXtal", "Xtal")</f>
        <v>Xtal</v>
      </c>
      <c r="B347" t="s">
        <v>1463</v>
      </c>
      <c r="C347" s="1" t="s">
        <v>1463</v>
      </c>
      <c r="D347" t="s">
        <v>1463</v>
      </c>
      <c r="E347" s="28" t="str">
        <f>VLOOKUP(B347,Classification!$A:$D,2,FALSE)</f>
        <v>A</v>
      </c>
      <c r="F347" s="49" t="str">
        <f>VLOOKUP(C347,Classification!$A:$D,2,FALSE)</f>
        <v>A</v>
      </c>
      <c r="G347" s="15" t="str">
        <f>VLOOKUP(D347,Classification!$A:$D,2,FALSE)</f>
        <v>A</v>
      </c>
      <c r="H347" s="15" t="b">
        <f>OR(E347=G347,AND(E347="T",G347="A"),AND(E347="B2",G347="B1"),E347="O")</f>
        <v>1</v>
      </c>
      <c r="K347" s="3"/>
    </row>
    <row r="348" spans="1:11" x14ac:dyDescent="0.2">
      <c r="A348" s="10" t="str">
        <f>IF(ISERROR(MATCH(B348,'SegEnds_Xtal_Prot#'!B:B, 0)), "NoXtal", "Xtal")</f>
        <v>NoXtal</v>
      </c>
      <c r="B348" t="s">
        <v>303</v>
      </c>
      <c r="C348" s="1" t="s">
        <v>165</v>
      </c>
      <c r="D348" t="s">
        <v>345</v>
      </c>
      <c r="E348" s="28" t="str">
        <f>VLOOKUP(B348,Classification!$A:$D,2,FALSE)</f>
        <v>A</v>
      </c>
      <c r="F348" s="49" t="str">
        <f>VLOOKUP(C348,Classification!$A:$D,2,FALSE)</f>
        <v>A</v>
      </c>
      <c r="G348" s="15" t="str">
        <f>VLOOKUP(D348,Classification!$A:$D,2,FALSE)</f>
        <v>A</v>
      </c>
      <c r="H348" s="15" t="b">
        <f t="shared" si="5"/>
        <v>1</v>
      </c>
      <c r="K348" s="3"/>
    </row>
    <row r="349" spans="1:11" x14ac:dyDescent="0.2">
      <c r="A349" s="10" t="str">
        <f>IF(ISERROR(MATCH(B349,'SegEnds_Xtal_Prot#'!B:B, 0)), "NoXtal", "Xtal")</f>
        <v>NoXtal</v>
      </c>
      <c r="B349" t="s">
        <v>351</v>
      </c>
      <c r="C349" s="1" t="s">
        <v>345</v>
      </c>
      <c r="D349" t="s">
        <v>345</v>
      </c>
      <c r="E349" s="28" t="str">
        <f>VLOOKUP(B349,Classification!$A:$D,2,FALSE)</f>
        <v>A</v>
      </c>
      <c r="F349" s="49" t="str">
        <f>VLOOKUP(C349,Classification!$A:$D,2,FALSE)</f>
        <v>A</v>
      </c>
      <c r="G349" s="15" t="str">
        <f>VLOOKUP(D349,Classification!$A:$D,2,FALSE)</f>
        <v>A</v>
      </c>
      <c r="H349" s="15" t="b">
        <f t="shared" si="5"/>
        <v>1</v>
      </c>
      <c r="K349" s="3"/>
    </row>
    <row r="350" spans="1:11" x14ac:dyDescent="0.2">
      <c r="A350" s="10" t="str">
        <f>IF(ISERROR(MATCH(B350,'SegEnds_Xtal_Prot#'!B:B, 0)), "NoXtal", "Xtal")</f>
        <v>NoXtal</v>
      </c>
      <c r="B350" t="s">
        <v>288</v>
      </c>
      <c r="C350" s="1" t="s">
        <v>336</v>
      </c>
      <c r="D350" t="s">
        <v>345</v>
      </c>
      <c r="E350" s="28" t="str">
        <f>VLOOKUP(B350,Classification!$A:$D,2,FALSE)</f>
        <v>A</v>
      </c>
      <c r="F350" s="49" t="str">
        <f>VLOOKUP(C350,Classification!$A:$D,2,FALSE)</f>
        <v>A</v>
      </c>
      <c r="G350" s="15" t="str">
        <f>VLOOKUP(D350,Classification!$A:$D,2,FALSE)</f>
        <v>A</v>
      </c>
      <c r="H350" s="15" t="b">
        <f t="shared" si="5"/>
        <v>1</v>
      </c>
      <c r="K350" s="3"/>
    </row>
    <row r="351" spans="1:11" x14ac:dyDescent="0.2">
      <c r="A351" s="10" t="str">
        <f>IF(ISERROR(MATCH(B351,'SegEnds_Xtal_Prot#'!B:B, 0)), "NoXtal", "Xtal")</f>
        <v>NoXtal</v>
      </c>
      <c r="B351" t="s">
        <v>347</v>
      </c>
      <c r="C351" s="1" t="s">
        <v>345</v>
      </c>
      <c r="D351" t="s">
        <v>345</v>
      </c>
      <c r="E351" s="28" t="str">
        <f>VLOOKUP(B351,Classification!$A:$D,2,FALSE)</f>
        <v>A</v>
      </c>
      <c r="F351" s="49" t="str">
        <f>VLOOKUP(C351,Classification!$A:$D,2,FALSE)</f>
        <v>A</v>
      </c>
      <c r="G351" s="15" t="str">
        <f>VLOOKUP(D351,Classification!$A:$D,2,FALSE)</f>
        <v>A</v>
      </c>
      <c r="H351" s="15" t="b">
        <f t="shared" si="5"/>
        <v>1</v>
      </c>
      <c r="K351" s="3"/>
    </row>
    <row r="352" spans="1:11" x14ac:dyDescent="0.2">
      <c r="A352" s="10" t="str">
        <f>IF(ISERROR(MATCH(B352,'SegEnds_Xtal_Prot#'!B:B, 0)), "NoXtal", "Xtal")</f>
        <v>NoXtal</v>
      </c>
      <c r="B352" t="s">
        <v>295</v>
      </c>
      <c r="C352" s="1" t="s">
        <v>177</v>
      </c>
      <c r="D352" t="s">
        <v>345</v>
      </c>
      <c r="E352" s="28" t="str">
        <f>VLOOKUP(B352,Classification!$A:$D,2,FALSE)</f>
        <v>A</v>
      </c>
      <c r="F352" s="49" t="str">
        <f>VLOOKUP(C352,Classification!$A:$D,2,FALSE)</f>
        <v>A</v>
      </c>
      <c r="G352" s="15" t="str">
        <f>VLOOKUP(D352,Classification!$A:$D,2,FALSE)</f>
        <v>A</v>
      </c>
      <c r="H352" s="15" t="b">
        <f t="shared" si="5"/>
        <v>1</v>
      </c>
      <c r="K352" s="3"/>
    </row>
    <row r="353" spans="1:11" x14ac:dyDescent="0.2">
      <c r="A353" s="10" t="str">
        <f>IF(ISERROR(MATCH(B353,'SegEnds_Xtal_Prot#'!B:B, 0)), "NoXtal", "Xtal")</f>
        <v>NoXtal</v>
      </c>
      <c r="B353" t="s">
        <v>275</v>
      </c>
      <c r="C353" s="1" t="s">
        <v>345</v>
      </c>
      <c r="D353" t="s">
        <v>345</v>
      </c>
      <c r="E353" s="28" t="str">
        <f>VLOOKUP(B353,Classification!$A:$D,2,FALSE)</f>
        <v>A</v>
      </c>
      <c r="F353" s="49" t="str">
        <f>VLOOKUP(C353,Classification!$A:$D,2,FALSE)</f>
        <v>A</v>
      </c>
      <c r="G353" s="15" t="str">
        <f>VLOOKUP(D353,Classification!$A:$D,2,FALSE)</f>
        <v>A</v>
      </c>
      <c r="H353" s="15" t="b">
        <f t="shared" si="5"/>
        <v>1</v>
      </c>
      <c r="K353" s="3"/>
    </row>
    <row r="354" spans="1:11" x14ac:dyDescent="0.2">
      <c r="A354" s="10" t="str">
        <f>IF(ISERROR(MATCH(B354,'SegEnds_Xtal_Prot#'!B:B, 0)), "NoXtal", "Xtal")</f>
        <v>NoXtal</v>
      </c>
      <c r="B354" t="s">
        <v>276</v>
      </c>
      <c r="C354" s="1" t="s">
        <v>336</v>
      </c>
      <c r="D354" t="s">
        <v>345</v>
      </c>
      <c r="E354" s="28" t="str">
        <f>VLOOKUP(B354,Classification!$A:$D,2,FALSE)</f>
        <v>A</v>
      </c>
      <c r="F354" s="49" t="str">
        <f>VLOOKUP(C354,Classification!$A:$D,2,FALSE)</f>
        <v>A</v>
      </c>
      <c r="G354" s="15" t="str">
        <f>VLOOKUP(D354,Classification!$A:$D,2,FALSE)</f>
        <v>A</v>
      </c>
      <c r="H354" s="15" t="b">
        <f t="shared" si="5"/>
        <v>1</v>
      </c>
      <c r="K354" s="3"/>
    </row>
    <row r="355" spans="1:11" x14ac:dyDescent="0.2">
      <c r="A355" s="10" t="str">
        <f>IF(ISERROR(MATCH(B355,'SegEnds_Xtal_Prot#'!B:B, 0)), "NoXtal", "Xtal")</f>
        <v>NoXtal</v>
      </c>
      <c r="B355" t="s">
        <v>346</v>
      </c>
      <c r="C355" s="1" t="s">
        <v>345</v>
      </c>
      <c r="D355" t="s">
        <v>345</v>
      </c>
      <c r="E355" s="28" t="str">
        <f>VLOOKUP(B355,Classification!$A:$D,2,FALSE)</f>
        <v>A</v>
      </c>
      <c r="F355" s="49" t="str">
        <f>VLOOKUP(C355,Classification!$A:$D,2,FALSE)</f>
        <v>A</v>
      </c>
      <c r="G355" s="15" t="str">
        <f>VLOOKUP(D355,Classification!$A:$D,2,FALSE)</f>
        <v>A</v>
      </c>
      <c r="H355" s="15" t="b">
        <f t="shared" si="5"/>
        <v>1</v>
      </c>
      <c r="K355" s="3"/>
    </row>
    <row r="356" spans="1:11" x14ac:dyDescent="0.2">
      <c r="A356" s="10" t="str">
        <f>IF(ISERROR(MATCH(B356,'SegEnds_Xtal_Prot#'!B:B, 0)), "NoXtal", "Xtal")</f>
        <v>NoXtal</v>
      </c>
      <c r="B356" t="s">
        <v>214</v>
      </c>
      <c r="C356" s="1" t="s">
        <v>345</v>
      </c>
      <c r="D356" t="s">
        <v>345</v>
      </c>
      <c r="E356" s="28" t="str">
        <f>VLOOKUP(B356,Classification!$A:$D,2,FALSE)</f>
        <v>A</v>
      </c>
      <c r="F356" s="49" t="str">
        <f>VLOOKUP(C356,Classification!$A:$D,2,FALSE)</f>
        <v>A</v>
      </c>
      <c r="G356" s="15" t="str">
        <f>VLOOKUP(D356,Classification!$A:$D,2,FALSE)</f>
        <v>A</v>
      </c>
      <c r="H356" s="15" t="b">
        <f t="shared" si="5"/>
        <v>1</v>
      </c>
      <c r="K356" s="3"/>
    </row>
    <row r="357" spans="1:11" x14ac:dyDescent="0.2">
      <c r="A357" s="10" t="str">
        <f>IF(ISERROR(MATCH(B357,'SegEnds_Xtal_Prot#'!B:B, 0)), "NoXtal", "Xtal")</f>
        <v>NoXtal</v>
      </c>
      <c r="B357" t="s">
        <v>289</v>
      </c>
      <c r="C357" s="1" t="s">
        <v>356</v>
      </c>
      <c r="D357" t="s">
        <v>345</v>
      </c>
      <c r="E357" s="28" t="str">
        <f>VLOOKUP(B357,Classification!$A:$D,2,FALSE)</f>
        <v>A</v>
      </c>
      <c r="F357" s="49" t="str">
        <f>VLOOKUP(C357,Classification!$A:$D,2,FALSE)</f>
        <v>A</v>
      </c>
      <c r="G357" s="15" t="str">
        <f>VLOOKUP(D357,Classification!$A:$D,2,FALSE)</f>
        <v>A</v>
      </c>
      <c r="H357" s="15" t="b">
        <f t="shared" si="5"/>
        <v>1</v>
      </c>
      <c r="K357" s="3"/>
    </row>
    <row r="358" spans="1:11" x14ac:dyDescent="0.2">
      <c r="A358" s="10" t="str">
        <f>IF(ISERROR(MATCH(B358,'SegEnds_Xtal_Prot#'!B:B, 0)), "NoXtal", "Xtal")</f>
        <v>NoXtal</v>
      </c>
      <c r="B358" t="s">
        <v>257</v>
      </c>
      <c r="C358" s="1" t="s">
        <v>371</v>
      </c>
      <c r="D358" t="s">
        <v>345</v>
      </c>
      <c r="E358" s="28" t="str">
        <f>VLOOKUP(B358,Classification!$A:$D,2,FALSE)</f>
        <v>A</v>
      </c>
      <c r="F358" s="49" t="str">
        <f>VLOOKUP(C358,Classification!$A:$D,2,FALSE)</f>
        <v>A</v>
      </c>
      <c r="G358" s="15" t="str">
        <f>VLOOKUP(D358,Classification!$A:$D,2,FALSE)</f>
        <v>A</v>
      </c>
      <c r="H358" s="15" t="b">
        <f t="shared" si="5"/>
        <v>1</v>
      </c>
      <c r="K358" s="3"/>
    </row>
    <row r="359" spans="1:11" x14ac:dyDescent="0.2">
      <c r="A359" s="10" t="str">
        <f>IF(ISERROR(MATCH(B359,'SegEnds_Xtal_Prot#'!B:B, 0)), "NoXtal", "Xtal")</f>
        <v>NoXtal</v>
      </c>
      <c r="B359" t="s">
        <v>277</v>
      </c>
      <c r="C359" s="1" t="s">
        <v>345</v>
      </c>
      <c r="D359" t="s">
        <v>345</v>
      </c>
      <c r="E359" s="28" t="str">
        <f>VLOOKUP(B359,Classification!$A:$D,2,FALSE)</f>
        <v>A</v>
      </c>
      <c r="F359" s="49" t="str">
        <f>VLOOKUP(C359,Classification!$A:$D,2,FALSE)</f>
        <v>A</v>
      </c>
      <c r="G359" s="15" t="str">
        <f>VLOOKUP(D359,Classification!$A:$D,2,FALSE)</f>
        <v>A</v>
      </c>
      <c r="H359" s="15" t="b">
        <f t="shared" si="5"/>
        <v>1</v>
      </c>
      <c r="K359" s="3"/>
    </row>
    <row r="360" spans="1:11" x14ac:dyDescent="0.2">
      <c r="A360" s="10" t="str">
        <f>IF(ISERROR(MATCH(B360,'SegEnds_Xtal_Prot#'!B:B, 0)), "NoXtal", "Xtal")</f>
        <v>NoXtal</v>
      </c>
      <c r="B360" t="s">
        <v>229</v>
      </c>
      <c r="C360" s="1" t="s">
        <v>352</v>
      </c>
      <c r="D360" t="s">
        <v>352</v>
      </c>
      <c r="E360" s="28" t="str">
        <f>VLOOKUP(B360,Classification!$A:$D,2,FALSE)</f>
        <v>A</v>
      </c>
      <c r="F360" s="49" t="str">
        <f>VLOOKUP(C360,Classification!$A:$D,2,FALSE)</f>
        <v>A</v>
      </c>
      <c r="G360" s="15" t="str">
        <f>VLOOKUP(D360,Classification!$A:$D,2,FALSE)</f>
        <v>A</v>
      </c>
      <c r="H360" s="15" t="b">
        <f t="shared" si="5"/>
        <v>1</v>
      </c>
      <c r="K360" s="3"/>
    </row>
    <row r="361" spans="1:11" x14ac:dyDescent="0.2">
      <c r="A361" s="10" t="str">
        <f>IF(ISERROR(MATCH(B361,'SegEnds_Xtal_Prot#'!B:B, 0)), "NoXtal", "Xtal")</f>
        <v>NoXtal</v>
      </c>
      <c r="B361" t="s">
        <v>353</v>
      </c>
      <c r="C361" s="1" t="s">
        <v>352</v>
      </c>
      <c r="D361" t="s">
        <v>352</v>
      </c>
      <c r="E361" s="28" t="str">
        <f>VLOOKUP(B361,Classification!$A:$D,2,FALSE)</f>
        <v>A</v>
      </c>
      <c r="F361" s="49" t="str">
        <f>VLOOKUP(C361,Classification!$A:$D,2,FALSE)</f>
        <v>A</v>
      </c>
      <c r="G361" s="15" t="str">
        <f>VLOOKUP(D361,Classification!$A:$D,2,FALSE)</f>
        <v>A</v>
      </c>
      <c r="H361" s="15" t="b">
        <f t="shared" si="5"/>
        <v>1</v>
      </c>
      <c r="K361" s="3"/>
    </row>
    <row r="362" spans="1:11" x14ac:dyDescent="0.2">
      <c r="A362" s="10" t="str">
        <f>IF(ISERROR(MATCH(B362,'SegEnds_Xtal_Prot#'!B:B, 0)), "NoXtal", "Xtal")</f>
        <v>NoXtal</v>
      </c>
      <c r="B362" t="s">
        <v>354</v>
      </c>
      <c r="C362" s="1" t="s">
        <v>352</v>
      </c>
      <c r="D362" t="s">
        <v>352</v>
      </c>
      <c r="E362" s="28" t="str">
        <f>VLOOKUP(B362,Classification!$A:$D,2,FALSE)</f>
        <v>A</v>
      </c>
      <c r="F362" s="49" t="str">
        <f>VLOOKUP(C362,Classification!$A:$D,2,FALSE)</f>
        <v>A</v>
      </c>
      <c r="G362" s="15" t="str">
        <f>VLOOKUP(D362,Classification!$A:$D,2,FALSE)</f>
        <v>A</v>
      </c>
      <c r="H362" s="15" t="b">
        <f t="shared" si="5"/>
        <v>1</v>
      </c>
      <c r="K362" s="3"/>
    </row>
    <row r="363" spans="1:11" x14ac:dyDescent="0.2">
      <c r="A363" s="10" t="str">
        <f>IF(ISERROR(MATCH(B363,'SegEnds_Xtal_Prot#'!B:B, 0)), "NoXtal", "Xtal")</f>
        <v>Xtal</v>
      </c>
      <c r="B363" t="s">
        <v>352</v>
      </c>
      <c r="C363" s="1" t="s">
        <v>352</v>
      </c>
      <c r="D363" t="s">
        <v>352</v>
      </c>
      <c r="E363" s="28" t="str">
        <f>VLOOKUP(B363,Classification!$A:$D,2,FALSE)</f>
        <v>A</v>
      </c>
      <c r="F363" s="49" t="str">
        <f>VLOOKUP(C363,Classification!$A:$D,2,FALSE)</f>
        <v>A</v>
      </c>
      <c r="G363" s="15" t="str">
        <f>VLOOKUP(D363,Classification!$A:$D,2,FALSE)</f>
        <v>A</v>
      </c>
      <c r="H363" s="15" t="b">
        <f t="shared" si="5"/>
        <v>1</v>
      </c>
      <c r="K363" s="3"/>
    </row>
    <row r="364" spans="1:11" x14ac:dyDescent="0.2">
      <c r="A364" s="10" t="str">
        <f>IF(ISERROR(MATCH(B364,'SegEnds_Xtal_Prot#'!B:B, 0)), "NoXtal", "Xtal")</f>
        <v>NoXtal</v>
      </c>
      <c r="B364" t="s">
        <v>272</v>
      </c>
      <c r="C364" s="1" t="s">
        <v>352</v>
      </c>
      <c r="D364" t="s">
        <v>352</v>
      </c>
      <c r="E364" s="28" t="str">
        <f>VLOOKUP(B364,Classification!$A:$D,2,FALSE)</f>
        <v>A</v>
      </c>
      <c r="F364" s="49" t="str">
        <f>VLOOKUP(C364,Classification!$A:$D,2,FALSE)</f>
        <v>A</v>
      </c>
      <c r="G364" s="15" t="str">
        <f>VLOOKUP(D364,Classification!$A:$D,2,FALSE)</f>
        <v>A</v>
      </c>
      <c r="H364" s="15" t="b">
        <f t="shared" si="5"/>
        <v>1</v>
      </c>
      <c r="K364" s="3"/>
    </row>
    <row r="365" spans="1:11" x14ac:dyDescent="0.2">
      <c r="A365" s="10" t="str">
        <f>IF(ISERROR(MATCH(B365,'SegEnds_Xtal_Prot#'!B:B, 0)), "NoXtal", "Xtal")</f>
        <v>NoXtal</v>
      </c>
      <c r="B365" t="s">
        <v>307</v>
      </c>
      <c r="C365" s="1" t="s">
        <v>158</v>
      </c>
      <c r="D365" t="s">
        <v>352</v>
      </c>
      <c r="E365" s="28" t="str">
        <f>VLOOKUP(B365,Classification!$A:$D,2,FALSE)</f>
        <v>A</v>
      </c>
      <c r="F365" s="49" t="str">
        <f>VLOOKUP(C365,Classification!$A:$D,2,FALSE)</f>
        <v>A</v>
      </c>
      <c r="G365" s="15" t="str">
        <f>VLOOKUP(D365,Classification!$A:$D,2,FALSE)</f>
        <v>A</v>
      </c>
      <c r="H365" s="15" t="b">
        <f t="shared" si="5"/>
        <v>1</v>
      </c>
      <c r="K365" s="3"/>
    </row>
    <row r="366" spans="1:11" x14ac:dyDescent="0.2">
      <c r="A366" s="10" t="str">
        <f>IF(ISERROR(MATCH(B366,'SegEnds_Xtal_Prot#'!B:B, 0)), "NoXtal", "Xtal")</f>
        <v>Xtal</v>
      </c>
      <c r="B366" t="s">
        <v>371</v>
      </c>
      <c r="C366" s="1" t="s">
        <v>371</v>
      </c>
      <c r="D366" t="s">
        <v>352</v>
      </c>
      <c r="E366" s="28" t="str">
        <f>VLOOKUP(B366,Classification!$A:$D,2,FALSE)</f>
        <v>A</v>
      </c>
      <c r="F366" s="49" t="str">
        <f>VLOOKUP(C366,Classification!$A:$D,2,FALSE)</f>
        <v>A</v>
      </c>
      <c r="G366" s="15" t="str">
        <f>VLOOKUP(D366,Classification!$A:$D,2,FALSE)</f>
        <v>A</v>
      </c>
      <c r="H366" s="15" t="b">
        <f t="shared" si="5"/>
        <v>1</v>
      </c>
      <c r="K366" s="3"/>
    </row>
    <row r="367" spans="1:11" x14ac:dyDescent="0.2">
      <c r="A367" s="10" t="str">
        <f>IF(ISERROR(MATCH(B367,'SegEnds_Xtal_Prot#'!B:B, 0)), "NoXtal", "Xtal")</f>
        <v>NoXtal</v>
      </c>
      <c r="B367" t="s">
        <v>234</v>
      </c>
      <c r="C367" s="1" t="s">
        <v>336</v>
      </c>
      <c r="D367" t="s">
        <v>352</v>
      </c>
      <c r="E367" s="28" t="str">
        <f>VLOOKUP(B367,Classification!$A:$D,2,FALSE)</f>
        <v>A</v>
      </c>
      <c r="F367" s="49" t="str">
        <f>VLOOKUP(C367,Classification!$A:$D,2,FALSE)</f>
        <v>A</v>
      </c>
      <c r="G367" s="15" t="str">
        <f>VLOOKUP(D367,Classification!$A:$D,2,FALSE)</f>
        <v>A</v>
      </c>
      <c r="H367" s="15" t="b">
        <f t="shared" si="5"/>
        <v>1</v>
      </c>
      <c r="K367" s="3"/>
    </row>
    <row r="368" spans="1:11" x14ac:dyDescent="0.2">
      <c r="A368" s="10" t="str">
        <f>IF(ISERROR(MATCH(B368,'SegEnds_Xtal_Prot#'!B:B, 0)), "NoXtal", "Xtal")</f>
        <v>NoXtal</v>
      </c>
      <c r="B368" t="s">
        <v>365</v>
      </c>
      <c r="C368" s="1" t="s">
        <v>165</v>
      </c>
      <c r="D368" t="s">
        <v>352</v>
      </c>
      <c r="E368" s="28" t="str">
        <f>VLOOKUP(B368,Classification!$A:$D,2,FALSE)</f>
        <v>A</v>
      </c>
      <c r="F368" s="49" t="str">
        <f>VLOOKUP(C368,Classification!$A:$D,2,FALSE)</f>
        <v>A</v>
      </c>
      <c r="G368" s="15" t="str">
        <f>VLOOKUP(D368,Classification!$A:$D,2,FALSE)</f>
        <v>A</v>
      </c>
      <c r="H368" s="15" t="b">
        <f t="shared" si="5"/>
        <v>1</v>
      </c>
      <c r="K368" s="3"/>
    </row>
    <row r="369" spans="1:11" x14ac:dyDescent="0.2">
      <c r="A369" s="10" t="str">
        <f>IF(ISERROR(MATCH(B369,'SegEnds_Xtal_Prot#'!B:B, 0)), "NoXtal", "Xtal")</f>
        <v>NoXtal</v>
      </c>
      <c r="B369" t="s">
        <v>253</v>
      </c>
      <c r="C369" s="1" t="s">
        <v>371</v>
      </c>
      <c r="D369" t="s">
        <v>352</v>
      </c>
      <c r="E369" s="28" t="str">
        <f>VLOOKUP(B369,Classification!$A:$D,2,FALSE)</f>
        <v>A</v>
      </c>
      <c r="F369" s="49" t="str">
        <f>VLOOKUP(C369,Classification!$A:$D,2,FALSE)</f>
        <v>A</v>
      </c>
      <c r="G369" s="15" t="str">
        <f>VLOOKUP(D369,Classification!$A:$D,2,FALSE)</f>
        <v>A</v>
      </c>
      <c r="H369" s="15" t="b">
        <f t="shared" si="5"/>
        <v>1</v>
      </c>
      <c r="K369" s="3"/>
    </row>
    <row r="370" spans="1:11" x14ac:dyDescent="0.2">
      <c r="A370" s="10" t="str">
        <f>IF(ISERROR(MATCH(B370,'SegEnds_Xtal_Prot#'!B:B, 0)), "NoXtal", "Xtal")</f>
        <v>NoXtal</v>
      </c>
      <c r="B370" t="s">
        <v>364</v>
      </c>
      <c r="C370" s="1" t="s">
        <v>133</v>
      </c>
      <c r="D370" t="s">
        <v>352</v>
      </c>
      <c r="E370" s="28" t="str">
        <f>VLOOKUP(B370,Classification!$A:$D,2,FALSE)</f>
        <v>A</v>
      </c>
      <c r="F370" s="49" t="str">
        <f>VLOOKUP(C370,Classification!$A:$D,2,FALSE)</f>
        <v>A</v>
      </c>
      <c r="G370" s="15" t="str">
        <f>VLOOKUP(D370,Classification!$A:$D,2,FALSE)</f>
        <v>A</v>
      </c>
      <c r="H370" s="15" t="b">
        <f t="shared" si="5"/>
        <v>1</v>
      </c>
      <c r="K370" s="3"/>
    </row>
    <row r="371" spans="1:11" x14ac:dyDescent="0.2">
      <c r="A371" s="10" t="str">
        <f>IF(ISERROR(MATCH(B371,'SegEnds_Xtal_Prot#'!B:B, 0)), "NoXtal", "Xtal")</f>
        <v>NoXtal</v>
      </c>
      <c r="B371" t="s">
        <v>357</v>
      </c>
      <c r="C371" s="1" t="s">
        <v>356</v>
      </c>
      <c r="D371" t="s">
        <v>355</v>
      </c>
      <c r="E371" s="28" t="str">
        <f>VLOOKUP(B371,Classification!$A:$D,2,FALSE)</f>
        <v>A</v>
      </c>
      <c r="F371" s="49" t="str">
        <f>VLOOKUP(C371,Classification!$A:$D,2,FALSE)</f>
        <v>A</v>
      </c>
      <c r="G371" s="15" t="str">
        <f>VLOOKUP(D371,Classification!$A:$D,2,FALSE)</f>
        <v>A</v>
      </c>
      <c r="H371" s="15" t="b">
        <f t="shared" si="5"/>
        <v>1</v>
      </c>
      <c r="K371" s="3"/>
    </row>
    <row r="372" spans="1:11" x14ac:dyDescent="0.2">
      <c r="A372" s="10" t="str">
        <f>IF(ISERROR(MATCH(B372,'SegEnds_Xtal_Prot#'!B:B, 0)), "NoXtal", "Xtal")</f>
        <v>NoXtal</v>
      </c>
      <c r="B372" t="s">
        <v>261</v>
      </c>
      <c r="C372" s="1" t="s">
        <v>336</v>
      </c>
      <c r="D372" t="s">
        <v>355</v>
      </c>
      <c r="E372" s="28" t="str">
        <f>VLOOKUP(B372,Classification!$A:$D,2,FALSE)</f>
        <v>A</v>
      </c>
      <c r="F372" s="49" t="str">
        <f>VLOOKUP(C372,Classification!$A:$D,2,FALSE)</f>
        <v>A</v>
      </c>
      <c r="G372" s="15" t="str">
        <f>VLOOKUP(D372,Classification!$A:$D,2,FALSE)</f>
        <v>A</v>
      </c>
      <c r="H372" s="15" t="b">
        <f t="shared" si="5"/>
        <v>1</v>
      </c>
      <c r="K372" s="3"/>
    </row>
    <row r="373" spans="1:11" x14ac:dyDescent="0.2">
      <c r="A373" s="10" t="str">
        <f>IF(ISERROR(MATCH(B373,'SegEnds_Xtal_Prot#'!B:B, 0)), "NoXtal", "Xtal")</f>
        <v>NoXtal</v>
      </c>
      <c r="B373" t="s">
        <v>254</v>
      </c>
      <c r="C373" s="1" t="s">
        <v>170</v>
      </c>
      <c r="D373" t="s">
        <v>355</v>
      </c>
      <c r="E373" s="28" t="str">
        <f>VLOOKUP(B373,Classification!$A:$D,2,FALSE)</f>
        <v>A</v>
      </c>
      <c r="F373" s="49" t="str">
        <f>VLOOKUP(C373,Classification!$A:$D,2,FALSE)</f>
        <v>A</v>
      </c>
      <c r="G373" s="15" t="str">
        <f>VLOOKUP(D373,Classification!$A:$D,2,FALSE)</f>
        <v>A</v>
      </c>
      <c r="H373" s="15" t="b">
        <f t="shared" si="5"/>
        <v>1</v>
      </c>
      <c r="K373" s="3"/>
    </row>
    <row r="374" spans="1:11" x14ac:dyDescent="0.2">
      <c r="A374" s="10" t="str">
        <f>IF(ISERROR(MATCH(B374,'SegEnds_Xtal_Prot#'!B:B, 0)), "NoXtal", "Xtal")</f>
        <v>NoXtal</v>
      </c>
      <c r="B374" t="s">
        <v>302</v>
      </c>
      <c r="C374" s="1" t="s">
        <v>1172</v>
      </c>
      <c r="D374" t="s">
        <v>355</v>
      </c>
      <c r="E374" s="28" t="str">
        <f>VLOOKUP(B374,Classification!$A:$D,2,FALSE)</f>
        <v>A</v>
      </c>
      <c r="F374" s="49" t="str">
        <f>VLOOKUP(C374,Classification!$A:$D,2,FALSE)</f>
        <v>A</v>
      </c>
      <c r="G374" s="15" t="str">
        <f>VLOOKUP(D374,Classification!$A:$D,2,FALSE)</f>
        <v>A</v>
      </c>
      <c r="H374" s="15" t="b">
        <f t="shared" si="5"/>
        <v>1</v>
      </c>
      <c r="K374" s="3"/>
    </row>
    <row r="375" spans="1:11" x14ac:dyDescent="0.2">
      <c r="A375" s="10" t="str">
        <f>IF(ISERROR(MATCH(B375,'SegEnds_Xtal_Prot#'!B:B, 0)), "NoXtal", "Xtal")</f>
        <v>NoXtal</v>
      </c>
      <c r="B375" t="s">
        <v>358</v>
      </c>
      <c r="C375" s="1" t="s">
        <v>356</v>
      </c>
      <c r="D375" t="s">
        <v>355</v>
      </c>
      <c r="E375" s="28" t="str">
        <f>VLOOKUP(B375,Classification!$A:$D,2,FALSE)</f>
        <v>A</v>
      </c>
      <c r="F375" s="49" t="str">
        <f>VLOOKUP(C375,Classification!$A:$D,2,FALSE)</f>
        <v>A</v>
      </c>
      <c r="G375" s="15" t="str">
        <f>VLOOKUP(D375,Classification!$A:$D,2,FALSE)</f>
        <v>A</v>
      </c>
      <c r="H375" s="15" t="b">
        <f t="shared" si="5"/>
        <v>1</v>
      </c>
      <c r="K375" s="3"/>
    </row>
    <row r="376" spans="1:11" x14ac:dyDescent="0.2">
      <c r="A376" s="10" t="str">
        <f>IF(ISERROR(MATCH(B376,'SegEnds_Xtal_Prot#'!B:B, 0)), "NoXtal", "Xtal")</f>
        <v>Xtal</v>
      </c>
      <c r="B376" t="s">
        <v>356</v>
      </c>
      <c r="C376" s="1" t="s">
        <v>356</v>
      </c>
      <c r="D376" t="s">
        <v>356</v>
      </c>
      <c r="E376" s="28" t="str">
        <f>VLOOKUP(B376,Classification!$A:$D,2,FALSE)</f>
        <v>A</v>
      </c>
      <c r="F376" s="49" t="str">
        <f>VLOOKUP(C376,Classification!$A:$D,2,FALSE)</f>
        <v>A</v>
      </c>
      <c r="G376" s="15" t="str">
        <f>VLOOKUP(D376,Classification!$A:$D,2,FALSE)</f>
        <v>A</v>
      </c>
      <c r="H376" s="15" t="b">
        <f t="shared" si="5"/>
        <v>1</v>
      </c>
      <c r="K376" s="3"/>
    </row>
    <row r="377" spans="1:11" x14ac:dyDescent="0.2">
      <c r="A377" s="10" t="str">
        <f>IF(ISERROR(MATCH(B377,'SegEnds_Xtal_Prot#'!B:B, 0)), "NoXtal", "Xtal")</f>
        <v>Xtal</v>
      </c>
      <c r="B377" t="s">
        <v>355</v>
      </c>
      <c r="C377" s="1" t="s">
        <v>355</v>
      </c>
      <c r="D377" t="s">
        <v>355</v>
      </c>
      <c r="E377" s="28" t="str">
        <f>VLOOKUP(B377,Classification!$A:$D,2,FALSE)</f>
        <v>A</v>
      </c>
      <c r="F377" s="49" t="str">
        <f>VLOOKUP(C377,Classification!$A:$D,2,FALSE)</f>
        <v>A</v>
      </c>
      <c r="G377" s="15" t="str">
        <f>VLOOKUP(D377,Classification!$A:$D,2,FALSE)</f>
        <v>A</v>
      </c>
      <c r="H377" s="15" t="b">
        <f t="shared" si="5"/>
        <v>1</v>
      </c>
      <c r="K377" s="3"/>
    </row>
    <row r="378" spans="1:11" x14ac:dyDescent="0.2">
      <c r="A378" s="10" t="str">
        <f>IF(ISERROR(MATCH(B378,'SegEnds_Xtal_Prot#'!B:B, 0)), "NoXtal", "Xtal")</f>
        <v>NoXtal</v>
      </c>
      <c r="B378" t="s">
        <v>243</v>
      </c>
      <c r="C378" s="1" t="s">
        <v>356</v>
      </c>
      <c r="D378" t="s">
        <v>355</v>
      </c>
      <c r="E378" s="28" t="str">
        <f>VLOOKUP(B378,Classification!$A:$D,2,FALSE)</f>
        <v>A</v>
      </c>
      <c r="F378" s="49" t="str">
        <f>VLOOKUP(C378,Classification!$A:$D,2,FALSE)</f>
        <v>A</v>
      </c>
      <c r="G378" s="15" t="str">
        <f>VLOOKUP(D378,Classification!$A:$D,2,FALSE)</f>
        <v>A</v>
      </c>
      <c r="H378" s="15" t="b">
        <f t="shared" si="5"/>
        <v>1</v>
      </c>
      <c r="K378" s="3"/>
    </row>
    <row r="379" spans="1:11" x14ac:dyDescent="0.2">
      <c r="A379" s="10" t="str">
        <f>IF(ISERROR(MATCH(B379,'SegEnds_Xtal_Prot#'!B:B, 0)), "NoXtal", "Xtal")</f>
        <v>NoXtal</v>
      </c>
      <c r="B379" t="s">
        <v>349</v>
      </c>
      <c r="C379" s="1" t="s">
        <v>355</v>
      </c>
      <c r="D379" t="s">
        <v>355</v>
      </c>
      <c r="E379" s="28" t="str">
        <f>VLOOKUP(B379,Classification!$A:$D,2,FALSE)</f>
        <v>A</v>
      </c>
      <c r="F379" s="49" t="str">
        <f>VLOOKUP(C379,Classification!$A:$D,2,FALSE)</f>
        <v>A</v>
      </c>
      <c r="G379" s="15" t="str">
        <f>VLOOKUP(D379,Classification!$A:$D,2,FALSE)</f>
        <v>A</v>
      </c>
      <c r="H379" s="15" t="b">
        <f t="shared" si="5"/>
        <v>1</v>
      </c>
      <c r="K379" s="3"/>
    </row>
    <row r="380" spans="1:11" x14ac:dyDescent="0.2">
      <c r="A380" s="10" t="str">
        <f>IF(ISERROR(MATCH(B380,'SegEnds_Xtal_Prot#'!B:B, 0)), "NoXtal", "Xtal")</f>
        <v>NoXtal</v>
      </c>
      <c r="B380" t="s">
        <v>199</v>
      </c>
      <c r="C380" s="1" t="s">
        <v>355</v>
      </c>
      <c r="D380" t="s">
        <v>355</v>
      </c>
      <c r="E380" s="28" t="str">
        <f>VLOOKUP(B380,Classification!$A:$D,2,FALSE)</f>
        <v>A</v>
      </c>
      <c r="F380" s="49" t="str">
        <f>VLOOKUP(C380,Classification!$A:$D,2,FALSE)</f>
        <v>A</v>
      </c>
      <c r="G380" s="15" t="str">
        <f>VLOOKUP(D380,Classification!$A:$D,2,FALSE)</f>
        <v>A</v>
      </c>
      <c r="H380" s="15" t="b">
        <f t="shared" si="5"/>
        <v>1</v>
      </c>
      <c r="K380" s="3"/>
    </row>
    <row r="381" spans="1:11" x14ac:dyDescent="0.2">
      <c r="A381" s="10" t="str">
        <f>IF(ISERROR(MATCH(B381,'SegEnds_Xtal_Prot#'!B:B, 0)), "NoXtal", "Xtal")</f>
        <v>NoXtal</v>
      </c>
      <c r="B381" t="s">
        <v>258</v>
      </c>
      <c r="C381" s="1" t="s">
        <v>355</v>
      </c>
      <c r="D381" t="s">
        <v>355</v>
      </c>
      <c r="E381" s="28" t="str">
        <f>VLOOKUP(B381,Classification!$A:$D,2,FALSE)</f>
        <v>A</v>
      </c>
      <c r="F381" s="49" t="str">
        <f>VLOOKUP(C381,Classification!$A:$D,2,FALSE)</f>
        <v>A</v>
      </c>
      <c r="G381" s="15" t="str">
        <f>VLOOKUP(D381,Classification!$A:$D,2,FALSE)</f>
        <v>A</v>
      </c>
      <c r="H381" s="15" t="b">
        <f t="shared" si="5"/>
        <v>1</v>
      </c>
      <c r="K381" s="3"/>
    </row>
    <row r="382" spans="1:11" x14ac:dyDescent="0.2">
      <c r="A382" s="10" t="str">
        <f>IF(ISERROR(MATCH(B382,'SegEnds_Xtal_Prot#'!B:B, 0)), "NoXtal", "Xtal")</f>
        <v>NoXtal</v>
      </c>
      <c r="B382" t="s">
        <v>309</v>
      </c>
      <c r="C382" s="1" t="s">
        <v>104</v>
      </c>
      <c r="D382" t="s">
        <v>104</v>
      </c>
      <c r="E382" s="28" t="str">
        <f>VLOOKUP(B382,Classification!$A:$D,2,FALSE)</f>
        <v>A</v>
      </c>
      <c r="F382" s="49" t="str">
        <f>VLOOKUP(C382,Classification!$A:$D,2,FALSE)</f>
        <v>A</v>
      </c>
      <c r="G382" s="15" t="str">
        <f>VLOOKUP(D382,Classification!$A:$D,2,FALSE)</f>
        <v>A</v>
      </c>
      <c r="H382" s="15" t="b">
        <f t="shared" si="5"/>
        <v>1</v>
      </c>
      <c r="K382" s="3"/>
    </row>
    <row r="383" spans="1:11" x14ac:dyDescent="0.2">
      <c r="A383" s="10" t="str">
        <f>IF(ISERROR(MATCH(B383,'SegEnds_Xtal_Prot#'!B:B, 0)), "NoXtal", "Xtal")</f>
        <v>NoXtal</v>
      </c>
      <c r="B383" t="s">
        <v>151</v>
      </c>
      <c r="C383" s="1" t="s">
        <v>104</v>
      </c>
      <c r="D383" t="s">
        <v>104</v>
      </c>
      <c r="E383" s="28" t="str">
        <f>VLOOKUP(B383,Classification!$A:$D,2,FALSE)</f>
        <v>A</v>
      </c>
      <c r="F383" s="49" t="str">
        <f>VLOOKUP(C383,Classification!$A:$D,2,FALSE)</f>
        <v>A</v>
      </c>
      <c r="G383" s="15" t="str">
        <f>VLOOKUP(D383,Classification!$A:$D,2,FALSE)</f>
        <v>A</v>
      </c>
      <c r="H383" s="15" t="b">
        <f t="shared" si="5"/>
        <v>1</v>
      </c>
      <c r="K383" s="3"/>
    </row>
    <row r="384" spans="1:11" x14ac:dyDescent="0.2">
      <c r="A384" s="10" t="str">
        <f>IF(ISERROR(MATCH(B384,'SegEnds_Xtal_Prot#'!B:B, 0)), "NoXtal", "Xtal")</f>
        <v>NoXtal</v>
      </c>
      <c r="B384" t="s">
        <v>296</v>
      </c>
      <c r="C384" s="1" t="s">
        <v>103</v>
      </c>
      <c r="D384" t="s">
        <v>104</v>
      </c>
      <c r="E384" s="28" t="str">
        <f>VLOOKUP(B384,Classification!$A:$D,2,FALSE)</f>
        <v>A</v>
      </c>
      <c r="F384" s="49" t="str">
        <f>VLOOKUP(C384,Classification!$A:$D,2,FALSE)</f>
        <v>A</v>
      </c>
      <c r="G384" s="15" t="str">
        <f>VLOOKUP(D384,Classification!$A:$D,2,FALSE)</f>
        <v>A</v>
      </c>
      <c r="H384" s="15" t="b">
        <f t="shared" si="5"/>
        <v>1</v>
      </c>
      <c r="K384" s="3"/>
    </row>
    <row r="385" spans="1:11" x14ac:dyDescent="0.2">
      <c r="A385" s="10" t="str">
        <f>IF(ISERROR(MATCH(B385,'SegEnds_Xtal_Prot#'!B:B, 0)), "NoXtal", "Xtal")</f>
        <v>NoXtal</v>
      </c>
      <c r="B385" t="s">
        <v>297</v>
      </c>
      <c r="C385" s="1" t="s">
        <v>104</v>
      </c>
      <c r="D385" t="s">
        <v>104</v>
      </c>
      <c r="E385" s="28" t="str">
        <f>VLOOKUP(B385,Classification!$A:$D,2,FALSE)</f>
        <v>A</v>
      </c>
      <c r="F385" s="49" t="str">
        <f>VLOOKUP(C385,Classification!$A:$D,2,FALSE)</f>
        <v>A</v>
      </c>
      <c r="G385" s="15" t="str">
        <f>VLOOKUP(D385,Classification!$A:$D,2,FALSE)</f>
        <v>A</v>
      </c>
      <c r="H385" s="15" t="b">
        <f t="shared" si="5"/>
        <v>1</v>
      </c>
      <c r="K385" s="3"/>
    </row>
    <row r="386" spans="1:11" x14ac:dyDescent="0.2">
      <c r="A386" s="10" t="str">
        <f>IF(ISERROR(MATCH(B386,'SegEnds_Xtal_Prot#'!B:B, 0)), "NoXtal", "Xtal")</f>
        <v>NoXtal</v>
      </c>
      <c r="B386" t="s">
        <v>238</v>
      </c>
      <c r="C386" s="1" t="s">
        <v>103</v>
      </c>
      <c r="D386" t="s">
        <v>104</v>
      </c>
      <c r="E386" s="28" t="str">
        <f>VLOOKUP(B386,Classification!$A:$D,2,FALSE)</f>
        <v>A</v>
      </c>
      <c r="F386" s="49" t="str">
        <f>VLOOKUP(C386,Classification!$A:$D,2,FALSE)</f>
        <v>A</v>
      </c>
      <c r="G386" s="15" t="str">
        <f>VLOOKUP(D386,Classification!$A:$D,2,FALSE)</f>
        <v>A</v>
      </c>
      <c r="H386" s="15" t="b">
        <f t="shared" si="5"/>
        <v>1</v>
      </c>
      <c r="K386" s="3"/>
    </row>
    <row r="387" spans="1:11" x14ac:dyDescent="0.2">
      <c r="A387" s="10" t="str">
        <f>IF(ISERROR(MATCH(B387,'SegEnds_Xtal_Prot#'!B:B, 0)), "NoXtal", "Xtal")</f>
        <v>NoXtal</v>
      </c>
      <c r="B387" t="s">
        <v>262</v>
      </c>
      <c r="C387" s="1" t="s">
        <v>104</v>
      </c>
      <c r="D387" t="s">
        <v>104</v>
      </c>
      <c r="E387" s="28" t="str">
        <f>VLOOKUP(B387,Classification!$A:$D,2,FALSE)</f>
        <v>A</v>
      </c>
      <c r="F387" s="49" t="str">
        <f>VLOOKUP(C387,Classification!$A:$D,2,FALSE)</f>
        <v>A</v>
      </c>
      <c r="G387" s="15" t="str">
        <f>VLOOKUP(D387,Classification!$A:$D,2,FALSE)</f>
        <v>A</v>
      </c>
      <c r="H387" s="15" t="b">
        <f t="shared" si="5"/>
        <v>1</v>
      </c>
      <c r="K387" s="3"/>
    </row>
    <row r="388" spans="1:11" x14ac:dyDescent="0.2">
      <c r="A388" s="10" t="str">
        <f>IF(ISERROR(MATCH(B388,'SegEnds_Xtal_Prot#'!B:B, 0)), "NoXtal", "Xtal")</f>
        <v>NoXtal</v>
      </c>
      <c r="B388" t="s">
        <v>363</v>
      </c>
      <c r="C388" s="1" t="s">
        <v>139</v>
      </c>
      <c r="D388" t="s">
        <v>104</v>
      </c>
      <c r="E388" s="28" t="str">
        <f>VLOOKUP(B388,Classification!$A:$D,2,FALSE)</f>
        <v>A</v>
      </c>
      <c r="F388" s="49" t="str">
        <f>VLOOKUP(C388,Classification!$A:$D,2,FALSE)</f>
        <v>A</v>
      </c>
      <c r="G388" s="15" t="str">
        <f>VLOOKUP(D388,Classification!$A:$D,2,FALSE)</f>
        <v>A</v>
      </c>
      <c r="H388" s="15" t="b">
        <f t="shared" si="5"/>
        <v>1</v>
      </c>
      <c r="K388" s="3"/>
    </row>
    <row r="389" spans="1:11" x14ac:dyDescent="0.2">
      <c r="A389" s="10" t="str">
        <f>IF(ISERROR(MATCH(B389,'SegEnds_Xtal_Prot#'!B:B, 0)), "NoXtal", "Xtal")</f>
        <v>NoXtal</v>
      </c>
      <c r="B389" t="s">
        <v>473</v>
      </c>
      <c r="C389" s="1" t="s">
        <v>133</v>
      </c>
      <c r="D389" t="s">
        <v>104</v>
      </c>
      <c r="E389" s="28" t="str">
        <f>VLOOKUP(B389,Classification!$A:$D,2,FALSE)</f>
        <v>A</v>
      </c>
      <c r="F389" s="49" t="str">
        <f>VLOOKUP(C389,Classification!$A:$D,2,FALSE)</f>
        <v>A</v>
      </c>
      <c r="G389" s="15" t="str">
        <f>VLOOKUP(D389,Classification!$A:$D,2,FALSE)</f>
        <v>A</v>
      </c>
      <c r="H389" s="15" t="b">
        <f t="shared" ref="H389:H408" si="6">OR(E389=G389,AND(E389="T",G389="A"),AND(E389="B2",G389="B1"),E389="O")</f>
        <v>1</v>
      </c>
      <c r="K389" s="3"/>
    </row>
    <row r="390" spans="1:11" x14ac:dyDescent="0.2">
      <c r="A390" s="10" t="str">
        <f>IF(ISERROR(MATCH(B390,'SegEnds_Xtal_Prot#'!B:B, 0)), "NoXtal", "Xtal")</f>
        <v>NoXtal</v>
      </c>
      <c r="B390" t="s">
        <v>213</v>
      </c>
      <c r="C390" s="1" t="s">
        <v>146</v>
      </c>
      <c r="D390" t="s">
        <v>104</v>
      </c>
      <c r="E390" s="28" t="str">
        <f>VLOOKUP(B390,Classification!$A:$D,2,FALSE)</f>
        <v>A</v>
      </c>
      <c r="F390" s="49" t="str">
        <f>VLOOKUP(C390,Classification!$A:$D,2,FALSE)</f>
        <v>A</v>
      </c>
      <c r="G390" s="15" t="str">
        <f>VLOOKUP(D390,Classification!$A:$D,2,FALSE)</f>
        <v>A</v>
      </c>
      <c r="H390" s="15" t="b">
        <f t="shared" si="6"/>
        <v>1</v>
      </c>
      <c r="K390" s="3"/>
    </row>
    <row r="391" spans="1:11" x14ac:dyDescent="0.2">
      <c r="A391" s="10" t="str">
        <f>IF(ISERROR(MATCH(B391,'SegEnds_Xtal_Prot#'!B:B, 0)), "NoXtal", "Xtal")</f>
        <v>NoXtal</v>
      </c>
      <c r="B391" t="s">
        <v>377</v>
      </c>
      <c r="C391" s="1" t="s">
        <v>104</v>
      </c>
      <c r="D391" t="s">
        <v>104</v>
      </c>
      <c r="E391" s="28" t="str">
        <f>VLOOKUP(B391,Classification!$A:$D,2,FALSE)</f>
        <v>A</v>
      </c>
      <c r="F391" s="49" t="str">
        <f>VLOOKUP(C391,Classification!$A:$D,2,FALSE)</f>
        <v>A</v>
      </c>
      <c r="G391" s="15" t="str">
        <f>VLOOKUP(D391,Classification!$A:$D,2,FALSE)</f>
        <v>A</v>
      </c>
      <c r="H391" s="15" t="b">
        <f t="shared" si="6"/>
        <v>1</v>
      </c>
      <c r="K391" s="3"/>
    </row>
    <row r="392" spans="1:11" x14ac:dyDescent="0.2">
      <c r="A392" s="10" t="str">
        <f>IF(ISERROR(MATCH(B392,'SegEnds_Xtal_Prot#'!B:B, 0)), "NoXtal", "Xtal")</f>
        <v>Xtal</v>
      </c>
      <c r="B392" t="s">
        <v>104</v>
      </c>
      <c r="C392" s="1" t="s">
        <v>104</v>
      </c>
      <c r="D392" t="s">
        <v>104</v>
      </c>
      <c r="E392" s="28" t="str">
        <f>VLOOKUP(B392,Classification!$A:$D,2,FALSE)</f>
        <v>A</v>
      </c>
      <c r="F392" s="49" t="str">
        <f>VLOOKUP(C392,Classification!$A:$D,2,FALSE)</f>
        <v>A</v>
      </c>
      <c r="G392" s="15" t="str">
        <f>VLOOKUP(D392,Classification!$A:$D,2,FALSE)</f>
        <v>A</v>
      </c>
      <c r="H392" s="15" t="b">
        <f t="shared" si="6"/>
        <v>1</v>
      </c>
      <c r="K392" s="3"/>
    </row>
    <row r="393" spans="1:11" x14ac:dyDescent="0.2">
      <c r="A393" s="10" t="str">
        <f>IF(ISERROR(MATCH(B393,'SegEnds_Xtal_Prot#'!B:B, 0)), "NoXtal", "Xtal")</f>
        <v>NoXtal</v>
      </c>
      <c r="B393" t="s">
        <v>379</v>
      </c>
      <c r="C393" s="1" t="s">
        <v>104</v>
      </c>
      <c r="D393" t="s">
        <v>104</v>
      </c>
      <c r="E393" s="28" t="str">
        <f>VLOOKUP(B393,Classification!$A:$D,2,FALSE)</f>
        <v>A</v>
      </c>
      <c r="F393" s="49" t="str">
        <f>VLOOKUP(C393,Classification!$A:$D,2,FALSE)</f>
        <v>A</v>
      </c>
      <c r="G393" s="15" t="str">
        <f>VLOOKUP(D393,Classification!$A:$D,2,FALSE)</f>
        <v>A</v>
      </c>
      <c r="H393" s="15" t="b">
        <f t="shared" si="6"/>
        <v>1</v>
      </c>
      <c r="K393" s="3"/>
    </row>
    <row r="394" spans="1:11" x14ac:dyDescent="0.2">
      <c r="A394" s="10" t="str">
        <f>IF(ISERROR(MATCH(B394,'SegEnds_Xtal_Prot#'!B:B, 0)), "NoXtal", "Xtal")</f>
        <v>NoXtal</v>
      </c>
      <c r="B394" t="s">
        <v>378</v>
      </c>
      <c r="C394" s="1" t="s">
        <v>104</v>
      </c>
      <c r="D394" t="s">
        <v>104</v>
      </c>
      <c r="E394" s="28" t="str">
        <f>VLOOKUP(B394,Classification!$A:$D,2,FALSE)</f>
        <v>A</v>
      </c>
      <c r="F394" s="49" t="str">
        <f>VLOOKUP(C394,Classification!$A:$D,2,FALSE)</f>
        <v>A</v>
      </c>
      <c r="G394" s="15" t="str">
        <f>VLOOKUP(D394,Classification!$A:$D,2,FALSE)</f>
        <v>A</v>
      </c>
      <c r="H394" s="15" t="b">
        <f t="shared" si="6"/>
        <v>1</v>
      </c>
      <c r="K394" s="3"/>
    </row>
    <row r="395" spans="1:11" x14ac:dyDescent="0.2">
      <c r="A395" s="10" t="str">
        <f>IF(ISERROR(MATCH(B395,'SegEnds_Xtal_Prot#'!B:B, 0)), "NoXtal", "Xtal")</f>
        <v>NoXtal</v>
      </c>
      <c r="B395" t="s">
        <v>380</v>
      </c>
      <c r="C395" s="1" t="s">
        <v>104</v>
      </c>
      <c r="D395" t="s">
        <v>104</v>
      </c>
      <c r="E395" s="28" t="str">
        <f>VLOOKUP(B395,Classification!$A:$D,2,FALSE)</f>
        <v>A</v>
      </c>
      <c r="F395" s="49" t="str">
        <f>VLOOKUP(C395,Classification!$A:$D,2,FALSE)</f>
        <v>A</v>
      </c>
      <c r="G395" s="15" t="str">
        <f>VLOOKUP(D395,Classification!$A:$D,2,FALSE)</f>
        <v>A</v>
      </c>
      <c r="H395" s="15" t="b">
        <f t="shared" si="6"/>
        <v>1</v>
      </c>
      <c r="K395" s="3"/>
    </row>
    <row r="396" spans="1:11" x14ac:dyDescent="0.2">
      <c r="A396" s="10" t="str">
        <f>IF(ISERROR(MATCH(B396,'SegEnds_Xtal_Prot#'!B:B, 0)), "NoXtal", "Xtal")</f>
        <v>NoXtal</v>
      </c>
      <c r="B396" t="s">
        <v>448</v>
      </c>
      <c r="C396" s="122" t="s">
        <v>33</v>
      </c>
      <c r="D396" t="s">
        <v>33</v>
      </c>
      <c r="E396" s="28" t="str">
        <f>VLOOKUP(B396,Classification!$A:$D,2,FALSE)</f>
        <v>F</v>
      </c>
      <c r="F396" s="49" t="str">
        <f>VLOOKUP(C396,Classification!$A:$D,2,FALSE)</f>
        <v>F</v>
      </c>
      <c r="G396" s="15" t="str">
        <f>VLOOKUP(D396,Classification!$A:$D,2,FALSE)</f>
        <v>F</v>
      </c>
      <c r="H396" s="15" t="b">
        <f t="shared" si="6"/>
        <v>1</v>
      </c>
      <c r="K396" s="3"/>
    </row>
    <row r="397" spans="1:11" x14ac:dyDescent="0.2">
      <c r="A397" s="10" t="str">
        <f>IF(ISERROR(MATCH(B397,'SegEnds_Xtal_Prot#'!B:B, 0)), "NoXtal", "Xtal")</f>
        <v>NoXtal</v>
      </c>
      <c r="B397" t="s">
        <v>453</v>
      </c>
      <c r="C397" s="1" t="s">
        <v>33</v>
      </c>
      <c r="D397" t="s">
        <v>33</v>
      </c>
      <c r="E397" s="28" t="str">
        <f>VLOOKUP(B397,Classification!$A:$D,2,FALSE)</f>
        <v>F</v>
      </c>
      <c r="F397" s="49" t="str">
        <f>VLOOKUP(C397,Classification!$A:$D,2,FALSE)</f>
        <v>F</v>
      </c>
      <c r="G397" s="15" t="str">
        <f>VLOOKUP(D397,Classification!$A:$D,2,FALSE)</f>
        <v>F</v>
      </c>
      <c r="H397" s="15" t="b">
        <f t="shared" si="6"/>
        <v>1</v>
      </c>
      <c r="K397" s="3"/>
    </row>
    <row r="398" spans="1:11" x14ac:dyDescent="0.2">
      <c r="A398" s="10" t="str">
        <f>IF(ISERROR(MATCH(B398,'SegEnds_Xtal_Prot#'!B:B, 0)), "NoXtal", "Xtal")</f>
        <v>NoXtal</v>
      </c>
      <c r="B398" t="s">
        <v>446</v>
      </c>
      <c r="C398" s="1" t="s">
        <v>33</v>
      </c>
      <c r="D398" t="s">
        <v>33</v>
      </c>
      <c r="E398" s="28" t="str">
        <f>VLOOKUP(B398,Classification!$A:$D,2,FALSE)</f>
        <v>F</v>
      </c>
      <c r="F398" s="49" t="str">
        <f>VLOOKUP(C398,Classification!$A:$D,2,FALSE)</f>
        <v>F</v>
      </c>
      <c r="G398" s="15" t="str">
        <f>VLOOKUP(D398,Classification!$A:$D,2,FALSE)</f>
        <v>F</v>
      </c>
      <c r="H398" s="15" t="b">
        <f t="shared" si="6"/>
        <v>1</v>
      </c>
      <c r="K398" s="3"/>
    </row>
    <row r="399" spans="1:11" x14ac:dyDescent="0.2">
      <c r="A399" s="10" t="str">
        <f>IF(ISERROR(MATCH(B399,'SegEnds_Xtal_Prot#'!B:B, 0)), "NoXtal", "Xtal")</f>
        <v>NoXtal</v>
      </c>
      <c r="B399" t="s">
        <v>450</v>
      </c>
      <c r="C399" s="1" t="s">
        <v>33</v>
      </c>
      <c r="D399" t="s">
        <v>33</v>
      </c>
      <c r="E399" s="28" t="str">
        <f>VLOOKUP(B399,Classification!$A:$D,2,FALSE)</f>
        <v>F</v>
      </c>
      <c r="F399" s="49" t="str">
        <f>VLOOKUP(C399,Classification!$A:$D,2,FALSE)</f>
        <v>F</v>
      </c>
      <c r="G399" s="15" t="str">
        <f>VLOOKUP(D399,Classification!$A:$D,2,FALSE)</f>
        <v>F</v>
      </c>
      <c r="H399" s="15" t="b">
        <f t="shared" si="6"/>
        <v>1</v>
      </c>
      <c r="K399" s="3"/>
    </row>
    <row r="400" spans="1:11" x14ac:dyDescent="0.2">
      <c r="A400" s="10" t="str">
        <f>IF(ISERROR(MATCH(B400,'SegEnds_Xtal_Prot#'!B:B, 0)), "NoXtal", "Xtal")</f>
        <v>NoXtal</v>
      </c>
      <c r="B400" t="s">
        <v>447</v>
      </c>
      <c r="C400" s="1" t="s">
        <v>33</v>
      </c>
      <c r="D400" t="s">
        <v>33</v>
      </c>
      <c r="E400" s="28" t="str">
        <f>VLOOKUP(B400,Classification!$A:$D,2,FALSE)</f>
        <v>F</v>
      </c>
      <c r="F400" s="49" t="str">
        <f>VLOOKUP(C400,Classification!$A:$D,2,FALSE)</f>
        <v>F</v>
      </c>
      <c r="G400" s="15" t="str">
        <f>VLOOKUP(D400,Classification!$A:$D,2,FALSE)</f>
        <v>F</v>
      </c>
      <c r="H400" s="15" t="b">
        <f t="shared" si="6"/>
        <v>1</v>
      </c>
      <c r="K400" s="3"/>
    </row>
    <row r="401" spans="1:11" x14ac:dyDescent="0.2">
      <c r="A401" s="10" t="str">
        <f>IF(ISERROR(MATCH(B401,'SegEnds_Xtal_Prot#'!B:B, 0)), "NoXtal", "Xtal")</f>
        <v>NoXtal</v>
      </c>
      <c r="B401" t="s">
        <v>455</v>
      </c>
      <c r="C401" s="1" t="s">
        <v>33</v>
      </c>
      <c r="D401" t="s">
        <v>33</v>
      </c>
      <c r="E401" s="28" t="str">
        <f>VLOOKUP(B401,Classification!$A:$D,2,FALSE)</f>
        <v>F</v>
      </c>
      <c r="F401" s="49" t="str">
        <f>VLOOKUP(C401,Classification!$A:$D,2,FALSE)</f>
        <v>F</v>
      </c>
      <c r="G401" s="15" t="str">
        <f>VLOOKUP(D401,Classification!$A:$D,2,FALSE)</f>
        <v>F</v>
      </c>
      <c r="H401" s="15" t="b">
        <f t="shared" si="6"/>
        <v>1</v>
      </c>
      <c r="K401" s="3"/>
    </row>
    <row r="402" spans="1:11" x14ac:dyDescent="0.2">
      <c r="A402" s="10" t="str">
        <f>IF(ISERROR(MATCH(B402,'SegEnds_Xtal_Prot#'!B:B, 0)), "NoXtal", "Xtal")</f>
        <v>NoXtal</v>
      </c>
      <c r="B402" t="s">
        <v>451</v>
      </c>
      <c r="C402" s="1" t="s">
        <v>33</v>
      </c>
      <c r="D402" t="s">
        <v>33</v>
      </c>
      <c r="E402" s="28" t="str">
        <f>VLOOKUP(B402,Classification!$A:$D,2,FALSE)</f>
        <v>F</v>
      </c>
      <c r="F402" s="49" t="str">
        <f>VLOOKUP(C402,Classification!$A:$D,2,FALSE)</f>
        <v>F</v>
      </c>
      <c r="G402" s="15" t="str">
        <f>VLOOKUP(D402,Classification!$A:$D,2,FALSE)</f>
        <v>F</v>
      </c>
      <c r="H402" s="15" t="b">
        <f t="shared" si="6"/>
        <v>1</v>
      </c>
      <c r="K402" s="3"/>
    </row>
    <row r="403" spans="1:11" x14ac:dyDescent="0.2">
      <c r="A403" s="10" t="str">
        <f>IF(ISERROR(MATCH(B403,'SegEnds_Xtal_Prot#'!B:B, 0)), "NoXtal", "Xtal")</f>
        <v>NoXtal</v>
      </c>
      <c r="B403" t="s">
        <v>454</v>
      </c>
      <c r="C403" s="1" t="s">
        <v>33</v>
      </c>
      <c r="D403" t="s">
        <v>33</v>
      </c>
      <c r="E403" s="28" t="str">
        <f>VLOOKUP(B403,Classification!$A:$D,2,FALSE)</f>
        <v>F</v>
      </c>
      <c r="F403" s="49" t="str">
        <f>VLOOKUP(C403,Classification!$A:$D,2,FALSE)</f>
        <v>F</v>
      </c>
      <c r="G403" s="15" t="str">
        <f>VLOOKUP(D403,Classification!$A:$D,2,FALSE)</f>
        <v>F</v>
      </c>
      <c r="H403" s="15" t="b">
        <f t="shared" si="6"/>
        <v>1</v>
      </c>
      <c r="K403" s="3"/>
    </row>
    <row r="404" spans="1:11" x14ac:dyDescent="0.2">
      <c r="A404" s="10" t="str">
        <f>IF(ISERROR(MATCH(B404,'SegEnds_Xtal_Prot#'!B:B, 0)), "NoXtal", "Xtal")</f>
        <v>NoXtal</v>
      </c>
      <c r="B404" t="s">
        <v>449</v>
      </c>
      <c r="C404" s="1" t="s">
        <v>33</v>
      </c>
      <c r="D404" t="s">
        <v>33</v>
      </c>
      <c r="E404" s="28" t="str">
        <f>VLOOKUP(B404,Classification!$A:$D,2,FALSE)</f>
        <v>F</v>
      </c>
      <c r="F404" s="49" t="str">
        <f>VLOOKUP(C404,Classification!$A:$D,2,FALSE)</f>
        <v>F</v>
      </c>
      <c r="G404" s="15" t="str">
        <f>VLOOKUP(D404,Classification!$A:$D,2,FALSE)</f>
        <v>F</v>
      </c>
      <c r="H404" s="15" t="b">
        <f t="shared" si="6"/>
        <v>1</v>
      </c>
      <c r="K404" s="3"/>
    </row>
    <row r="405" spans="1:11" x14ac:dyDescent="0.2">
      <c r="A405" s="10" t="str">
        <f>IF(ISERROR(MATCH(B405,'SegEnds_Xtal_Prot#'!B:B, 0)), "NoXtal", "Xtal")</f>
        <v>NoXtal</v>
      </c>
      <c r="B405" t="s">
        <v>452</v>
      </c>
      <c r="C405" s="1" t="s">
        <v>33</v>
      </c>
      <c r="D405" t="s">
        <v>33</v>
      </c>
      <c r="E405" s="28" t="str">
        <f>VLOOKUP(B405,Classification!$A:$D,2,FALSE)</f>
        <v>F</v>
      </c>
      <c r="F405" s="49" t="str">
        <f>VLOOKUP(C405,Classification!$A:$D,2,FALSE)</f>
        <v>F</v>
      </c>
      <c r="G405" s="15" t="str">
        <f>VLOOKUP(D405,Classification!$A:$D,2,FALSE)</f>
        <v>F</v>
      </c>
      <c r="H405" s="15" t="b">
        <f t="shared" si="6"/>
        <v>1</v>
      </c>
      <c r="K405" s="3"/>
    </row>
    <row r="406" spans="1:11" x14ac:dyDescent="0.2">
      <c r="A406" s="10" t="str">
        <f>IF(ISERROR(MATCH(B406,'SegEnds_Xtal_Prot#'!B:B, 0)), "NoXtal", "Xtal")</f>
        <v>Xtal</v>
      </c>
      <c r="B406" t="s">
        <v>33</v>
      </c>
      <c r="C406" s="1" t="s">
        <v>33</v>
      </c>
      <c r="D406" t="s">
        <v>33</v>
      </c>
      <c r="E406" s="28" t="str">
        <f>VLOOKUP(B406,Classification!$A:$D,2,FALSE)</f>
        <v>F</v>
      </c>
      <c r="F406" s="49" t="str">
        <f>VLOOKUP(C406,Classification!$A:$D,2,FALSE)</f>
        <v>F</v>
      </c>
      <c r="G406" s="15" t="str">
        <f>VLOOKUP(D406,Classification!$A:$D,2,FALSE)</f>
        <v>F</v>
      </c>
      <c r="H406" s="15" t="b">
        <f t="shared" si="6"/>
        <v>1</v>
      </c>
      <c r="K406" s="3"/>
    </row>
    <row r="407" spans="1:11" x14ac:dyDescent="0.2">
      <c r="A407" s="10" t="str">
        <f>IF(ISERROR(MATCH(B407,'SegEnds_Xtal_Prot#'!B:B, 0)), "NoXtal", "Xtal")</f>
        <v>Xtal</v>
      </c>
      <c r="B407" t="s">
        <v>924</v>
      </c>
      <c r="C407" s="1" t="s">
        <v>924</v>
      </c>
      <c r="D407" t="s">
        <v>924</v>
      </c>
      <c r="E407" s="28" t="str">
        <f>VLOOKUP(B407,Classification!$A:$D,2,FALSE)</f>
        <v>A</v>
      </c>
      <c r="F407" s="49" t="str">
        <f>VLOOKUP(C407,Classification!$A:$D,2,FALSE)</f>
        <v>A</v>
      </c>
      <c r="G407" s="15" t="str">
        <f>VLOOKUP(D407,Classification!$A:$D,2,FALSE)</f>
        <v>A</v>
      </c>
      <c r="H407" s="15" t="b">
        <f t="shared" si="6"/>
        <v>1</v>
      </c>
      <c r="K407" s="3"/>
    </row>
    <row r="408" spans="1:11" x14ac:dyDescent="0.2">
      <c r="A408" s="10" t="str">
        <f>IF(ISERROR(MATCH(B408,'SegEnds_Xtal_Prot#'!B:B, 0)), "NoXtal", "Xtal")</f>
        <v>NoXtal</v>
      </c>
      <c r="B408" t="s">
        <v>221</v>
      </c>
      <c r="C408" s="1" t="s">
        <v>104</v>
      </c>
      <c r="D408" t="s">
        <v>924</v>
      </c>
      <c r="E408" s="28" t="str">
        <f>VLOOKUP(B408,Classification!$A:$D,2,FALSE)</f>
        <v>A</v>
      </c>
      <c r="F408" s="49" t="str">
        <f>VLOOKUP(C408,Classification!$A:$D,2,FALSE)</f>
        <v>A</v>
      </c>
      <c r="G408" s="15" t="str">
        <f>VLOOKUP(D408,Classification!$A:$D,2,FALSE)</f>
        <v>A</v>
      </c>
      <c r="H408" s="15" t="b">
        <f t="shared" si="6"/>
        <v>1</v>
      </c>
      <c r="K408" s="3"/>
    </row>
    <row r="409" spans="1:11" x14ac:dyDescent="0.2">
      <c r="A409" s="10" t="str">
        <f>IF(ISERROR(MATCH(B409,'SegEnds_Xtal_Prot#'!B:B, 0)), "NoXtal", "Xtal")</f>
        <v>Xtal</v>
      </c>
      <c r="B409" t="s">
        <v>1430</v>
      </c>
      <c r="C409" s="1" t="s">
        <v>1430</v>
      </c>
      <c r="D409" t="s">
        <v>1430</v>
      </c>
      <c r="E409" s="28" t="str">
        <f>VLOOKUP(B409,Classification!$A:$D,2,FALSE)</f>
        <v>B1</v>
      </c>
      <c r="F409" s="49" t="str">
        <f>VLOOKUP(C409,Classification!$A:$D,2,FALSE)</f>
        <v>B1</v>
      </c>
      <c r="G409" s="15" t="str">
        <f>VLOOKUP(D409,Classification!$A:$D,2,FALSE)</f>
        <v>B1</v>
      </c>
      <c r="H409" s="15" t="b">
        <f>OR(E409=G409,AND(E409="T",G409="A"),AND(E409="B2",G409="B1"),E409="O")</f>
        <v>1</v>
      </c>
    </row>
    <row r="410" spans="1:11" x14ac:dyDescent="0.2">
      <c r="A410" s="10" t="str">
        <f>IF(ISERROR(MATCH(B410,'SegEnds_Xtal_Prot#'!B:B, 0)), "NoXtal", "Xtal")</f>
        <v>Xtal</v>
      </c>
      <c r="B410" s="122" t="s">
        <v>1510</v>
      </c>
      <c r="C410" s="1" t="s">
        <v>1510</v>
      </c>
      <c r="D410" s="122" t="s">
        <v>1510</v>
      </c>
      <c r="E410" s="28" t="str">
        <f>VLOOKUP(B410,Classification!$A:$D,2,FALSE)</f>
        <v>F</v>
      </c>
      <c r="F410" s="49" t="str">
        <f>VLOOKUP(C410,Classification!$A:$D,2,FALSE)</f>
        <v>F</v>
      </c>
      <c r="G410" s="15" t="str">
        <f>VLOOKUP(D410,Classification!$A:$D,2,FALSE)</f>
        <v>F</v>
      </c>
      <c r="H410" s="15" t="b">
        <f>OR(E410=G410,AND(E410="T",G410="A"),AND(E410="B2",G410="B1"),E410="O")</f>
        <v>1</v>
      </c>
    </row>
    <row r="411" spans="1:11" x14ac:dyDescent="0.2">
      <c r="A411" s="10" t="str">
        <f>IF(ISERROR(MATCH(B411,'SegEnds_Xtal_Prot#'!B:B, 0)), "NoXtal", "Xtal")</f>
        <v>Xtal</v>
      </c>
      <c r="B411" s="122" t="s">
        <v>1524</v>
      </c>
      <c r="C411" s="1" t="s">
        <v>1524</v>
      </c>
      <c r="D411" s="122" t="s">
        <v>1524</v>
      </c>
      <c r="E411" s="28" t="str">
        <f>VLOOKUP(B411,Classification!$A:$D,2,FALSE)</f>
        <v>A</v>
      </c>
      <c r="F411" s="49" t="str">
        <f>VLOOKUP(C411,Classification!$A:$D,2,FALSE)</f>
        <v>A</v>
      </c>
      <c r="G411" s="15" t="str">
        <f>VLOOKUP(D411,Classification!$A:$D,2,FALSE)</f>
        <v>A</v>
      </c>
      <c r="H411" s="15" t="b">
        <f>OR(E411=G411,AND(E411="T",G411="A"),AND(E411="B2",G411="B1"),E411="O")</f>
        <v>1</v>
      </c>
    </row>
    <row r="434" spans="5:9" ht="17" customHeight="1" x14ac:dyDescent="0.2">
      <c r="E434" s="7"/>
      <c r="F434" s="7"/>
      <c r="G434" s="7"/>
      <c r="H434" s="7"/>
      <c r="I434" s="1"/>
    </row>
  </sheetData>
  <sortState ref="B2:J432">
    <sortCondition ref="H2:H432"/>
    <sortCondition ref="C2:C432"/>
    <sortCondition ref="E2:E432"/>
    <sortCondition ref="G2:G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H1 H412:H1048576">
    <cfRule type="cellIs" dxfId="2" priority="5" operator="equal">
      <formula>FALSE</formula>
    </cfRule>
  </conditionalFormatting>
  <conditionalFormatting sqref="H2:H411">
    <cfRule type="cellIs" dxfId="1" priority="4" operator="equal">
      <formula>FALSE</formula>
    </cfRule>
  </conditionalFormatting>
  <conditionalFormatting sqref="A2:A1048576">
    <cfRule type="cellIs" dxfId="0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3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28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46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2018-07-09T13:54:06Z</dcterms:modified>
  <cp:category/>
  <cp:contentStatus/>
</cp:coreProperties>
</file>